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610" windowHeight="11025" tabRatio="875" firstSheet="10"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收益法 (车库)" sheetId="70" r:id="rId37"/>
    <sheet name="不动产收益法" sheetId="15" r:id="rId38"/>
    <sheet name="比较法-售价" sheetId="68" state="hidden" r:id="rId39"/>
    <sheet name="不动产比较法-仓储" sheetId="36" state="hidden" r:id="rId40"/>
    <sheet name="典型户型修正" sheetId="31" state="hidden" r:id="rId41"/>
    <sheet name="存贷款利率" sheetId="65" state="hidden" r:id="rId42"/>
    <sheet name="租金案例" sheetId="71" r:id="rId43"/>
    <sheet name="住宅土地案例" sheetId="69" r:id="rId44"/>
    <sheet name="Sheet1" sheetId="72" r:id="rId45"/>
  </sheets>
  <definedNames>
    <definedName name="_xlnm._FilterDatabase" localSheetId="20" hidden="1">'比较法-工业'!$A$1:$L$45</definedName>
    <definedName name="_xlnm._FilterDatabase" localSheetId="38" hidden="1">'比较法-售价'!$A$1:$L$50</definedName>
    <definedName name="_xlnm._FilterDatabase" localSheetId="17"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38">'比较法-售价'!$A$1:$K$67,'比较法-售价'!$A$71:$N$134</definedName>
    <definedName name="_xlnm.Print_Area" localSheetId="17">'比较法-住宅、综合'!$A$1:$K$67,'比较法-住宅、综合'!$A$71:$N$134</definedName>
    <definedName name="_xlnm.Print_Area" localSheetId="33">'不动产比较法-办公'!$A$1:$K$55,'不动产比较法-办公'!$A$58:$M$132</definedName>
    <definedName name="_xlnm.Print_Area" localSheetId="39">'不动产比较法-仓储'!$A$1:$K$42,'不动产比较法-仓储'!$A$45:$M$96</definedName>
    <definedName name="_xlnm.Print_Area" localSheetId="35">'不动产比较法-车位'!$A$1:$K$44,'不动产比较法-车位'!$A$47:$M$102</definedName>
    <definedName name="_xlnm.Print_Area" localSheetId="34">'不动产比较法-工业'!$A$1:$K$48,'不动产比较法-工业'!$A$51:$M$113</definedName>
    <definedName name="_xlnm.Print_Area" localSheetId="32">'不动产比较法-商业'!$A$1:$K$54,'不动产比较法-商业'!$A$57:$M$131</definedName>
    <definedName name="_xlnm.Print_Area" localSheetId="29">'不动产比较法-住宅'!$A$1:$K$54,'不动产比较法-住宅'!$A$57:$M$131</definedName>
    <definedName name="_xlnm.Print_Area" localSheetId="37">不动产收益法!$A$1:$F$43,不动产收益法!$H$3:$M$29,不动产收益法!$A$46:$F$70,不动产收益法!$I$46:$M$60</definedName>
    <definedName name="_xlnm.Print_Area" localSheetId="36">'不动产收益法 (车库)'!$A$1:$F$43,'不动产收益法 (车库)'!$H$3:$M$29,'不动产收益法 (车库)'!$A$46:$F$70,'不动产收益法 (车库)'!$I$46:$M$60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38">'比较法-售价'!$A$75:$M$75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38">'比较法-售价'!$B$108:$M$108</definedName>
    <definedName name="套综道路等级">'比较法-住宅、综合'!$B$108:$M$108</definedName>
    <definedName name="套综工程地质条件" localSheetId="38">'比较法-售价'!$B$127:$M$127</definedName>
    <definedName name="套综工程地质条件">'比较法-住宅、综合'!$B$127:$M$127</definedName>
    <definedName name="套综交易情况" localSheetId="38">'比较法-售价'!$A$75:$M$75</definedName>
    <definedName name="套综交易情况">'比较法-住宅、综合'!$A$75:$M$75</definedName>
    <definedName name="套综临街宽度及深度" localSheetId="38">'比较法-售价'!$B$123:$M$123</definedName>
    <definedName name="套综临街宽度及深度">'比较法-住宅、综合'!$B$123:$M$123</definedName>
    <definedName name="套综土地级别" localSheetId="38">'比较法-售价'!$B$110:$M$110</definedName>
    <definedName name="套综土地级别">'比较法-住宅、综合'!$B$110:$M$110</definedName>
    <definedName name="套综用途" localSheetId="38">'比较法-售价'!$B$77:$M$77</definedName>
    <definedName name="套综用途">'比较法-住宅、综合'!$B$77:$M$77</definedName>
    <definedName name="套综宗地内开发程度" localSheetId="38">'比较法-售价'!$B$125:$M$125</definedName>
    <definedName name="套综宗地内开发程度">'比较法-住宅、综合'!$B$125:$M$125</definedName>
    <definedName name="套综宗地形状" localSheetId="38">'比较法-售价'!$B$121:$M$121</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6" i="72" l="1"/>
  <c r="Q5" i="72"/>
  <c r="K5" i="72"/>
  <c r="P12" i="12"/>
  <c r="P8" i="72"/>
  <c r="P7" i="72"/>
  <c r="N7" i="72"/>
  <c r="P6" i="72"/>
  <c r="P5" i="72"/>
  <c r="P9" i="12"/>
  <c r="M9" i="12"/>
  <c r="H7" i="72"/>
  <c r="J6" i="72"/>
  <c r="J5" i="72"/>
  <c r="J7" i="72" l="1"/>
  <c r="I7" i="72" s="1"/>
  <c r="K13" i="3"/>
  <c r="I48" i="39"/>
  <c r="E48" i="39"/>
  <c r="Q73" i="70"/>
  <c r="Q60" i="70"/>
  <c r="D60" i="70"/>
  <c r="Q59" i="70"/>
  <c r="K59" i="70"/>
  <c r="P75" i="70" s="1"/>
  <c r="F58" i="70"/>
  <c r="Q52" i="70"/>
  <c r="J50" i="70"/>
  <c r="J51" i="70" s="1"/>
  <c r="M47" i="70"/>
  <c r="L46" i="70" s="1"/>
  <c r="F34" i="70"/>
  <c r="F61" i="70" s="1"/>
  <c r="F33" i="70"/>
  <c r="F60" i="70" s="1"/>
  <c r="F32" i="70"/>
  <c r="F59" i="70" s="1"/>
  <c r="F31" i="70"/>
  <c r="F28" i="70"/>
  <c r="C28" i="70"/>
  <c r="F23" i="70"/>
  <c r="D24" i="70" s="1"/>
  <c r="D23" i="70"/>
  <c r="D22" i="70"/>
  <c r="F21" i="70"/>
  <c r="M20" i="70"/>
  <c r="F20" i="70"/>
  <c r="M19" i="70"/>
  <c r="M18" i="70"/>
  <c r="F18" i="70"/>
  <c r="M17" i="70"/>
  <c r="F17" i="70"/>
  <c r="F15" i="70"/>
  <c r="G1" i="70"/>
  <c r="F9" i="70"/>
  <c r="F8" i="70"/>
  <c r="M22" i="70"/>
  <c r="L47" i="70"/>
  <c r="L59" i="70" l="1"/>
  <c r="F50" i="70"/>
  <c r="P62" i="70"/>
  <c r="AD13" i="3"/>
  <c r="AM7" i="1"/>
  <c r="AL7" i="1"/>
  <c r="AK7" i="1"/>
  <c r="I22" i="21"/>
  <c r="G22" i="21"/>
  <c r="J8" i="1"/>
  <c r="M6" i="70"/>
  <c r="M8" i="70"/>
  <c r="F36" i="70"/>
  <c r="F6" i="70"/>
  <c r="F16" i="70"/>
  <c r="J15" i="70"/>
  <c r="M9" i="70"/>
  <c r="F13" i="70"/>
  <c r="M26" i="70"/>
  <c r="M27" i="70"/>
  <c r="M23" i="70"/>
  <c r="F26" i="70"/>
  <c r="F40" i="70"/>
  <c r="F38" i="70"/>
  <c r="F37" i="70"/>
  <c r="J36" i="70"/>
  <c r="F42" i="70"/>
  <c r="M24" i="70"/>
  <c r="M28" i="70"/>
  <c r="L48" i="70"/>
  <c r="F67" i="70" l="1"/>
  <c r="F64" i="70"/>
  <c r="F63" i="70"/>
  <c r="L56" i="70"/>
  <c r="L57" i="70"/>
  <c r="L58" i="70"/>
  <c r="L60" i="70"/>
  <c r="J53" i="70"/>
  <c r="J60" i="70"/>
  <c r="Q49" i="70" s="1"/>
  <c r="J57" i="70"/>
  <c r="J55" i="70" s="1"/>
  <c r="J58" i="70" s="1"/>
  <c r="Q51" i="70" s="1"/>
  <c r="I54" i="70"/>
  <c r="J59" i="70"/>
  <c r="F65" i="70"/>
  <c r="Q72" i="70"/>
  <c r="C27" i="70"/>
  <c r="Q75" i="70"/>
  <c r="Q62" i="70"/>
  <c r="H17" i="4"/>
  <c r="G21" i="6"/>
  <c r="G20" i="6"/>
  <c r="AN13" i="3"/>
  <c r="AH13" i="3"/>
  <c r="Q53" i="70" l="1"/>
  <c r="F1" i="70"/>
  <c r="Q61" i="70"/>
  <c r="Q74" i="70"/>
  <c r="Q67" i="70"/>
  <c r="Q58" i="70"/>
  <c r="B35" i="1"/>
  <c r="E120" i="39"/>
  <c r="F120" i="39" s="1"/>
  <c r="D120" i="39"/>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D111" i="68"/>
  <c r="E111" i="68" s="1"/>
  <c r="F111" i="68" s="1"/>
  <c r="G111" i="68" s="1"/>
  <c r="H111" i="68" s="1"/>
  <c r="I111" i="68" s="1"/>
  <c r="J111" i="68" s="1"/>
  <c r="K111" i="68" s="1"/>
  <c r="L111" i="68" s="1"/>
  <c r="M111" i="68" s="1"/>
  <c r="D109" i="68"/>
  <c r="E109" i="68" s="1"/>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s="1"/>
  <c r="H66" i="68"/>
  <c r="I66" i="68" s="1"/>
  <c r="C66" i="68" s="1"/>
  <c r="H65" i="68"/>
  <c r="I65" i="68" s="1"/>
  <c r="C65" i="68" s="1"/>
  <c r="H64" i="68"/>
  <c r="I64" i="68" s="1"/>
  <c r="C64" i="68" s="1"/>
  <c r="H63" i="68"/>
  <c r="I63" i="68" s="1"/>
  <c r="C63" i="68" s="1"/>
  <c r="H62" i="68"/>
  <c r="I62" i="68" s="1"/>
  <c r="C62" i="68"/>
  <c r="I61" i="68"/>
  <c r="C61" i="68" s="1"/>
  <c r="H61" i="68"/>
  <c r="H60" i="68"/>
  <c r="I60" i="68" s="1"/>
  <c r="C60" i="68" s="1"/>
  <c r="I59" i="68"/>
  <c r="C59" i="68" s="1"/>
  <c r="H59" i="68"/>
  <c r="J57" i="68"/>
  <c r="I55" i="68"/>
  <c r="J55" i="68" s="1"/>
  <c r="G55" i="68"/>
  <c r="H55" i="68" s="1"/>
  <c r="E55" i="68"/>
  <c r="F55" i="68" s="1"/>
  <c r="P50" i="68"/>
  <c r="P49" i="68"/>
  <c r="K49" i="68"/>
  <c r="V48" i="68"/>
  <c r="T48" i="68"/>
  <c r="R48" i="68"/>
  <c r="P48"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F40" i="68"/>
  <c r="AA40" i="68" s="1"/>
  <c r="H40" i="68"/>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Q33" i="68"/>
  <c r="Z33" i="68" s="1"/>
  <c r="J33" i="68"/>
  <c r="AC33" i="68" s="1"/>
  <c r="H33" i="68"/>
  <c r="AB33" i="68" s="1"/>
  <c r="F33" i="68"/>
  <c r="AA33" i="68" s="1"/>
  <c r="Q31" i="68"/>
  <c r="Z31" i="68" s="1"/>
  <c r="J31" i="68"/>
  <c r="AC31" i="68" s="1"/>
  <c r="H31" i="68"/>
  <c r="AB31" i="68" s="1"/>
  <c r="F31" i="68"/>
  <c r="AA31" i="68" s="1"/>
  <c r="C31" i="68"/>
  <c r="AC29" i="68"/>
  <c r="W29" i="68"/>
  <c r="Q29" i="68"/>
  <c r="Z29" i="68" s="1"/>
  <c r="J29" i="68"/>
  <c r="H29" i="68"/>
  <c r="AB29" i="68" s="1"/>
  <c r="F29" i="68"/>
  <c r="AA29" i="68" s="1"/>
  <c r="C29" i="68"/>
  <c r="Q27" i="68"/>
  <c r="Z27" i="68" s="1"/>
  <c r="J27" i="68"/>
  <c r="AC27" i="68" s="1"/>
  <c r="H27" i="68"/>
  <c r="AB27" i="68" s="1"/>
  <c r="F27" i="68"/>
  <c r="AA27" i="68" s="1"/>
  <c r="C27" i="68"/>
  <c r="AC25" i="68"/>
  <c r="W25" i="68"/>
  <c r="Q25" i="68"/>
  <c r="Z25" i="68" s="1"/>
  <c r="J25" i="68"/>
  <c r="H25" i="68"/>
  <c r="AB25" i="68" s="1"/>
  <c r="F25" i="68"/>
  <c r="AA25" i="68" s="1"/>
  <c r="C25" i="68"/>
  <c r="Q23" i="68"/>
  <c r="Z23" i="68" s="1"/>
  <c r="J23" i="68"/>
  <c r="AC23" i="68" s="1"/>
  <c r="H23" i="68"/>
  <c r="AB23" i="68" s="1"/>
  <c r="F23" i="68"/>
  <c r="S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6" i="68"/>
  <c r="Z16" i="68" s="1"/>
  <c r="J16" i="68"/>
  <c r="AC16" i="68" s="1"/>
  <c r="H16" i="68"/>
  <c r="AB16" i="68" s="1"/>
  <c r="F16" i="68"/>
  <c r="AA16" i="68" s="1"/>
  <c r="Q15" i="68"/>
  <c r="Z15" i="68" s="1"/>
  <c r="J15" i="68"/>
  <c r="AC15" i="68" s="1"/>
  <c r="H15" i="68"/>
  <c r="AB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U10" i="68"/>
  <c r="J10" i="68"/>
  <c r="W10" i="68" s="1"/>
  <c r="H10" i="68"/>
  <c r="AB10" i="68" s="1"/>
  <c r="F10" i="68"/>
  <c r="S10" i="68" s="1"/>
  <c r="C9" i="68"/>
  <c r="C70" i="68" s="1"/>
  <c r="C40" i="39"/>
  <c r="AA23" i="68" l="1"/>
  <c r="F109" i="68"/>
  <c r="G109" i="68" s="1"/>
  <c r="H109" i="68" s="1"/>
  <c r="I109" i="68" s="1"/>
  <c r="J109" i="68" s="1"/>
  <c r="K109" i="68" s="1"/>
  <c r="L109" i="68" s="1"/>
  <c r="M109" i="68" s="1"/>
  <c r="J34" i="68"/>
  <c r="AC34" i="68" s="1"/>
  <c r="H34" i="68"/>
  <c r="AB34" i="68" s="1"/>
  <c r="F34" i="68"/>
  <c r="AA34" i="68" s="1"/>
  <c r="D70" i="68"/>
  <c r="C72" i="68"/>
  <c r="U11" i="68"/>
  <c r="U13" i="68"/>
  <c r="S14" i="68"/>
  <c r="W14" i="68"/>
  <c r="U15" i="68"/>
  <c r="S16" i="68"/>
  <c r="W16" i="68"/>
  <c r="S17" i="68"/>
  <c r="W17" i="68"/>
  <c r="S19" i="68"/>
  <c r="W19" i="68"/>
  <c r="S21" i="68"/>
  <c r="W21" i="68"/>
  <c r="W23" i="68"/>
  <c r="S25" i="68"/>
  <c r="W27" i="68"/>
  <c r="S29" i="68"/>
  <c r="W31" i="68"/>
  <c r="AA10" i="68"/>
  <c r="AC10" i="68"/>
  <c r="S11" i="68"/>
  <c r="W11" i="68"/>
  <c r="S13" i="68"/>
  <c r="W13" i="68"/>
  <c r="U14" i="68"/>
  <c r="S15" i="68"/>
  <c r="W15" i="68"/>
  <c r="U16" i="68"/>
  <c r="U17" i="68"/>
  <c r="U19" i="68"/>
  <c r="U21" i="68"/>
  <c r="U23" i="68"/>
  <c r="S27" i="68"/>
  <c r="S31" i="68"/>
  <c r="AB40" i="68"/>
  <c r="U40" i="68"/>
  <c r="U33" i="68"/>
  <c r="S34" i="68"/>
  <c r="U36" i="68"/>
  <c r="S37" i="68"/>
  <c r="W37" i="68"/>
  <c r="U38" i="68"/>
  <c r="S39" i="68"/>
  <c r="W39" i="68"/>
  <c r="S40" i="68"/>
  <c r="W40" i="68"/>
  <c r="U41" i="68"/>
  <c r="S42" i="68"/>
  <c r="W42" i="68"/>
  <c r="U43" i="68"/>
  <c r="S44" i="68"/>
  <c r="W44" i="68"/>
  <c r="U45" i="68"/>
  <c r="S46" i="68"/>
  <c r="W46" i="68"/>
  <c r="U47" i="68"/>
  <c r="U25" i="68"/>
  <c r="U27" i="68"/>
  <c r="U29" i="68"/>
  <c r="U31" i="68"/>
  <c r="S33" i="68"/>
  <c r="W33" i="68"/>
  <c r="S36" i="68"/>
  <c r="W36" i="68"/>
  <c r="U37" i="68"/>
  <c r="S38" i="68"/>
  <c r="W38" i="68"/>
  <c r="U39" i="68"/>
  <c r="S41" i="68"/>
  <c r="W41" i="68"/>
  <c r="U42" i="68"/>
  <c r="S43" i="68"/>
  <c r="W43" i="68"/>
  <c r="U44" i="68"/>
  <c r="S45" i="68"/>
  <c r="W45" i="68"/>
  <c r="U46" i="68"/>
  <c r="S47" i="68"/>
  <c r="W47" i="68"/>
  <c r="D3" i="4"/>
  <c r="W34" i="68" l="1"/>
  <c r="U34" i="68"/>
  <c r="D72" i="68"/>
  <c r="E70" i="68"/>
  <c r="AH5" i="59"/>
  <c r="AG5" i="59"/>
  <c r="AF5" i="59"/>
  <c r="AE5" i="59"/>
  <c r="AD5" i="59"/>
  <c r="Q5" i="59"/>
  <c r="P5" i="59"/>
  <c r="O5" i="59"/>
  <c r="N5" i="59"/>
  <c r="F70" i="68" l="1"/>
  <c r="E72" i="68"/>
  <c r="AH6" i="59"/>
  <c r="AG6" i="59"/>
  <c r="AE6" i="59"/>
  <c r="AF6" i="59" s="1"/>
  <c r="AD6" i="59"/>
  <c r="Q6" i="59"/>
  <c r="AB5" i="59" s="1"/>
  <c r="P6" i="59"/>
  <c r="AA5" i="59" s="1"/>
  <c r="O6" i="59"/>
  <c r="Y5" i="59" s="1"/>
  <c r="Z5" i="59" s="1"/>
  <c r="N6" i="59"/>
  <c r="X5" i="59" s="1"/>
  <c r="F72" i="68" l="1"/>
  <c r="G70" i="68"/>
  <c r="C16" i="11"/>
  <c r="C15" i="11"/>
  <c r="C14" i="11"/>
  <c r="C9" i="11"/>
  <c r="C8" i="11"/>
  <c r="H70" i="68" l="1"/>
  <c r="G72" i="68"/>
  <c r="K36" i="36"/>
  <c r="K38" i="35"/>
  <c r="K42" i="37"/>
  <c r="K49" i="34"/>
  <c r="H72" i="68" l="1"/>
  <c r="I70" i="68"/>
  <c r="K48" i="33"/>
  <c r="K48" i="21"/>
  <c r="J70" i="68" l="1"/>
  <c r="I72" i="68"/>
  <c r="K44" i="40"/>
  <c r="K49" i="39"/>
  <c r="E77" i="9"/>
  <c r="F77" i="9"/>
  <c r="J72" i="68" l="1"/>
  <c r="K70" i="68"/>
  <c r="AH7" i="59"/>
  <c r="AG7" i="59"/>
  <c r="AE7" i="59"/>
  <c r="AF7" i="59" s="1"/>
  <c r="AD7" i="59"/>
  <c r="Q7" i="59"/>
  <c r="AB6" i="59" s="1"/>
  <c r="P7" i="59"/>
  <c r="AA6" i="59" s="1"/>
  <c r="O7" i="59"/>
  <c r="Y6" i="59" s="1"/>
  <c r="Z6" i="59" s="1"/>
  <c r="N7" i="59"/>
  <c r="X6" i="59" s="1"/>
  <c r="L70" i="68" l="1"/>
  <c r="K72" i="68"/>
  <c r="A21" i="31"/>
  <c r="L72" i="68" l="1"/>
  <c r="M70" i="68"/>
  <c r="C109" i="9"/>
  <c r="N70" i="68" l="1"/>
  <c r="N72" i="68" s="1"/>
  <c r="M72" i="68"/>
  <c r="V9" i="59"/>
  <c r="U9" i="59"/>
  <c r="T9" i="59"/>
  <c r="S9" i="59"/>
  <c r="J9" i="68" l="1"/>
  <c r="F9" i="68"/>
  <c r="H9" i="68"/>
  <c r="AH8" i="59"/>
  <c r="AG8" i="59"/>
  <c r="AE8" i="59"/>
  <c r="AF8" i="59" s="1"/>
  <c r="AD8" i="59"/>
  <c r="Q8" i="59"/>
  <c r="AB7" i="59" s="1"/>
  <c r="P8" i="59"/>
  <c r="AA7" i="59" s="1"/>
  <c r="O8" i="59"/>
  <c r="Y7" i="59" s="1"/>
  <c r="Z7" i="59" s="1"/>
  <c r="N8" i="59"/>
  <c r="X7" i="59" s="1"/>
  <c r="U9" i="68" l="1"/>
  <c r="AB9" i="68"/>
  <c r="AA9" i="68"/>
  <c r="S9" i="68"/>
  <c r="AC9" i="68"/>
  <c r="W9" i="68"/>
  <c r="Q10" i="59"/>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V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s="1"/>
  <c r="Q74" i="44"/>
  <c r="Q61" i="44"/>
  <c r="Q60" i="44"/>
  <c r="Q53" i="44"/>
  <c r="J51" i="44"/>
  <c r="J52" i="44"/>
  <c r="M48" i="44"/>
  <c r="A16" i="55"/>
  <c r="A15" i="55"/>
  <c r="B66" i="63"/>
  <c r="A14" i="55"/>
  <c r="A10" i="55"/>
  <c r="B61" i="63"/>
  <c r="A9" i="55"/>
  <c r="B60" i="63"/>
  <c r="A8" i="55"/>
  <c r="A6" i="54"/>
  <c r="A8" i="54"/>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s="1"/>
  <c r="E5" i="54"/>
  <c r="B32" i="63" s="1"/>
  <c r="R2" i="54"/>
  <c r="B24"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40" i="39"/>
  <c r="AA40" i="39" s="1"/>
  <c r="F42" i="39"/>
  <c r="AA42" i="39"/>
  <c r="H10" i="39"/>
  <c r="AB10" i="39" s="1"/>
  <c r="H11" i="39"/>
  <c r="AB11" i="39" s="1"/>
  <c r="H40" i="39"/>
  <c r="AB40" i="39" s="1"/>
  <c r="H42" i="39"/>
  <c r="AB42" i="39"/>
  <c r="J10" i="39"/>
  <c r="AC10" i="39" s="1"/>
  <c r="J11" i="39"/>
  <c r="AC11"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c r="Q15" i="39"/>
  <c r="Z15" i="39"/>
  <c r="Q14" i="39"/>
  <c r="Z14" i="39" s="1"/>
  <c r="Q13" i="39"/>
  <c r="Z13" i="39"/>
  <c r="Q12" i="39"/>
  <c r="Z12" i="39"/>
  <c r="Q11" i="39"/>
  <c r="Z11" i="39"/>
  <c r="U10" i="39"/>
  <c r="C9" i="39"/>
  <c r="C70" i="39" s="1"/>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F11" i="21"/>
  <c r="S11" i="21" s="1"/>
  <c r="AC40" i="21"/>
  <c r="C29" i="39"/>
  <c r="C23"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B26" i="21"/>
  <c r="U26" i="21"/>
  <c r="J32" i="21"/>
  <c r="AC32" i="21" s="1"/>
  <c r="G13"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J17" i="39"/>
  <c r="W17" i="39" s="1"/>
  <c r="F21" i="39"/>
  <c r="S21" i="39" s="1"/>
  <c r="H21" i="39"/>
  <c r="AB21" i="39" s="1"/>
  <c r="J21" i="39"/>
  <c r="W21" i="39" s="1"/>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46" i="34"/>
  <c r="AC30" i="34"/>
  <c r="AA14" i="34"/>
  <c r="W12" i="34"/>
  <c r="U29" i="33"/>
  <c r="AC13" i="33"/>
  <c r="U17" i="34"/>
  <c r="AA11" i="34"/>
  <c r="W32" i="33"/>
  <c r="H15" i="33"/>
  <c r="U15" i="33"/>
  <c r="AA11" i="33"/>
  <c r="AA40" i="21"/>
  <c r="S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W28" i="21"/>
  <c r="AC46" i="21"/>
  <c r="AC26"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S29" i="39"/>
  <c r="AC21" i="39"/>
  <c r="AB15" i="39"/>
  <c r="U11" i="39"/>
  <c r="U41" i="39"/>
  <c r="AB38" i="39"/>
  <c r="U31" i="39"/>
  <c r="AB31" i="39"/>
  <c r="S38" i="39"/>
  <c r="S22" i="31"/>
  <c r="M20" i="15"/>
  <c r="D96" i="9"/>
  <c r="F28" i="15"/>
  <c r="M18" i="15"/>
  <c r="BA16" i="3"/>
  <c r="BA17" i="3"/>
  <c r="AZ17" i="3"/>
  <c r="F3" i="35"/>
  <c r="K1" i="43"/>
  <c r="K1" i="12"/>
  <c r="G1" i="44"/>
  <c r="I4" i="6"/>
  <c r="G3" i="46"/>
  <c r="AZ15" i="3"/>
  <c r="G5" i="3"/>
  <c r="B3" i="3" s="1"/>
  <c r="C33" i="21" s="1"/>
  <c r="H33" i="21" s="1"/>
  <c r="BK5" i="3"/>
  <c r="BO5" i="3"/>
  <c r="BP5" i="3"/>
  <c r="BN5" i="3"/>
  <c r="BL18" i="3"/>
  <c r="AZ18" i="3"/>
  <c r="BC5" i="3"/>
  <c r="E8" i="6"/>
  <c r="E58" i="68" s="1"/>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C46" i="36"/>
  <c r="C48" i="35"/>
  <c r="D48" i="35"/>
  <c r="C52" i="37"/>
  <c r="D52" i="37"/>
  <c r="O19" i="46"/>
  <c r="K17" i="4"/>
  <c r="A22" i="51" s="1"/>
  <c r="B16" i="63"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9" i="21"/>
  <c r="U27" i="21"/>
  <c r="W31" i="21"/>
  <c r="W29" i="21"/>
  <c r="G96" i="40"/>
  <c r="J27" i="40"/>
  <c r="W37" i="40"/>
  <c r="S17" i="40"/>
  <c r="W30" i="40"/>
  <c r="S34" i="40"/>
  <c r="U17" i="40"/>
  <c r="U38" i="40"/>
  <c r="S40" i="40"/>
  <c r="S42" i="40"/>
  <c r="J31" i="39"/>
  <c r="W31" i="39" s="1"/>
  <c r="S45" i="39"/>
  <c r="AB43" i="39"/>
  <c r="AB33" i="39"/>
  <c r="AC46" i="39"/>
  <c r="S34" i="39"/>
  <c r="W42" i="39"/>
  <c r="AC37"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D12" i="11" s="1"/>
  <c r="C12" i="11" s="1"/>
  <c r="E469" i="3"/>
  <c r="E398" i="3"/>
  <c r="W6"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AZ5" i="3" s="1"/>
  <c r="G29" i="6"/>
  <c r="AZ16" i="3"/>
  <c r="A9" i="64"/>
  <c r="A9" i="51"/>
  <c r="B9" i="63" s="1"/>
  <c r="G66" i="36"/>
  <c r="J18" i="36"/>
  <c r="AE6" i="1"/>
  <c r="W18" i="36"/>
  <c r="AC18" i="36"/>
  <c r="AG6" i="1"/>
  <c r="L20" i="6"/>
  <c r="C45" i="9"/>
  <c r="H14" i="66" s="1"/>
  <c r="B7" i="66" s="1"/>
  <c r="O40" i="9"/>
  <c r="K31" i="9"/>
  <c r="K32" i="9" s="1"/>
  <c r="R7" i="54"/>
  <c r="B52" i="63" s="1"/>
  <c r="N76" i="9"/>
  <c r="C46" i="9"/>
  <c r="K33" i="9"/>
  <c r="K34" i="9" s="1"/>
  <c r="O41" i="9"/>
  <c r="I14" i="66"/>
  <c r="B8" i="66" s="1"/>
  <c r="R8" i="54"/>
  <c r="B54" i="63" s="1"/>
  <c r="D58" i="21"/>
  <c r="C72" i="39"/>
  <c r="D58" i="33"/>
  <c r="E58" i="33"/>
  <c r="D65" i="40"/>
  <c r="E65" i="40" s="1"/>
  <c r="E67" i="40"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7" i="43"/>
  <c r="C28" i="15"/>
  <c r="H1" i="65"/>
  <c r="Q16" i="1"/>
  <c r="F24" i="43" s="1"/>
  <c r="C26" i="43" s="1"/>
  <c r="D24" i="43" s="1"/>
  <c r="H51" i="46"/>
  <c r="X7" i="46"/>
  <c r="E17" i="46"/>
  <c r="N17" i="46"/>
  <c r="O17" i="46"/>
  <c r="M17" i="46"/>
  <c r="L17" i="46"/>
  <c r="H22" i="46"/>
  <c r="Y11" i="46"/>
  <c r="Y13" i="46"/>
  <c r="H101" i="46"/>
  <c r="H102" i="46"/>
  <c r="G22" i="46"/>
  <c r="J22" i="46"/>
  <c r="F101" i="46"/>
  <c r="F106" i="46"/>
  <c r="D101" i="46"/>
  <c r="D106" i="46"/>
  <c r="AP7" i="1"/>
  <c r="G13" i="1"/>
  <c r="E52" i="37"/>
  <c r="D46" i="36"/>
  <c r="E48" i="35"/>
  <c r="D59" i="34"/>
  <c r="G6" i="1"/>
  <c r="H70" i="46"/>
  <c r="F107" i="46"/>
  <c r="H73" i="46"/>
  <c r="H50" i="46"/>
  <c r="H48" i="46"/>
  <c r="F35" i="46"/>
  <c r="I17" i="46"/>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14" i="59"/>
  <c r="C13" i="59"/>
  <c r="T13" i="59"/>
  <c r="B14" i="59"/>
  <c r="B13" i="59"/>
  <c r="S13" i="59"/>
  <c r="D14" i="59"/>
  <c r="D67" i="40"/>
  <c r="E70" i="39"/>
  <c r="F70" i="39" s="1"/>
  <c r="G70" i="39" s="1"/>
  <c r="G72" i="39" s="1"/>
  <c r="V13" i="59"/>
  <c r="D13" i="59"/>
  <c r="D107" i="46"/>
  <c r="M106" i="46"/>
  <c r="M102" i="46"/>
  <c r="H107" i="46"/>
  <c r="M105" i="46"/>
  <c r="H105" i="46"/>
  <c r="H109" i="46"/>
  <c r="D103" i="46"/>
  <c r="D102" i="46"/>
  <c r="H104" i="46"/>
  <c r="H106" i="46"/>
  <c r="D105" i="46"/>
  <c r="D109" i="46"/>
  <c r="D104" i="46"/>
  <c r="F48" i="35"/>
  <c r="G48" i="35" s="1"/>
  <c r="H48" i="35" s="1"/>
  <c r="E46" i="36"/>
  <c r="E59" i="34"/>
  <c r="F59" i="34"/>
  <c r="F52" i="37"/>
  <c r="G52" i="37" s="1"/>
  <c r="C23" i="46"/>
  <c r="D118" i="46"/>
  <c r="E118" i="46" s="1"/>
  <c r="F118" i="46" s="1"/>
  <c r="J107" i="46"/>
  <c r="C103" i="46"/>
  <c r="C7" i="46"/>
  <c r="E72" i="39"/>
  <c r="F65" i="40"/>
  <c r="F67" i="40" s="1"/>
  <c r="D12" i="59"/>
  <c r="D11" i="59"/>
  <c r="G20" i="46"/>
  <c r="E41" i="46"/>
  <c r="C41" i="46"/>
  <c r="F46" i="36"/>
  <c r="G65" i="40"/>
  <c r="G67" i="40" s="1"/>
  <c r="F72" i="39"/>
  <c r="H52" i="37"/>
  <c r="H70" i="39"/>
  <c r="H65" i="40"/>
  <c r="I52" i="37"/>
  <c r="I48" i="35"/>
  <c r="H67" i="40"/>
  <c r="I65" i="40"/>
  <c r="I70" i="39"/>
  <c r="H72" i="39"/>
  <c r="J48" i="35"/>
  <c r="J52" i="37"/>
  <c r="J65" i="40"/>
  <c r="I67" i="40"/>
  <c r="J70" i="39"/>
  <c r="I72" i="39"/>
  <c r="K48" i="35"/>
  <c r="L48" i="35"/>
  <c r="M48" i="35" s="1"/>
  <c r="K52" i="37"/>
  <c r="J72" i="39"/>
  <c r="K70" i="39"/>
  <c r="K65" i="40"/>
  <c r="K67" i="40" s="1"/>
  <c r="J67" i="40"/>
  <c r="L52" i="37"/>
  <c r="L70" i="39"/>
  <c r="K72" i="39"/>
  <c r="L65" i="40"/>
  <c r="M65" i="40" s="1"/>
  <c r="M52" i="37"/>
  <c r="N52" i="37" s="1"/>
  <c r="L67" i="40"/>
  <c r="L72" i="39"/>
  <c r="M70" i="39"/>
  <c r="N70" i="39" s="1"/>
  <c r="N72" i="39" s="1"/>
  <c r="E9" i="67"/>
  <c r="M22" i="15"/>
  <c r="N4" i="65"/>
  <c r="F37" i="15"/>
  <c r="M28" i="15"/>
  <c r="M9" i="15"/>
  <c r="F26" i="15"/>
  <c r="F38" i="44"/>
  <c r="B8" i="67"/>
  <c r="B9" i="67"/>
  <c r="F10" i="67"/>
  <c r="I4" i="65"/>
  <c r="F9" i="67"/>
  <c r="F36" i="15"/>
  <c r="I5" i="65"/>
  <c r="M29" i="70"/>
  <c r="J4" i="65"/>
  <c r="M8" i="15"/>
  <c r="F7" i="70"/>
  <c r="B13" i="67"/>
  <c r="F6" i="15"/>
  <c r="M23" i="15"/>
  <c r="F43" i="15"/>
  <c r="F10" i="44"/>
  <c r="J17" i="44"/>
  <c r="I3" i="65"/>
  <c r="E13" i="67"/>
  <c r="M10" i="44"/>
  <c r="E10" i="67"/>
  <c r="M8" i="44"/>
  <c r="J36" i="15"/>
  <c r="M27" i="15"/>
  <c r="M31" i="44"/>
  <c r="J15" i="15"/>
  <c r="M6" i="15"/>
  <c r="F43" i="70"/>
  <c r="F40" i="44"/>
  <c r="F18" i="44"/>
  <c r="M26" i="15"/>
  <c r="N7" i="65"/>
  <c r="L49" i="44"/>
  <c r="J3" i="65"/>
  <c r="F11" i="67"/>
  <c r="F12" i="67"/>
  <c r="F14" i="67"/>
  <c r="M28" i="44"/>
  <c r="M25" i="44"/>
  <c r="L47" i="15"/>
  <c r="B11" i="67"/>
  <c r="F40" i="15"/>
  <c r="I6" i="65"/>
  <c r="B10" i="67"/>
  <c r="E8" i="67"/>
  <c r="C19" i="44"/>
  <c r="F9" i="15"/>
  <c r="M23" i="44"/>
  <c r="F8" i="44"/>
  <c r="M11" i="44"/>
  <c r="M29" i="15"/>
  <c r="M29" i="44"/>
  <c r="M26" i="44"/>
  <c r="L48" i="44"/>
  <c r="F7" i="15"/>
  <c r="B12" i="67"/>
  <c r="F43" i="44"/>
  <c r="N5" i="65"/>
  <c r="F42" i="15"/>
  <c r="F38" i="15"/>
  <c r="F8" i="15"/>
  <c r="F46" i="44"/>
  <c r="J6" i="65"/>
  <c r="M24" i="15"/>
  <c r="E14" i="67"/>
  <c r="N6" i="65"/>
  <c r="F9" i="44"/>
  <c r="E12" i="67"/>
  <c r="M24" i="44"/>
  <c r="N3" i="65"/>
  <c r="F11" i="44"/>
  <c r="F28" i="44"/>
  <c r="B14" i="67"/>
  <c r="F16" i="15"/>
  <c r="J7" i="65"/>
  <c r="I7" i="65"/>
  <c r="F13" i="15"/>
  <c r="F45" i="44"/>
  <c r="M30" i="44"/>
  <c r="F13" i="67"/>
  <c r="E11" i="67"/>
  <c r="J5" i="65"/>
  <c r="F8" i="67"/>
  <c r="F37" i="44"/>
  <c r="F15" i="44"/>
  <c r="L48" i="15"/>
  <c r="F39" i="44"/>
  <c r="M7" i="70" l="1"/>
  <c r="J6" i="70" s="1"/>
  <c r="J18" i="70" s="1"/>
  <c r="F49" i="70"/>
  <c r="C48" i="70" s="1"/>
  <c r="C6" i="70"/>
  <c r="F70" i="70"/>
  <c r="M7" i="1"/>
  <c r="G17" i="46"/>
  <c r="C16" i="46" s="1"/>
  <c r="D5" i="46" s="1"/>
  <c r="W43" i="21"/>
  <c r="AA43" i="21"/>
  <c r="H113" i="21"/>
  <c r="F37" i="21"/>
  <c r="J37" i="21"/>
  <c r="H37" i="21"/>
  <c r="W25" i="21"/>
  <c r="F85" i="21"/>
  <c r="G85" i="21" s="1"/>
  <c r="J23" i="21"/>
  <c r="W23" i="21" s="1"/>
  <c r="H23" i="21"/>
  <c r="F23" i="21"/>
  <c r="AA23" i="21" s="1"/>
  <c r="F17" i="21"/>
  <c r="S17" i="21" s="1"/>
  <c r="J17" i="21"/>
  <c r="AC17" i="21" s="1"/>
  <c r="F79" i="21"/>
  <c r="G79" i="21" s="1"/>
  <c r="H17" i="21"/>
  <c r="F77" i="21"/>
  <c r="G77" i="21" s="1"/>
  <c r="J15" i="21"/>
  <c r="AC15" i="21" s="1"/>
  <c r="F15" i="21"/>
  <c r="S15" i="21" s="1"/>
  <c r="H15" i="21"/>
  <c r="U15" i="21" s="1"/>
  <c r="F101" i="39"/>
  <c r="G101" i="39" s="1"/>
  <c r="H27" i="39"/>
  <c r="AB27" i="39" s="1"/>
  <c r="F27" i="39"/>
  <c r="J27" i="39"/>
  <c r="AC27" i="39" s="1"/>
  <c r="J36" i="39"/>
  <c r="H36" i="39"/>
  <c r="F36" i="39"/>
  <c r="S43" i="39"/>
  <c r="F91" i="39"/>
  <c r="G91" i="39" s="1"/>
  <c r="H17" i="39"/>
  <c r="U17" i="39" s="1"/>
  <c r="AB29" i="39"/>
  <c r="S14" i="39"/>
  <c r="U33" i="21"/>
  <c r="AB33" i="21"/>
  <c r="F33" i="21"/>
  <c r="J33" i="21"/>
  <c r="AB25" i="21"/>
  <c r="AA25" i="21"/>
  <c r="U35" i="21"/>
  <c r="AC35" i="21"/>
  <c r="S35" i="21"/>
  <c r="S27" i="21"/>
  <c r="AC27" i="21"/>
  <c r="S26" i="21"/>
  <c r="AA36" i="21"/>
  <c r="AC36" i="21"/>
  <c r="AB36" i="21"/>
  <c r="U43" i="21"/>
  <c r="H42" i="21"/>
  <c r="AB42" i="21" s="1"/>
  <c r="G123" i="21"/>
  <c r="H123" i="21" s="1"/>
  <c r="I123" i="21" s="1"/>
  <c r="J123" i="21" s="1"/>
  <c r="K123" i="21" s="1"/>
  <c r="L123" i="21" s="1"/>
  <c r="M123" i="21" s="1"/>
  <c r="U42" i="21"/>
  <c r="W42" i="21"/>
  <c r="S42" i="21"/>
  <c r="W39" i="21"/>
  <c r="U39" i="21"/>
  <c r="U38" i="21"/>
  <c r="AA38" i="21"/>
  <c r="S34" i="21"/>
  <c r="W32" i="21"/>
  <c r="AB32" i="21"/>
  <c r="AC23" i="21"/>
  <c r="S23" i="21"/>
  <c r="S21" i="21"/>
  <c r="S19" i="21"/>
  <c r="AC19" i="21"/>
  <c r="U19" i="21"/>
  <c r="AA17" i="21"/>
  <c r="W17" i="21"/>
  <c r="AA15" i="21"/>
  <c r="W15" i="21"/>
  <c r="U9" i="21"/>
  <c r="W9" i="21"/>
  <c r="S8" i="21"/>
  <c r="U14" i="39"/>
  <c r="W14" i="39"/>
  <c r="P75" i="15"/>
  <c r="J26" i="35"/>
  <c r="H26" i="35"/>
  <c r="F26" i="35"/>
  <c r="D18" i="9"/>
  <c r="M44" i="9" s="1"/>
  <c r="M43" i="9"/>
  <c r="A30" i="51"/>
  <c r="B22" i="63" s="1"/>
  <c r="A30" i="64"/>
  <c r="G102" i="46"/>
  <c r="L103" i="46"/>
  <c r="L106" i="46"/>
  <c r="G109" i="46"/>
  <c r="B117" i="46"/>
  <c r="C117" i="46" s="1"/>
  <c r="B115" i="46"/>
  <c r="C115" i="46" s="1"/>
  <c r="I107" i="46"/>
  <c r="E109" i="46"/>
  <c r="G105" i="46"/>
  <c r="G103" i="46"/>
  <c r="I117" i="46"/>
  <c r="J117" i="46" s="1"/>
  <c r="K117" i="46" s="1"/>
  <c r="L117" i="46" s="1"/>
  <c r="M117" i="46" s="1"/>
  <c r="B116" i="46"/>
  <c r="C116" i="46" s="1"/>
  <c r="I115" i="46"/>
  <c r="J115" i="46" s="1"/>
  <c r="K115" i="46" s="1"/>
  <c r="L115" i="46" s="1"/>
  <c r="M115" i="46" s="1"/>
  <c r="E106" i="46"/>
  <c r="N107" i="46"/>
  <c r="H16" i="1"/>
  <c r="E29" i="6"/>
  <c r="L19" i="6" s="1"/>
  <c r="L27" i="6" s="1"/>
  <c r="C5" i="46"/>
  <c r="D23" i="15"/>
  <c r="AA44" i="39"/>
  <c r="AB44" i="39"/>
  <c r="AC43" i="39"/>
  <c r="W41" i="39"/>
  <c r="S31" i="39"/>
  <c r="AC31" i="39"/>
  <c r="W29" i="39"/>
  <c r="U27" i="39"/>
  <c r="W27" i="39"/>
  <c r="S25" i="39"/>
  <c r="AB25" i="39"/>
  <c r="U23" i="39"/>
  <c r="W23" i="39"/>
  <c r="S23" i="39"/>
  <c r="AC17" i="39"/>
  <c r="S17" i="39"/>
  <c r="N65" i="40"/>
  <c r="N67" i="40" s="1"/>
  <c r="M67" i="40"/>
  <c r="J9" i="40" s="1"/>
  <c r="AC9" i="40" s="1"/>
  <c r="V44" i="40" s="1"/>
  <c r="I44" i="40" s="1"/>
  <c r="O52" i="37"/>
  <c r="H7" i="37" s="1"/>
  <c r="H9" i="40"/>
  <c r="U9" i="40" s="1"/>
  <c r="F9" i="40"/>
  <c r="S9" i="40" s="1"/>
  <c r="F7" i="35"/>
  <c r="N48" i="35"/>
  <c r="O48" i="35" s="1"/>
  <c r="J7" i="35"/>
  <c r="H7" i="35"/>
  <c r="G46" i="36"/>
  <c r="G59" i="34"/>
  <c r="F58" i="33"/>
  <c r="M72" i="39"/>
  <c r="F7" i="37"/>
  <c r="E58" i="21"/>
  <c r="C95" i="9"/>
  <c r="C92" i="9" s="1"/>
  <c r="C25" i="12"/>
  <c r="C15" i="43"/>
  <c r="C31" i="43"/>
  <c r="E107" i="46"/>
  <c r="K106" i="46"/>
  <c r="N106" i="46"/>
  <c r="L105" i="46"/>
  <c r="E103" i="46"/>
  <c r="K105" i="46"/>
  <c r="K103" i="46"/>
  <c r="N102" i="46"/>
  <c r="I103" i="46"/>
  <c r="I104" i="46"/>
  <c r="I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F30" i="6"/>
  <c r="J103" i="46"/>
  <c r="M104" i="46"/>
  <c r="F33" i="12"/>
  <c r="C34" i="12" s="1"/>
  <c r="D33" i="12" s="1"/>
  <c r="E3" i="6"/>
  <c r="AY6" i="3"/>
  <c r="M109" i="46"/>
  <c r="M103"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357" i="3"/>
  <c r="E178" i="3"/>
  <c r="E141" i="3"/>
  <c r="E119" i="3"/>
  <c r="E179" i="3"/>
  <c r="J6" i="3"/>
  <c r="E168" i="3"/>
  <c r="E500" i="3"/>
  <c r="AS6" i="3"/>
  <c r="E48" i="3"/>
  <c r="E34" i="3"/>
  <c r="E97" i="3"/>
  <c r="E444" i="3"/>
  <c r="E438" i="3"/>
  <c r="E407" i="3"/>
  <c r="AE6" i="3"/>
  <c r="E383" i="3"/>
  <c r="E455" i="3"/>
  <c r="E550" i="3"/>
  <c r="E28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F31" i="6"/>
  <c r="E15" i="6"/>
  <c r="E67" i="68" s="1"/>
  <c r="E12" i="6"/>
  <c r="E64" i="68" s="1"/>
  <c r="E11" i="6"/>
  <c r="E14" i="6"/>
  <c r="E66" i="68" s="1"/>
  <c r="E13" i="6"/>
  <c r="E65" i="68" s="1"/>
  <c r="E10" i="6"/>
  <c r="BI6" i="3"/>
  <c r="D16" i="43"/>
  <c r="C16" i="43" s="1"/>
  <c r="L38" i="9"/>
  <c r="B14" i="66" s="1"/>
  <c r="B1" i="66" s="1"/>
  <c r="D45" i="9"/>
  <c r="C21" i="4"/>
  <c r="D16" i="12"/>
  <c r="D46" i="9"/>
  <c r="K15" i="1"/>
  <c r="G30" i="6"/>
  <c r="G31" i="6" s="1"/>
  <c r="E28" i="6"/>
  <c r="C106" i="46"/>
  <c r="C104" i="46"/>
  <c r="J102" i="46"/>
  <c r="E6" i="6"/>
  <c r="D22" i="12" s="1"/>
  <c r="C22" i="12" s="1"/>
  <c r="D21" i="12"/>
  <c r="C21" i="12" s="1"/>
  <c r="O10" i="1"/>
  <c r="P10" i="1" s="1"/>
  <c r="O9" i="1"/>
  <c r="P9" i="1" s="1"/>
  <c r="O13" i="1"/>
  <c r="P13" i="1" s="1"/>
  <c r="O6" i="1"/>
  <c r="P6" i="1" s="1"/>
  <c r="O7" i="1"/>
  <c r="P7" i="1" s="1"/>
  <c r="O11" i="1"/>
  <c r="P11" i="1" s="1"/>
  <c r="O12" i="1"/>
  <c r="P12" i="1" s="1"/>
  <c r="J109" i="46"/>
  <c r="C105" i="46"/>
  <c r="C102" i="46"/>
  <c r="C107" i="46"/>
  <c r="J105" i="46"/>
  <c r="J104" i="46"/>
  <c r="A18" i="64"/>
  <c r="B74" i="63" s="1"/>
  <c r="C53" i="10"/>
  <c r="A25" i="64" s="1"/>
  <c r="A18" i="51"/>
  <c r="B14" i="63" s="1"/>
  <c r="L5" i="54"/>
  <c r="B39" i="63" s="1"/>
  <c r="K5" i="54"/>
  <c r="T41" i="4"/>
  <c r="A17" i="64" s="1"/>
  <c r="A11" i="55"/>
  <c r="B62" i="63" s="1"/>
  <c r="G16" i="1"/>
  <c r="AP16" i="1"/>
  <c r="F22" i="11" s="1"/>
  <c r="C18" i="11"/>
  <c r="K77" i="9"/>
  <c r="K79" i="9" s="1"/>
  <c r="K81" i="9" s="1"/>
  <c r="E12" i="52"/>
  <c r="B15" i="52"/>
  <c r="F31" i="15"/>
  <c r="F33" i="44"/>
  <c r="D8" i="59"/>
  <c r="C7" i="59"/>
  <c r="E9" i="59"/>
  <c r="E8" i="59" s="1"/>
  <c r="E7" i="59" s="1"/>
  <c r="E6" i="59" s="1"/>
  <c r="E5" i="59" s="1"/>
  <c r="U5" i="59" s="1"/>
  <c r="B9" i="59"/>
  <c r="B8" i="59" s="1"/>
  <c r="B7" i="59" s="1"/>
  <c r="B6" i="59" s="1"/>
  <c r="B5" i="59" s="1"/>
  <c r="S5" i="59" s="1"/>
  <c r="X8" i="59"/>
  <c r="Y8" i="59"/>
  <c r="Z8"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9" i="59"/>
  <c r="AA9" i="59"/>
  <c r="D9" i="59"/>
  <c r="Y9" i="59"/>
  <c r="Z9" i="59" s="1"/>
  <c r="AA9" i="40"/>
  <c r="R44" i="40" s="1"/>
  <c r="R45" i="40" s="1"/>
  <c r="P22" i="46"/>
  <c r="P24" i="46"/>
  <c r="B68" i="40" s="1"/>
  <c r="P23" i="46"/>
  <c r="P25" i="46"/>
  <c r="B73" i="39" s="1"/>
  <c r="P21" i="46"/>
  <c r="I48" i="40"/>
  <c r="J48" i="40" s="1"/>
  <c r="AB9" i="40"/>
  <c r="T44" i="40" s="1"/>
  <c r="G44" i="40" s="1"/>
  <c r="W9" i="40"/>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8" i="44"/>
  <c r="E2" i="65"/>
  <c r="C16" i="70"/>
  <c r="C16" i="15"/>
  <c r="E3" i="65"/>
  <c r="C32" i="70" l="1"/>
  <c r="C33" i="70"/>
  <c r="M11" i="70"/>
  <c r="J10" i="70" s="1"/>
  <c r="J5" i="70" s="1"/>
  <c r="F11" i="70"/>
  <c r="U37" i="21"/>
  <c r="AB37" i="21"/>
  <c r="S37" i="21"/>
  <c r="AA37" i="21"/>
  <c r="W37" i="21"/>
  <c r="AC37" i="21"/>
  <c r="U23" i="21"/>
  <c r="AB23" i="21"/>
  <c r="AB17" i="21"/>
  <c r="U17" i="21"/>
  <c r="AB15" i="21"/>
  <c r="AA27" i="39"/>
  <c r="S27" i="39"/>
  <c r="AB36" i="39"/>
  <c r="U36" i="39"/>
  <c r="AA36" i="39"/>
  <c r="S36" i="39"/>
  <c r="AC36" i="39"/>
  <c r="W36" i="39"/>
  <c r="AB17" i="39"/>
  <c r="W33" i="21"/>
  <c r="AC33" i="21"/>
  <c r="AA33" i="21"/>
  <c r="S33" i="21"/>
  <c r="U26" i="35"/>
  <c r="AB26" i="35"/>
  <c r="AA26" i="35"/>
  <c r="S26" i="35"/>
  <c r="W26" i="35"/>
  <c r="AC26" i="35"/>
  <c r="S2" i="46"/>
  <c r="S7" i="46"/>
  <c r="S4" i="46"/>
  <c r="S5" i="46"/>
  <c r="S3" i="46"/>
  <c r="S6" i="46"/>
  <c r="E63" i="39"/>
  <c r="E63" i="68"/>
  <c r="H12" i="40"/>
  <c r="AB12" i="40" s="1"/>
  <c r="J12" i="68"/>
  <c r="F12" i="68"/>
  <c r="H12" i="68"/>
  <c r="AA7" i="37"/>
  <c r="R42" i="37" s="1"/>
  <c r="S7" i="37"/>
  <c r="G58" i="33"/>
  <c r="H59" i="34"/>
  <c r="AB7" i="35"/>
  <c r="T38" i="35" s="1"/>
  <c r="G38" i="35" s="1"/>
  <c r="U7" i="35"/>
  <c r="U7" i="37"/>
  <c r="AB7" i="37"/>
  <c r="T42" i="37" s="1"/>
  <c r="G42" i="37" s="1"/>
  <c r="F58" i="21"/>
  <c r="J9" i="39"/>
  <c r="F9" i="39"/>
  <c r="H9" i="39"/>
  <c r="H46" i="36"/>
  <c r="W7" i="35"/>
  <c r="AC7" i="35"/>
  <c r="V38" i="35" s="1"/>
  <c r="I38" i="35" s="1"/>
  <c r="AA7" i="35"/>
  <c r="R38" i="35" s="1"/>
  <c r="S7" i="35"/>
  <c r="J7" i="37"/>
  <c r="C15" i="12"/>
  <c r="E58" i="40"/>
  <c r="H12" i="39"/>
  <c r="AB12" i="39" s="1"/>
  <c r="E16" i="6"/>
  <c r="D113" i="46"/>
  <c r="C20" i="12"/>
  <c r="AC6" i="3"/>
  <c r="E6" i="3" s="1"/>
  <c r="D3" i="6"/>
  <c r="E68" i="68"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530" i="3"/>
  <c r="AY87" i="3"/>
  <c r="AY97" i="3"/>
  <c r="AY109" i="3"/>
  <c r="AY198" i="3"/>
  <c r="AY142" i="3"/>
  <c r="AY77" i="3"/>
  <c r="AY537" i="3"/>
  <c r="AY73" i="3"/>
  <c r="AY144" i="3"/>
  <c r="AY57" i="3"/>
  <c r="AY136" i="3"/>
  <c r="AY262" i="3"/>
  <c r="AY232" i="3"/>
  <c r="AY349" i="3"/>
  <c r="AY448" i="3"/>
  <c r="AY397" i="3"/>
  <c r="AY49" i="3"/>
  <c r="AY149" i="3"/>
  <c r="AY38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245" i="3"/>
  <c r="AY127"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12" i="40"/>
  <c r="S12" i="40" s="1"/>
  <c r="D19" i="12"/>
  <c r="C19" i="12" s="1"/>
  <c r="C16" i="12"/>
  <c r="E61" i="40"/>
  <c r="E66" i="39"/>
  <c r="E59" i="40"/>
  <c r="E64" i="39"/>
  <c r="D12" i="6"/>
  <c r="K20" i="6"/>
  <c r="K24" i="6"/>
  <c r="M24" i="6" s="1"/>
  <c r="I24" i="6" s="1"/>
  <c r="E30" i="6"/>
  <c r="E31" i="6" s="1"/>
  <c r="K23" i="6"/>
  <c r="M23" i="6" s="1"/>
  <c r="I23" i="6" s="1"/>
  <c r="K21" i="6"/>
  <c r="D28" i="6"/>
  <c r="K19" i="6"/>
  <c r="S6" i="1" s="1"/>
  <c r="K26" i="6"/>
  <c r="M26" i="6" s="1"/>
  <c r="I26" i="6" s="1"/>
  <c r="K22" i="6"/>
  <c r="K25" i="6"/>
  <c r="M25" i="6" s="1"/>
  <c r="I25" i="6" s="1"/>
  <c r="K14" i="1"/>
  <c r="O5" i="54"/>
  <c r="B45" i="63" s="1"/>
  <c r="C8" i="66"/>
  <c r="C7" i="66"/>
  <c r="E60" i="40"/>
  <c r="E65" i="39"/>
  <c r="D13" i="6"/>
  <c r="E62" i="40"/>
  <c r="E67" i="39"/>
  <c r="D13" i="11"/>
  <c r="C13" i="11" s="1"/>
  <c r="D6" i="6"/>
  <c r="J12" i="39"/>
  <c r="AC12" i="39" s="1"/>
  <c r="A25" i="51"/>
  <c r="B18" i="63" s="1"/>
  <c r="A17" i="51"/>
  <c r="B13" i="63" s="1"/>
  <c r="B38" i="63"/>
  <c r="A3" i="55"/>
  <c r="B56" i="63" s="1"/>
  <c r="J12" i="40"/>
  <c r="W12" i="40" s="1"/>
  <c r="F12" i="39"/>
  <c r="S12" i="39" s="1"/>
  <c r="E44" i="40"/>
  <c r="I49" i="40" s="1"/>
  <c r="J49" i="40" s="1"/>
  <c r="D7" i="59"/>
  <c r="C6" i="59"/>
  <c r="M19" i="44"/>
  <c r="C19" i="46"/>
  <c r="C34" i="46" s="1"/>
  <c r="G48" i="40"/>
  <c r="H48" i="40" s="1"/>
  <c r="G49" i="40"/>
  <c r="H49" i="40" s="1"/>
  <c r="C44" i="40"/>
  <c r="C45" i="40"/>
  <c r="B40" i="1"/>
  <c r="F24" i="70"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C52" i="70" l="1"/>
  <c r="C47" i="70" s="1"/>
  <c r="C10" i="70"/>
  <c r="C5" i="70" s="1"/>
  <c r="C24" i="70"/>
  <c r="J26" i="70"/>
  <c r="J24" i="70"/>
  <c r="U12" i="40"/>
  <c r="M22" i="6"/>
  <c r="I22" i="6" s="1"/>
  <c r="H22" i="6" s="1"/>
  <c r="S9" i="1"/>
  <c r="U12" i="39"/>
  <c r="M21" i="6"/>
  <c r="I21" i="6" s="1"/>
  <c r="S21" i="6" s="1"/>
  <c r="S8" i="1"/>
  <c r="AC12" i="40"/>
  <c r="M20" i="6"/>
  <c r="I20" i="6" s="1"/>
  <c r="S7" i="1"/>
  <c r="AA12" i="40"/>
  <c r="AB12" i="68"/>
  <c r="T49" i="68" s="1"/>
  <c r="G49" i="68" s="1"/>
  <c r="U12" i="68"/>
  <c r="AC12" i="68"/>
  <c r="V49" i="68" s="1"/>
  <c r="I49" i="68" s="1"/>
  <c r="I53" i="68" s="1"/>
  <c r="J53" i="68" s="1"/>
  <c r="W12" i="68"/>
  <c r="AA12" i="68"/>
  <c r="R49" i="68" s="1"/>
  <c r="S12" i="68"/>
  <c r="I42" i="35"/>
  <c r="J42" i="35" s="1"/>
  <c r="U9" i="39"/>
  <c r="AB9" i="39"/>
  <c r="T49" i="39" s="1"/>
  <c r="G49" i="39" s="1"/>
  <c r="W9" i="39"/>
  <c r="AC9" i="39"/>
  <c r="V49" i="39" s="1"/>
  <c r="I49" i="39" s="1"/>
  <c r="G42" i="35"/>
  <c r="H42" i="35" s="1"/>
  <c r="G43" i="35"/>
  <c r="H43" i="35" s="1"/>
  <c r="AC7" i="37"/>
  <c r="V42" i="37" s="1"/>
  <c r="I42" i="37" s="1"/>
  <c r="W7" i="37"/>
  <c r="R39" i="35"/>
  <c r="E38" i="35"/>
  <c r="I46" i="36"/>
  <c r="S9" i="39"/>
  <c r="AA9" i="39"/>
  <c r="G58" i="21"/>
  <c r="H58" i="21" s="1"/>
  <c r="I58" i="21" s="1"/>
  <c r="J58" i="21" s="1"/>
  <c r="K58" i="21" s="1"/>
  <c r="L58" i="21" s="1"/>
  <c r="M58" i="21" s="1"/>
  <c r="N58" i="21" s="1"/>
  <c r="O58" i="21" s="1"/>
  <c r="J7" i="21"/>
  <c r="G46" i="37"/>
  <c r="H46" i="37" s="1"/>
  <c r="G47" i="37"/>
  <c r="H47" i="37" s="1"/>
  <c r="I59" i="34"/>
  <c r="H58" i="33"/>
  <c r="I58" i="33" s="1"/>
  <c r="J58" i="33" s="1"/>
  <c r="K58" i="33" s="1"/>
  <c r="L58" i="33" s="1"/>
  <c r="M58" i="33" s="1"/>
  <c r="N58" i="33" s="1"/>
  <c r="O58" i="33" s="1"/>
  <c r="J7" i="33"/>
  <c r="H7" i="33"/>
  <c r="R43" i="37"/>
  <c r="E42" i="37"/>
  <c r="AA12" i="39"/>
  <c r="W12" i="39"/>
  <c r="C22" i="4"/>
  <c r="F45" i="9"/>
  <c r="E68" i="39"/>
  <c r="E46" i="9"/>
  <c r="K38" i="9"/>
  <c r="C14" i="66" s="1"/>
  <c r="B2" i="66" s="1"/>
  <c r="F46" i="9"/>
  <c r="E63" i="40"/>
  <c r="F63" i="40" s="1"/>
  <c r="B2" i="40" s="1"/>
  <c r="E45" i="9"/>
  <c r="D8" i="6"/>
  <c r="D19" i="6"/>
  <c r="D23" i="6"/>
  <c r="D26" i="6"/>
  <c r="D24" i="6"/>
  <c r="D9" i="6"/>
  <c r="D29" i="6"/>
  <c r="D30" i="6" s="1"/>
  <c r="D15" i="6"/>
  <c r="D21" i="6"/>
  <c r="D25" i="6"/>
  <c r="D20" i="6"/>
  <c r="D5" i="6"/>
  <c r="D22" i="6"/>
  <c r="D14" i="6"/>
  <c r="D11" i="6"/>
  <c r="D10" i="6"/>
  <c r="H25" i="6"/>
  <c r="S25" i="6"/>
  <c r="H26" i="6"/>
  <c r="S26" i="6"/>
  <c r="H23" i="6"/>
  <c r="R23" i="6" s="1"/>
  <c r="S23" i="6"/>
  <c r="S24" i="6"/>
  <c r="H24" i="6"/>
  <c r="M14" i="1"/>
  <c r="K16" i="1"/>
  <c r="S22" i="6"/>
  <c r="M19" i="6"/>
  <c r="K27" i="6"/>
  <c r="H21" i="6"/>
  <c r="S20" i="6"/>
  <c r="H20" i="6"/>
  <c r="E48" i="40"/>
  <c r="F48" i="40" s="1"/>
  <c r="E49" i="40"/>
  <c r="F49" i="40" s="1"/>
  <c r="D6" i="59"/>
  <c r="C5" i="59"/>
  <c r="T5" i="59"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5" i="46"/>
  <c r="B55" i="40"/>
  <c r="F55" i="40" s="1"/>
  <c r="B57" i="40"/>
  <c r="F57" i="40" s="1"/>
  <c r="B56" i="40"/>
  <c r="F56" i="40" s="1"/>
  <c r="B61" i="40"/>
  <c r="F61" i="40" s="1"/>
  <c r="B59" i="40"/>
  <c r="F59" i="40" s="1"/>
  <c r="B62" i="40"/>
  <c r="F62" i="40" s="1"/>
  <c r="B53" i="40"/>
  <c r="F53" i="40" s="1"/>
  <c r="B60" i="40"/>
  <c r="F60" i="40" s="1"/>
  <c r="B58" i="40"/>
  <c r="F58" i="40" s="1"/>
  <c r="B54" i="40"/>
  <c r="F54" i="40"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70"/>
  <c r="F41" i="15"/>
  <c r="C17" i="70"/>
  <c r="C17" i="15"/>
  <c r="F68" i="70" l="1"/>
  <c r="J29" i="70"/>
  <c r="R21" i="6"/>
  <c r="R8" i="1" s="1"/>
  <c r="S16" i="1"/>
  <c r="E38" i="46"/>
  <c r="C60" i="70"/>
  <c r="C59" i="70"/>
  <c r="C65" i="70"/>
  <c r="C38" i="70"/>
  <c r="F68" i="15"/>
  <c r="R49" i="39"/>
  <c r="E49" i="39" s="1"/>
  <c r="I54" i="39" s="1"/>
  <c r="J54" i="39" s="1"/>
  <c r="E49" i="68"/>
  <c r="R50" i="68"/>
  <c r="G54" i="68"/>
  <c r="H54" i="68" s="1"/>
  <c r="G53" i="68"/>
  <c r="H53" i="68" s="1"/>
  <c r="G33" i="46"/>
  <c r="I33" i="46" s="1"/>
  <c r="C27" i="46" s="1"/>
  <c r="G39" i="46"/>
  <c r="I39" i="46" s="1"/>
  <c r="C43" i="37"/>
  <c r="B3" i="37" s="1"/>
  <c r="B2" i="37" s="1"/>
  <c r="C42" i="37"/>
  <c r="E47" i="37"/>
  <c r="F47" i="37" s="1"/>
  <c r="E46" i="37"/>
  <c r="F46" i="37" s="1"/>
  <c r="U7" i="33"/>
  <c r="AB7" i="33"/>
  <c r="T48" i="33" s="1"/>
  <c r="G48" i="33" s="1"/>
  <c r="J59" i="34"/>
  <c r="F7" i="21"/>
  <c r="J46" i="36"/>
  <c r="C38" i="35"/>
  <c r="C39" i="35"/>
  <c r="I46" i="37"/>
  <c r="J46" i="37" s="1"/>
  <c r="I47" i="37"/>
  <c r="J47" i="37" s="1"/>
  <c r="W7" i="33"/>
  <c r="AC7" i="33"/>
  <c r="V48" i="33" s="1"/>
  <c r="I48" i="33" s="1"/>
  <c r="W7" i="21"/>
  <c r="AC7" i="21"/>
  <c r="V48" i="21" s="1"/>
  <c r="I48" i="21" s="1"/>
  <c r="E42" i="35"/>
  <c r="F42" i="35" s="1"/>
  <c r="E43" i="35"/>
  <c r="F43" i="35" s="1"/>
  <c r="I53" i="39"/>
  <c r="J53" i="39" s="1"/>
  <c r="G53" i="39"/>
  <c r="H53" i="39" s="1"/>
  <c r="G54" i="39"/>
  <c r="H54" i="39" s="1"/>
  <c r="I43" i="35"/>
  <c r="J43" i="35" s="1"/>
  <c r="F7" i="33"/>
  <c r="H7" i="21"/>
  <c r="E37" i="46"/>
  <c r="E36" i="46"/>
  <c r="R26" i="6"/>
  <c r="R25" i="6"/>
  <c r="R20" i="6"/>
  <c r="R7" i="1" s="1"/>
  <c r="R22" i="6"/>
  <c r="R9" i="1" s="1"/>
  <c r="R24" i="6"/>
  <c r="D27" i="6"/>
  <c r="D31" i="6" s="1"/>
  <c r="D16" i="6"/>
  <c r="D8" i="66"/>
  <c r="D7" i="66"/>
  <c r="N5" i="54"/>
  <c r="B43" i="63" s="1"/>
  <c r="A20" i="64"/>
  <c r="A6" i="64"/>
  <c r="A20" i="51"/>
  <c r="B15" i="63" s="1"/>
  <c r="A6" i="51"/>
  <c r="B7" i="63" s="1"/>
  <c r="M27" i="6"/>
  <c r="I19" i="6"/>
  <c r="T11" i="1"/>
  <c r="O14" i="1"/>
  <c r="O16" i="1" s="1"/>
  <c r="T13" i="1"/>
  <c r="T12" i="1"/>
  <c r="T6" i="1"/>
  <c r="T8" i="1"/>
  <c r="T9" i="1"/>
  <c r="T7" i="1"/>
  <c r="M16" i="1"/>
  <c r="T10" i="1"/>
  <c r="N16" i="1"/>
  <c r="C29" i="43" s="1"/>
  <c r="D5" i="59"/>
  <c r="M20" i="46"/>
  <c r="E29" i="46"/>
  <c r="B4" i="40"/>
  <c r="B5" i="40"/>
  <c r="B3" i="40"/>
  <c r="C65" i="15"/>
  <c r="C59" i="15"/>
  <c r="B5" i="11"/>
  <c r="B3" i="11"/>
  <c r="B4" i="11"/>
  <c r="C27" i="12"/>
  <c r="D26" i="12" s="1"/>
  <c r="C32" i="12" s="1"/>
  <c r="D30" i="12" s="1"/>
  <c r="J26" i="15"/>
  <c r="J29" i="15" s="1"/>
  <c r="J24" i="15"/>
  <c r="C38" i="15"/>
  <c r="Q58" i="44"/>
  <c r="Q67" i="44"/>
  <c r="Q49" i="44"/>
  <c r="Q55" i="44" s="1"/>
  <c r="F35" i="15"/>
  <c r="C14" i="15"/>
  <c r="F35" i="70"/>
  <c r="C16" i="44"/>
  <c r="C14" i="70"/>
  <c r="M21" i="15"/>
  <c r="F7" i="67"/>
  <c r="M21" i="70"/>
  <c r="C15" i="70" l="1"/>
  <c r="C18" i="70"/>
  <c r="J20" i="70"/>
  <c r="C34" i="70"/>
  <c r="C31" i="70" s="1"/>
  <c r="F62" i="70"/>
  <c r="C61" i="70" s="1"/>
  <c r="F62" i="15"/>
  <c r="C61" i="15" s="1"/>
  <c r="C34" i="15"/>
  <c r="J20" i="15"/>
  <c r="C58" i="70"/>
  <c r="R50" i="39"/>
  <c r="C49" i="39" s="1"/>
  <c r="C50" i="68"/>
  <c r="C49" i="68"/>
  <c r="I54" i="68"/>
  <c r="J54" i="68" s="1"/>
  <c r="E54" i="68"/>
  <c r="F54" i="68" s="1"/>
  <c r="E53" i="68"/>
  <c r="F53" i="68" s="1"/>
  <c r="U7" i="21"/>
  <c r="AB7" i="21"/>
  <c r="T48" i="21" s="1"/>
  <c r="G48" i="21" s="1"/>
  <c r="AA7" i="33"/>
  <c r="R48" i="33" s="1"/>
  <c r="S7" i="33"/>
  <c r="I52" i="21"/>
  <c r="J52" i="21" s="1"/>
  <c r="I52" i="33"/>
  <c r="J52" i="33" s="1"/>
  <c r="K46" i="36"/>
  <c r="G53" i="33"/>
  <c r="H53" i="33" s="1"/>
  <c r="G52" i="33"/>
  <c r="H52" i="33" s="1"/>
  <c r="E54" i="39"/>
  <c r="F54" i="39" s="1"/>
  <c r="E53" i="39"/>
  <c r="F53" i="39" s="1"/>
  <c r="AA7" i="21"/>
  <c r="R48" i="21" s="1"/>
  <c r="S7" i="21"/>
  <c r="K59" i="34"/>
  <c r="P14" i="1"/>
  <c r="P16" i="1" s="1"/>
  <c r="C13" i="12" s="1"/>
  <c r="C14" i="12" s="1"/>
  <c r="I6" i="6"/>
  <c r="I5" i="6"/>
  <c r="C15" i="15"/>
  <c r="C18" i="15"/>
  <c r="C17" i="44"/>
  <c r="C20" i="44"/>
  <c r="C13" i="43"/>
  <c r="L16" i="1"/>
  <c r="S19" i="6"/>
  <c r="S27" i="6" s="1"/>
  <c r="I27" i="6"/>
  <c r="H19" i="6"/>
  <c r="T16" i="1"/>
  <c r="E4" i="67"/>
  <c r="C26" i="46"/>
  <c r="B2" i="46" s="1"/>
  <c r="D77" i="9"/>
  <c r="N75" i="9" s="1"/>
  <c r="E7" i="67"/>
  <c r="B7" i="67"/>
  <c r="C19" i="70" l="1"/>
  <c r="C20" i="70" s="1"/>
  <c r="C26" i="70" s="1"/>
  <c r="C50" i="39"/>
  <c r="B59" i="39" s="1"/>
  <c r="F59" i="39" s="1"/>
  <c r="B62" i="68"/>
  <c r="F62" i="68" s="1"/>
  <c r="B58" i="68"/>
  <c r="F58" i="68" s="1"/>
  <c r="B65" i="68"/>
  <c r="F65" i="68" s="1"/>
  <c r="B61" i="68"/>
  <c r="F61" i="68" s="1"/>
  <c r="B66" i="68"/>
  <c r="F66" i="68" s="1"/>
  <c r="F68" i="68"/>
  <c r="B2" i="68" s="1"/>
  <c r="B60" i="68"/>
  <c r="F60" i="68" s="1"/>
  <c r="B67" i="68"/>
  <c r="F67" i="68" s="1"/>
  <c r="B63" i="68"/>
  <c r="F63" i="68" s="1"/>
  <c r="B59" i="68"/>
  <c r="F59" i="68" s="1"/>
  <c r="B64" i="68"/>
  <c r="F64" i="68" s="1"/>
  <c r="C17" i="12"/>
  <c r="C18" i="12" s="1"/>
  <c r="C23" i="12" s="1"/>
  <c r="L46" i="36"/>
  <c r="R49" i="33"/>
  <c r="E48" i="33"/>
  <c r="L59" i="34"/>
  <c r="M59" i="34" s="1"/>
  <c r="N59" i="34" s="1"/>
  <c r="O59" i="34" s="1"/>
  <c r="J7" i="34" s="1"/>
  <c r="R49" i="21"/>
  <c r="E48" i="21"/>
  <c r="G52" i="21"/>
  <c r="H52" i="21" s="1"/>
  <c r="G53" i="21"/>
  <c r="H53" i="21" s="1"/>
  <c r="H7" i="34"/>
  <c r="C19" i="15"/>
  <c r="C20" i="15" s="1"/>
  <c r="C26" i="15" s="1"/>
  <c r="H27" i="6"/>
  <c r="R19" i="6"/>
  <c r="C14" i="43"/>
  <c r="C17" i="43"/>
  <c r="C21" i="44"/>
  <c r="E3" i="67"/>
  <c r="B2" i="67"/>
  <c r="D4" i="46"/>
  <c r="B3" i="46"/>
  <c r="B4" i="46"/>
  <c r="C23" i="70" l="1"/>
  <c r="C29" i="70" s="1"/>
  <c r="B60" i="39"/>
  <c r="F60" i="39" s="1"/>
  <c r="B62" i="39"/>
  <c r="F62" i="39" s="1"/>
  <c r="B58" i="39"/>
  <c r="F58" i="39" s="1"/>
  <c r="B64" i="39"/>
  <c r="F64" i="39" s="1"/>
  <c r="B63" i="39"/>
  <c r="F63" i="39" s="1"/>
  <c r="B67" i="39"/>
  <c r="F67" i="39" s="1"/>
  <c r="B61" i="39"/>
  <c r="F61" i="39" s="1"/>
  <c r="B65" i="39"/>
  <c r="F65" i="39" s="1"/>
  <c r="B66" i="39"/>
  <c r="F66" i="39" s="1"/>
  <c r="B5" i="68"/>
  <c r="B4" i="68"/>
  <c r="B3" i="68"/>
  <c r="F7" i="36"/>
  <c r="AC7" i="34"/>
  <c r="V49" i="34" s="1"/>
  <c r="I49" i="34" s="1"/>
  <c r="W7" i="34"/>
  <c r="E53" i="21"/>
  <c r="F53" i="21" s="1"/>
  <c r="E52" i="21"/>
  <c r="F52" i="21" s="1"/>
  <c r="I53" i="21"/>
  <c r="J53" i="21" s="1"/>
  <c r="F7" i="34"/>
  <c r="E52" i="33"/>
  <c r="F52" i="33" s="1"/>
  <c r="E53" i="33"/>
  <c r="F53" i="33" s="1"/>
  <c r="I53" i="33"/>
  <c r="J53" i="33" s="1"/>
  <c r="U7" i="34"/>
  <c r="AB7" i="34"/>
  <c r="T49" i="34" s="1"/>
  <c r="G49" i="34" s="1"/>
  <c r="C49" i="21"/>
  <c r="B3" i="21" s="1"/>
  <c r="B2" i="21" s="1"/>
  <c r="C10" i="12" s="1"/>
  <c r="C48" i="21"/>
  <c r="C8" i="12" s="1"/>
  <c r="C48" i="33"/>
  <c r="C49" i="33"/>
  <c r="B3" i="33" s="1"/>
  <c r="B2" i="33" s="1"/>
  <c r="M46" i="36"/>
  <c r="N46" i="36" s="1"/>
  <c r="O46" i="36" s="1"/>
  <c r="H7" i="36"/>
  <c r="J7" i="36"/>
  <c r="C23" i="15"/>
  <c r="C29" i="15" s="1"/>
  <c r="C18" i="43"/>
  <c r="C19" i="43" s="1"/>
  <c r="C25" i="43" s="1"/>
  <c r="C24" i="43" s="1"/>
  <c r="R27" i="6"/>
  <c r="R6" i="1"/>
  <c r="R16" i="1" s="1"/>
  <c r="C22" i="44"/>
  <c r="C28" i="44" s="1"/>
  <c r="B3" i="67"/>
  <c r="B4" i="67"/>
  <c r="C56" i="70" l="1"/>
  <c r="C63" i="70" s="1"/>
  <c r="J19" i="70"/>
  <c r="J17" i="70" s="1"/>
  <c r="Q50" i="70"/>
  <c r="C36" i="70"/>
  <c r="C13" i="70"/>
  <c r="J14" i="70"/>
  <c r="F68" i="39"/>
  <c r="B2" i="39" s="1"/>
  <c r="U7" i="36"/>
  <c r="AB7" i="36"/>
  <c r="T36" i="36" s="1"/>
  <c r="G36" i="36" s="1"/>
  <c r="AC7" i="36"/>
  <c r="V36" i="36" s="1"/>
  <c r="I36" i="36" s="1"/>
  <c r="W7" i="36"/>
  <c r="I53" i="34"/>
  <c r="J53" i="34" s="1"/>
  <c r="G54" i="34"/>
  <c r="H54" i="34" s="1"/>
  <c r="G53" i="34"/>
  <c r="H53" i="34" s="1"/>
  <c r="AA7" i="34"/>
  <c r="R49" i="34" s="1"/>
  <c r="S7" i="34"/>
  <c r="S7" i="36"/>
  <c r="AA7" i="36"/>
  <c r="R36" i="36" s="1"/>
  <c r="C25" i="44"/>
  <c r="C31" i="44" s="1"/>
  <c r="C22" i="43"/>
  <c r="C21" i="43" s="1"/>
  <c r="C28" i="43" s="1"/>
  <c r="C30" i="43" s="1"/>
  <c r="C32" i="43" s="1"/>
  <c r="B2" i="43" s="1"/>
  <c r="Q50" i="15"/>
  <c r="J14" i="15"/>
  <c r="J59" i="15"/>
  <c r="J60" i="15" s="1"/>
  <c r="C36" i="15"/>
  <c r="C33" i="15"/>
  <c r="C31" i="15" s="1"/>
  <c r="C56" i="15"/>
  <c r="J19" i="15"/>
  <c r="J17" i="15" s="1"/>
  <c r="C13" i="15"/>
  <c r="C19" i="9"/>
  <c r="J22" i="70" l="1"/>
  <c r="J13" i="70"/>
  <c r="J23" i="70" s="1"/>
  <c r="Q71" i="70"/>
  <c r="J35" i="70"/>
  <c r="C37" i="70"/>
  <c r="C30" i="70" s="1"/>
  <c r="C39" i="70" s="1"/>
  <c r="C55" i="70"/>
  <c r="C64" i="70" s="1"/>
  <c r="C57" i="70" s="1"/>
  <c r="C66" i="70" s="1"/>
  <c r="C67" i="70" s="1"/>
  <c r="L43" i="9"/>
  <c r="B5" i="39"/>
  <c r="B4" i="39"/>
  <c r="B3" i="39"/>
  <c r="R50" i="34"/>
  <c r="E49" i="34"/>
  <c r="I40" i="36"/>
  <c r="J40" i="36" s="1"/>
  <c r="R37" i="36"/>
  <c r="E36" i="36"/>
  <c r="G41" i="36"/>
  <c r="H41" i="36" s="1"/>
  <c r="G40" i="36"/>
  <c r="H40" i="36" s="1"/>
  <c r="B3" i="43"/>
  <c r="B4" i="43"/>
  <c r="B5" i="43"/>
  <c r="Q49" i="15"/>
  <c r="C15" i="44"/>
  <c r="Q51" i="44"/>
  <c r="C38" i="44"/>
  <c r="J16" i="44"/>
  <c r="J21" i="44"/>
  <c r="J19" i="44" s="1"/>
  <c r="C35" i="44"/>
  <c r="C33" i="44" s="1"/>
  <c r="C37" i="15"/>
  <c r="C30" i="15" s="1"/>
  <c r="C39" i="15" s="1"/>
  <c r="Q71" i="15"/>
  <c r="J35" i="15"/>
  <c r="C55" i="15"/>
  <c r="C64" i="15" s="1"/>
  <c r="C60" i="15"/>
  <c r="C58" i="15" s="1"/>
  <c r="C63" i="15"/>
  <c r="J22" i="15"/>
  <c r="J13" i="15"/>
  <c r="J23" i="15" s="1"/>
  <c r="C20" i="9"/>
  <c r="L51" i="70"/>
  <c r="C21" i="9"/>
  <c r="L51" i="15"/>
  <c r="J16" i="70" l="1"/>
  <c r="J25" i="70" s="1"/>
  <c r="J39" i="70"/>
  <c r="J40" i="70" s="1"/>
  <c r="Q68" i="70"/>
  <c r="C70" i="70"/>
  <c r="Q70" i="70"/>
  <c r="Q69" i="70" s="1"/>
  <c r="C40" i="70"/>
  <c r="C37" i="36"/>
  <c r="B3" i="36" s="1"/>
  <c r="B2" i="36" s="1"/>
  <c r="C36" i="36"/>
  <c r="C50" i="34"/>
  <c r="B3" i="34" s="1"/>
  <c r="B2" i="34" s="1"/>
  <c r="C49" i="34"/>
  <c r="E40" i="36"/>
  <c r="F40" i="36" s="1"/>
  <c r="E41" i="36"/>
  <c r="F41" i="36" s="1"/>
  <c r="I41" i="36"/>
  <c r="J41" i="36" s="1"/>
  <c r="E54" i="34"/>
  <c r="F54" i="34" s="1"/>
  <c r="E53" i="34"/>
  <c r="F53" i="34" s="1"/>
  <c r="I54" i="34"/>
  <c r="J54" i="34" s="1"/>
  <c r="C57" i="15"/>
  <c r="C66" i="15" s="1"/>
  <c r="C67" i="15" s="1"/>
  <c r="C70" i="15" s="1"/>
  <c r="Q68" i="15"/>
  <c r="L57" i="15"/>
  <c r="L60" i="15" s="1"/>
  <c r="Q70" i="15"/>
  <c r="Q69" i="15" s="1"/>
  <c r="C40" i="15"/>
  <c r="J39" i="15"/>
  <c r="J40" i="15" s="1"/>
  <c r="C39" i="44"/>
  <c r="C32" i="44" s="1"/>
  <c r="C42" i="44" s="1"/>
  <c r="C43" i="44"/>
  <c r="Q72" i="44"/>
  <c r="J16" i="15"/>
  <c r="J25" i="15" s="1"/>
  <c r="J24" i="44"/>
  <c r="J15" i="44"/>
  <c r="J25" i="44" s="1"/>
  <c r="D10" i="12" l="1"/>
  <c r="Q66" i="70"/>
  <c r="Q76" i="70" s="1"/>
  <c r="Q48" i="70"/>
  <c r="Q54" i="70" s="1"/>
  <c r="B2" i="70"/>
  <c r="B3" i="70" s="1"/>
  <c r="Q57" i="70"/>
  <c r="Q63" i="70" s="1"/>
  <c r="C43" i="70"/>
  <c r="D8" i="12" s="1"/>
  <c r="J42" i="70"/>
  <c r="J43" i="70" s="1"/>
  <c r="C46" i="70"/>
  <c r="Q67" i="15"/>
  <c r="L46" i="15"/>
  <c r="Q58" i="15"/>
  <c r="J18" i="44"/>
  <c r="J27" i="44" s="1"/>
  <c r="C46" i="15"/>
  <c r="Q71" i="44"/>
  <c r="Q70" i="44" s="1"/>
  <c r="C44" i="44"/>
  <c r="C45" i="44" s="1"/>
  <c r="Q57" i="15"/>
  <c r="B2" i="15"/>
  <c r="E10" i="12" s="1"/>
  <c r="J42" i="15"/>
  <c r="J43" i="15" s="1"/>
  <c r="Q48" i="15"/>
  <c r="Q54" i="15" s="1"/>
  <c r="Q66" i="15"/>
  <c r="C43" i="15"/>
  <c r="B3" i="15" l="1"/>
  <c r="E8" i="12" s="1"/>
  <c r="C6" i="12"/>
  <c r="Q76" i="15"/>
  <c r="Q63" i="15"/>
  <c r="B2" i="44"/>
  <c r="L52" i="44"/>
  <c r="C29" i="12" l="1"/>
  <c r="C24" i="12"/>
  <c r="B3" i="44"/>
  <c r="B4" i="44"/>
  <c r="B5" i="44"/>
  <c r="L58" i="44"/>
  <c r="L61" i="44" s="1"/>
  <c r="Q69" i="44"/>
  <c r="C35" i="12" l="1"/>
  <c r="C33" i="12" s="1"/>
  <c r="C28" i="12"/>
  <c r="C26" i="12" s="1"/>
  <c r="C31" i="12" s="1"/>
  <c r="C30" i="12" s="1"/>
  <c r="Q59" i="44"/>
  <c r="Q64" i="44" s="1"/>
  <c r="Q68" i="44"/>
  <c r="Q77" i="44" s="1"/>
  <c r="C36" i="12" l="1"/>
  <c r="B2" i="12" s="1"/>
  <c r="D19" i="9"/>
  <c r="D22" i="9" l="1"/>
  <c r="G19" i="9"/>
  <c r="L44" i="9"/>
  <c r="B4" i="12"/>
  <c r="B3" i="12"/>
  <c r="B5" i="12"/>
  <c r="D21" i="9"/>
  <c r="D20" i="9"/>
  <c r="D27" i="9" l="1"/>
  <c r="F34" i="6"/>
  <c r="G21" i="9"/>
  <c r="G20" i="9"/>
  <c r="C32" i="9"/>
  <c r="N43" i="9"/>
  <c r="G22" i="9"/>
  <c r="C42" i="9" l="1"/>
  <c r="C33" i="9"/>
  <c r="C35" i="9"/>
  <c r="F42" i="9" s="1"/>
  <c r="C34" i="9"/>
  <c r="O43" i="9"/>
  <c r="O38" i="9"/>
  <c r="R5" i="54" l="1"/>
  <c r="B48" i="63" s="1"/>
  <c r="C44" i="9"/>
  <c r="N68" i="9"/>
  <c r="D63" i="9"/>
  <c r="D14" i="66"/>
  <c r="K26" i="9"/>
  <c r="K25" i="9"/>
  <c r="M38" i="9"/>
  <c r="K27" i="9" s="1"/>
  <c r="E42" i="9"/>
  <c r="P5" i="54" s="1"/>
  <c r="B46" i="63" s="1"/>
  <c r="N38" i="9"/>
  <c r="K28" i="9" s="1"/>
  <c r="D42" i="9"/>
  <c r="Q5" i="54" s="1"/>
  <c r="B47" i="63" s="1"/>
  <c r="C82" i="9" l="1"/>
  <c r="C81" i="9" s="1"/>
  <c r="C85" i="9" s="1"/>
  <c r="C86" i="9" s="1"/>
  <c r="D72" i="9" s="1"/>
  <c r="D71" i="9"/>
  <c r="D66" i="9" s="1"/>
  <c r="N72" i="9" s="1"/>
  <c r="C96" i="9"/>
  <c r="C91" i="9" s="1"/>
  <c r="C90" i="9"/>
  <c r="C111" i="9"/>
  <c r="C104" i="9" s="1"/>
  <c r="D70" i="9"/>
  <c r="D73" i="9"/>
  <c r="N73" i="9" s="1"/>
  <c r="C103" i="9"/>
  <c r="N69" i="9"/>
  <c r="F44" i="9"/>
  <c r="D44" i="9"/>
  <c r="E44" i="9"/>
  <c r="O39" i="9"/>
  <c r="G14" i="66"/>
  <c r="B6" i="66" s="1"/>
  <c r="B5" i="66"/>
  <c r="E14" i="66"/>
  <c r="F14" i="66"/>
  <c r="C6" i="66" l="1"/>
  <c r="D6" i="66"/>
  <c r="C113" i="9"/>
  <c r="C97" i="9"/>
  <c r="C5" i="66"/>
  <c r="D5" i="66"/>
  <c r="R6" i="54"/>
  <c r="B50" i="63" s="1"/>
  <c r="K29" i="9"/>
  <c r="K30" i="9" s="1"/>
  <c r="M87" i="9"/>
  <c r="N87" i="9" s="1"/>
  <c r="M86" i="9"/>
  <c r="N86" i="9" s="1"/>
  <c r="M85" i="9"/>
  <c r="N85" i="9" s="1"/>
  <c r="M84" i="9"/>
  <c r="N84" i="9" s="1"/>
  <c r="M83" i="9"/>
  <c r="N83" i="9" s="1"/>
  <c r="M88" i="9"/>
  <c r="N88" i="9" s="1"/>
  <c r="C98" i="9" l="1"/>
  <c r="E98" i="9" s="1"/>
  <c r="E99" i="9" s="1"/>
  <c r="N89" i="9"/>
  <c r="O89" i="9" s="1"/>
  <c r="C114" i="9"/>
  <c r="E114" i="9" s="1"/>
  <c r="E115" i="9" s="1"/>
  <c r="C115" i="9" l="1"/>
  <c r="D76" i="9" s="1"/>
  <c r="D74" i="9" s="1"/>
  <c r="N74" i="9" s="1"/>
  <c r="O77" i="9" s="1"/>
  <c r="O78" i="9" s="1"/>
  <c r="C99" i="9"/>
  <c r="Q77" i="9" l="1"/>
  <c r="O79" i="9"/>
  <c r="O80" i="9" s="1"/>
  <c r="B2" i="35"/>
  <c r="B3" i="35"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<sst xmlns="http://schemas.openxmlformats.org/spreadsheetml/2006/main" count="7848" uniqueCount="3190">
  <si>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</si>
  <si>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</si>
  <si>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</si>
  <si>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</si>
  <si>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</si>
  <si>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</si>
  <si>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</si>
  <si>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</si>
  <si>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</si>
  <si>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</si>
  <si>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</si>
  <si>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</si>
  <si>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</si>
  <si>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</si>
  <si>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</si>
  <si>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</si>
  <si>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</si>
  <si>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</si>
  <si>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</si>
  <si>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</si>
  <si>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</si>
  <si>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</si>
  <si>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</si>
  <si>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</si>
  <si>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</si>
  <si>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</si>
  <si>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</si>
  <si>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</si>
  <si>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</si>
  <si>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</si>
  <si>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</si>
  <si>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</si>
  <si>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</si>
  <si>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</si>
  <si>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</si>
  <si>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</si>
  <si>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</si>
  <si>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</si>
  <si>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</si>
  <si>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</si>
  <si>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</si>
  <si>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</si>
  <si>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</si>
  <si>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</si>
  <si>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</si>
  <si>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</si>
  <si>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</si>
  <si>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</si>
  <si>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</si>
  <si>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</si>
  <si>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</si>
  <si>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</si>
  <si>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</si>
  <si>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</si>
  <si>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</si>
  <si>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</si>
  <si>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</si>
  <si>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</si>
  <si>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</si>
  <si>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</si>
  <si>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</si>
  <si>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</si>
  <si>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</si>
  <si>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</si>
  <si>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</si>
  <si>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</si>
  <si>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</si>
  <si>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</si>
  <si>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</si>
  <si>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</si>
  <si>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</si>
  <si>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</si>
  <si>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</si>
  <si>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</si>
  <si>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</si>
  <si>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</si>
  <si>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</si>
  <si>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</si>
  <si>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</si>
  <si>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</si>
  <si>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</si>
  <si>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</si>
  <si>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</si>
  <si>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</si>
  <si>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</si>
  <si>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</si>
  <si>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</si>
  <si>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</si>
  <si>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</si>
  <si>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</si>
  <si>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</si>
  <si>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</si>
  <si>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</si>
  <si>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</si>
  <si>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</si>
  <si>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</si>
  <si>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</si>
  <si>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</si>
  <si>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</si>
  <si>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</si>
  <si>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</si>
  <si>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</si>
  <si>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</si>
  <si>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</si>
  <si>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</si>
  <si>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</si>
  <si>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</si>
  <si>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</si>
  <si>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</si>
  <si>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</si>
  <si>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</si>
  <si>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</si>
  <si>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</si>
  <si>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</si>
  <si>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</si>
  <si>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</si>
  <si>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</si>
  <si>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</si>
  <si>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</si>
  <si>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</si>
  <si>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</si>
  <si>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</si>
  <si>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</si>
  <si>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</si>
  <si>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</si>
  <si>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</si>
  <si>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</si>
  <si>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</si>
  <si>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</si>
  <si>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</si>
  <si>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</si>
  <si>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</si>
  <si>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</si>
  <si>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</si>
  <si>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</si>
  <si>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</si>
  <si>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</si>
  <si>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</si>
  <si>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</si>
  <si>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</si>
  <si>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</si>
  <si>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</si>
  <si>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</si>
  <si>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</si>
  <si>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</si>
  <si>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</si>
  <si>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</si>
  <si>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</si>
  <si>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</si>
  <si>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</si>
  <si>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</si>
  <si>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</si>
  <si>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</si>
  <si>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</si>
  <si>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</si>
  <si>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</si>
  <si>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</si>
  <si>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</si>
  <si>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</si>
  <si>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</si>
  <si>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</si>
  <si>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</si>
  <si>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</si>
  <si>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</si>
  <si>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</si>
  <si>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</si>
  <si>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</si>
  <si>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</si>
  <si>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</si>
  <si>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</si>
  <si>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</si>
  <si>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</si>
  <si>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</si>
  <si>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</si>
  <si>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</si>
  <si>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</si>
  <si>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</si>
  <si>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</si>
  <si>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</si>
  <si>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</si>
  <si>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</si>
  <si>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</si>
  <si>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</si>
  <si>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</si>
  <si>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</si>
  <si>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</si>
  <si>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</si>
  <si>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</si>
  <si>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</si>
  <si>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</si>
  <si>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</si>
  <si>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</si>
  <si>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</si>
  <si>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</si>
  <si>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</si>
  <si>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</si>
  <si>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</si>
  <si>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</si>
  <si>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</si>
  <si>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</si>
  <si>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</si>
  <si>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</si>
  <si>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</si>
  <si>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</si>
  <si>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</si>
  <si>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</si>
  <si>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</si>
  <si>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</si>
  <si>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</si>
  <si>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</si>
  <si>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</si>
  <si>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</si>
  <si>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</si>
  <si>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</si>
  <si>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</si>
  <si>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</si>
  <si>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</si>
  <si>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</si>
  <si>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</si>
  <si>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</si>
  <si>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</si>
  <si>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</si>
  <si>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</si>
  <si>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</si>
  <si>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</si>
  <si>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</si>
  <si>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</si>
  <si>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</si>
  <si>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</si>
  <si>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</si>
  <si>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</si>
  <si>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</si>
  <si>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</si>
  <si>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</si>
  <si>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</si>
  <si>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</si>
  <si>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</si>
  <si>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</si>
  <si>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</si>
  <si>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</si>
  <si>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</si>
  <si>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</si>
  <si>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</si>
  <si>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</si>
  <si>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</si>
  <si>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</si>
  <si>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</si>
  <si>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</si>
  <si>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</si>
  <si>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</si>
  <si>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</si>
  <si>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</si>
  <si>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</si>
  <si>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</si>
  <si>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</si>
  <si>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</si>
  <si>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</si>
  <si>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</si>
  <si>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</si>
  <si>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</si>
  <si>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</si>
  <si>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</si>
  <si>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</si>
  <si>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</si>
  <si>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</si>
  <si>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</si>
  <si>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</si>
  <si>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</si>
  <si>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</si>
  <si>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</si>
  <si>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</si>
  <si>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</si>
  <si>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</si>
  <si>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</si>
  <si>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</si>
  <si>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</si>
  <si>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</si>
  <si>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</si>
  <si>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</si>
  <si>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</si>
  <si>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</si>
  <si>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</si>
  <si>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</si>
  <si>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</si>
  <si>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</si>
  <si>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</si>
  <si>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</si>
  <si>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</si>
  <si>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</si>
  <si>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</si>
  <si>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</si>
  <si>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</si>
  <si>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</si>
  <si>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</si>
  <si>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</si>
  <si>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</si>
  <si>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</si>
  <si>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</si>
  <si>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</si>
  <si>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</si>
  <si>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</si>
  <si>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</si>
  <si>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</si>
  <si>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</si>
  <si>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</si>
  <si>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</si>
  <si>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</si>
  <si>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</si>
  <si>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</si>
  <si>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</si>
  <si>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</si>
  <si>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</si>
  <si>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</si>
  <si>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</si>
  <si>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</si>
  <si>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</si>
  <si>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</si>
  <si>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</si>
  <si>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</si>
  <si>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</si>
  <si>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</si>
  <si>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</si>
  <si>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</si>
  <si>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</si>
  <si>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</si>
  <si>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</si>
  <si>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</si>
  <si>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</si>
  <si>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</si>
  <si>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</si>
  <si>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</si>
  <si>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</si>
  <si>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</si>
  <si>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</si>
  <si>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</si>
  <si>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</si>
  <si>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</si>
  <si>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</si>
  <si>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</si>
  <si>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</si>
  <si>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</si>
  <si>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</si>
  <si>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</si>
  <si>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</si>
  <si>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</si>
  <si>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</si>
  <si>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</si>
  <si>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</si>
  <si>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</si>
  <si>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</si>
  <si>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</si>
  <si>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</si>
  <si>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</si>
  <si>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</si>
  <si>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</si>
  <si>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</si>
  <si>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</si>
  <si>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</si>
  <si>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</si>
  <si>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</si>
  <si>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</si>
  <si>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</si>
  <si>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</si>
  <si>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</si>
  <si>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</si>
  <si>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</si>
  <si>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</si>
  <si>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</si>
  <si>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</si>
  <si>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</si>
  <si>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</si>
  <si>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</si>
  <si>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</si>
  <si>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</si>
  <si>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</si>
  <si>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</si>
  <si>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</si>
  <si>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</si>
  <si>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</si>
  <si>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</si>
  <si>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</si>
  <si>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</si>
  <si>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</si>
  <si>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</si>
  <si>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</si>
  <si>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</si>
  <si>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</si>
  <si>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</si>
  <si>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</si>
  <si>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</si>
  <si>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</si>
  <si>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</si>
  <si>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</si>
  <si>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</si>
  <si>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</si>
  <si>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</si>
  <si>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</si>
  <si>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</si>
  <si>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</si>
  <si>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</si>
  <si>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</si>
  <si>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</si>
  <si>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</si>
  <si>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</si>
  <si>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</si>
  <si>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</si>
  <si>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</si>
  <si>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</si>
  <si>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</si>
  <si>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</si>
  <si>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</si>
  <si>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</si>
  <si>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</si>
  <si>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</si>
  <si>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</si>
  <si>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</si>
  <si>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</si>
  <si>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</si>
  <si>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</si>
  <si>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</si>
  <si>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</si>
  <si>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</si>
  <si>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</si>
  <si>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</si>
  <si>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</si>
  <si>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</si>
  <si>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</si>
  <si>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</si>
  <si>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</si>
  <si>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</si>
  <si>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</si>
  <si>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</si>
  <si>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</si>
  <si>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</si>
  <si>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</si>
  <si>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</si>
  <si>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</si>
  <si>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</si>
  <si>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</si>
  <si>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</si>
  <si>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</si>
  <si>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</si>
  <si>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</si>
  <si>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</si>
  <si>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</si>
  <si>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</si>
  <si>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</si>
  <si>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</si>
  <si>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</si>
  <si>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</si>
  <si>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</si>
  <si>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</si>
  <si>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</si>
  <si>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</si>
  <si>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</si>
  <si>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</si>
  <si>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</si>
  <si>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</si>
  <si>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</si>
  <si>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</si>
  <si>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</si>
  <si>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</si>
  <si>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</si>
  <si>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</si>
  <si>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</si>
  <si>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</si>
  <si>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</si>
  <si>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</si>
  <si>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</si>
  <si>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</si>
  <si>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</si>
  <si>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</si>
  <si>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</si>
  <si>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</si>
  <si>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</si>
  <si>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</si>
  <si>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</si>
  <si>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</si>
  <si>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</si>
  <si>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</si>
  <si>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</si>
  <si>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</si>
  <si>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</si>
  <si>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</si>
  <si>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</si>
  <si>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</si>
  <si>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</si>
  <si>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</si>
  <si>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</si>
  <si>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</si>
  <si>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</si>
  <si>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</si>
  <si>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</si>
  <si>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</si>
  <si>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</si>
  <si>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</si>
  <si>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</si>
  <si>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</si>
  <si>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</si>
  <si>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</si>
  <si>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</si>
  <si>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</si>
  <si>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</si>
  <si>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</si>
  <si>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</si>
  <si>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</si>
  <si>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</si>
  <si>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</si>
  <si>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</si>
  <si>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</si>
  <si>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</si>
  <si>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</si>
  <si>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</si>
  <si>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</si>
  <si>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</si>
  <si>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</si>
  <si>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</si>
  <si>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</si>
  <si>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</si>
  <si>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</si>
  <si>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</si>
  <si>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</si>
  <si>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</si>
  <si>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</si>
  <si>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</si>
  <si>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</si>
  <si>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</si>
  <si>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</si>
  <si>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</si>
  <si>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</si>
  <si>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</si>
  <si>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</si>
  <si>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</si>
  <si>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</si>
  <si>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</si>
  <si>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</si>
  <si>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</si>
  <si>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</si>
  <si>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</si>
  <si>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</si>
  <si>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</si>
  <si>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</si>
  <si>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</si>
  <si>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</si>
  <si>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</si>
  <si>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</si>
  <si>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</si>
  <si>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</si>
  <si>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</si>
  <si>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</si>
  <si>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</si>
  <si>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</si>
  <si>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</si>
  <si>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</si>
  <si>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</si>
  <si>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</si>
  <si>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</si>
  <si>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</si>
  <si>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</si>
  <si>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</si>
  <si>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</si>
  <si>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</si>
  <si>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</si>
  <si>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</si>
  <si>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</si>
  <si>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</si>
  <si>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</si>
  <si>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</si>
  <si>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</si>
  <si>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</si>
  <si>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</si>
  <si>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</si>
  <si>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</si>
  <si>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</si>
  <si>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</si>
  <si>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</si>
  <si>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</si>
  <si>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</si>
  <si>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</si>
  <si>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</si>
  <si>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</si>
  <si>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</si>
  <si>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</si>
  <si>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</si>
  <si>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</si>
  <si>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</si>
  <si>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</si>
  <si>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</si>
  <si>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</si>
  <si>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</si>
  <si>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</si>
  <si>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</si>
  <si>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</si>
  <si>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</si>
  <si>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</si>
  <si>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</si>
  <si>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</si>
  <si>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</si>
  <si>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</si>
  <si>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</si>
  <si>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</si>
  <si>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</si>
  <si>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</si>
  <si>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</si>
  <si>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</si>
  <si>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</si>
  <si>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</si>
  <si>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</si>
  <si>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</si>
  <si>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</si>
  <si>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</si>
  <si>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</si>
  <si>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</si>
  <si>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</si>
  <si>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</si>
  <si>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</si>
  <si>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</si>
  <si>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</si>
  <si>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</si>
  <si>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</si>
  <si>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</si>
  <si>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</si>
  <si>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</si>
  <si>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</si>
  <si>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</si>
  <si>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</si>
  <si>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</si>
  <si>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</si>
  <si>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</si>
  <si>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</si>
  <si>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</si>
  <si>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</si>
  <si>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</si>
  <si>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</si>
  <si>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</si>
  <si>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</si>
  <si>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</si>
  <si>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</si>
  <si>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</si>
  <si>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</si>
  <si>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</si>
  <si>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</si>
  <si>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</si>
  <si>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</si>
  <si>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</si>
  <si>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</si>
  <si>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</si>
  <si>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</si>
  <si>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</si>
  <si>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</si>
  <si>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</si>
  <si>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</si>
  <si>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</si>
  <si>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</si>
  <si>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</si>
  <si>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</si>
  <si>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</si>
  <si>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</si>
  <si>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</si>
  <si>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</si>
  <si>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</si>
  <si>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</si>
  <si>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</si>
  <si>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</si>
  <si>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</si>
  <si>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</si>
  <si>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</si>
  <si>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</si>
  <si>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</si>
  <si>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</si>
  <si>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</si>
  <si>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</si>
  <si>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</si>
  <si>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</si>
  <si>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</si>
  <si>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</si>
  <si>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</si>
  <si>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</si>
  <si>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</si>
  <si>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</si>
  <si>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</si>
  <si>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</si>
  <si>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</si>
  <si>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</si>
  <si>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</si>
  <si>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</si>
  <si>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</si>
  <si>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</si>
  <si>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</si>
  <si>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</si>
  <si>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</si>
  <si>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</si>
  <si>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</si>
  <si>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</si>
  <si>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</si>
  <si>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</si>
  <si>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</si>
  <si>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</si>
  <si>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</si>
  <si>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</si>
  <si>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</si>
  <si>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</si>
  <si>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</si>
  <si>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</si>
  <si>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</si>
  <si>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</si>
  <si>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</si>
  <si>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</si>
  <si>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</si>
  <si>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</si>
  <si>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</si>
  <si>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</si>
  <si>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</si>
  <si>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</si>
  <si>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</si>
  <si>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</si>
  <si>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</si>
  <si>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</si>
  <si>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</si>
  <si>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</si>
  <si>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</si>
  <si>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</si>
  <si>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</si>
  <si>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</si>
  <si>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</si>
  <si>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</si>
  <si>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</si>
  <si>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</si>
  <si>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</si>
  <si>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</si>
  <si>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</si>
  <si>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</si>
  <si>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</si>
  <si>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</si>
  <si>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</si>
  <si>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</si>
  <si>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</si>
  <si>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</si>
  <si>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</si>
  <si>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</si>
  <si>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</si>
  <si>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</si>
  <si>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</si>
  <si>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</si>
  <si>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</si>
  <si>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</si>
  <si>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</si>
  <si>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</si>
  <si>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</si>
  <si>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</si>
  <si>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</si>
  <si>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</si>
  <si>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</si>
  <si>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</si>
  <si>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</si>
  <si>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</si>
  <si>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</si>
  <si>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</si>
  <si>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</si>
  <si>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</si>
  <si>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</si>
  <si>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</si>
  <si>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</si>
  <si>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</si>
  <si>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</si>
  <si>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</si>
  <si>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</si>
  <si>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</si>
  <si>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</si>
  <si>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</si>
  <si>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</si>
  <si>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</si>
  <si>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</si>
  <si>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</si>
  <si>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</si>
  <si>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</si>
  <si>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</si>
  <si>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</si>
  <si>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</si>
  <si>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</si>
  <si>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</si>
  <si>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</si>
  <si>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</si>
  <si>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</si>
  <si>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</si>
  <si>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</si>
  <si>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</si>
  <si>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</si>
  <si>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</si>
  <si>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</si>
  <si>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</si>
  <si>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</si>
  <si>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</si>
  <si>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</si>
  <si>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</si>
  <si>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</si>
  <si>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</si>
  <si>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</si>
  <si>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</si>
  <si>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</si>
  <si>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</si>
  <si>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</si>
  <si>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</si>
  <si>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</si>
  <si>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</si>
  <si>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</si>
  <si>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</si>
  <si>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</si>
  <si>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</si>
  <si>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</si>
  <si>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</si>
  <si>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</si>
  <si>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</si>
  <si>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</si>
  <si>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</si>
  <si>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</si>
  <si>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</si>
  <si>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</si>
  <si>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</si>
  <si>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</si>
  <si>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</si>
  <si>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</si>
  <si>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</si>
  <si>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</si>
  <si>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</si>
  <si>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</si>
  <si>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</si>
  <si>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</si>
  <si>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</si>
  <si>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</si>
  <si>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</si>
  <si>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</si>
  <si>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</si>
  <si>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</si>
  <si>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</si>
  <si>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</si>
  <si>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</si>
  <si>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</si>
  <si>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</si>
  <si>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</si>
  <si>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</si>
  <si>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</si>
  <si>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</si>
  <si>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</si>
  <si>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</si>
  <si>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</si>
  <si>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</si>
  <si>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</si>
  <si>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</si>
  <si>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</si>
  <si>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</si>
  <si>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</si>
  <si>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</si>
  <si>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</si>
  <si>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</si>
  <si>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</si>
  <si>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</si>
  <si>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</si>
  <si>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</si>
  <si>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</si>
  <si>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</si>
  <si>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</si>
  <si>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</si>
  <si>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</si>
  <si>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</si>
  <si>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</si>
  <si>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</si>
  <si>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</si>
  <si>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</si>
  <si>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</si>
  <si>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</si>
  <si>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</si>
  <si>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</si>
  <si>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</si>
  <si>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</si>
  <si>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</si>
  <si>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</si>
  <si>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</si>
  <si>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</si>
  <si>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</si>
  <si>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</si>
  <si>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</si>
  <si>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</si>
  <si>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</si>
  <si>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</si>
  <si>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</si>
  <si>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</si>
  <si>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</si>
  <si>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</si>
  <si>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</si>
  <si>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</si>
  <si>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</si>
  <si>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</si>
  <si>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</si>
  <si>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</si>
  <si>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</si>
  <si>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</si>
  <si>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</si>
  <si>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</si>
  <si>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</si>
  <si>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</si>
  <si>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</si>
  <si>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</si>
  <si>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</si>
  <si>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</si>
  <si>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</si>
  <si>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</si>
  <si>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</si>
  <si>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</si>
  <si>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</si>
  <si>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</si>
  <si>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</si>
  <si>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</si>
  <si>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</si>
  <si>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</si>
  <si>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</si>
  <si>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</si>
  <si>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</si>
  <si>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</si>
  <si>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</si>
  <si>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</si>
  <si>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</si>
  <si>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</si>
  <si>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</si>
  <si>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</si>
  <si>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</si>
  <si>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</si>
  <si>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</si>
  <si>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</si>
  <si>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</si>
  <si>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</si>
  <si>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</si>
  <si>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</si>
  <si>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</si>
  <si>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</si>
  <si>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</si>
  <si>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</si>
  <si>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</si>
  <si>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</si>
  <si>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</si>
  <si>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</si>
  <si>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</si>
  <si>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</si>
  <si>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</si>
  <si>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</si>
  <si>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</si>
  <si>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</si>
  <si>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</si>
  <si>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</si>
  <si>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</si>
  <si>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</si>
  <si>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</si>
  <si>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</si>
  <si>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</si>
  <si>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</si>
  <si>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</si>
  <si>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</si>
  <si>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</si>
  <si>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</si>
  <si>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</si>
  <si>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</si>
  <si>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</si>
  <si>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</si>
  <si>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</si>
  <si>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</si>
  <si>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</si>
  <si>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</si>
  <si>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</si>
  <si>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</si>
  <si>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</si>
  <si>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</si>
  <si>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</si>
  <si>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</si>
  <si>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</si>
  <si>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</si>
  <si>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</si>
  <si>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</si>
  <si>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</si>
  <si>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</si>
  <si>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</si>
  <si>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</si>
  <si>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</si>
  <si>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</si>
  <si>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</si>
  <si>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</si>
  <si>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</si>
  <si>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</si>
  <si>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</si>
  <si>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</si>
  <si>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</si>
  <si>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</si>
  <si>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</si>
  <si>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</si>
  <si>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</si>
  <si>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</si>
  <si>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</si>
  <si>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</si>
  <si>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</si>
  <si>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</si>
  <si>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</si>
  <si>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</si>
  <si>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</si>
  <si>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</si>
  <si>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</si>
  <si>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</si>
  <si>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</si>
  <si>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</si>
  <si>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</si>
  <si>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</si>
  <si>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</si>
  <si>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</si>
  <si>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</si>
  <si>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</si>
  <si>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</si>
  <si>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</si>
  <si>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</si>
  <si>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</si>
  <si>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</si>
  <si>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</si>
  <si>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</si>
  <si>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</si>
  <si>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</si>
  <si>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</si>
  <si>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</si>
  <si>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</si>
  <si>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</si>
  <si>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</si>
  <si>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</si>
  <si>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</si>
  <si>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</si>
  <si>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</si>
  <si>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</si>
  <si>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</si>
  <si>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</si>
  <si>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</si>
  <si>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</si>
  <si>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</si>
  <si>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</si>
  <si>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</si>
  <si>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</si>
  <si>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</si>
  <si>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</si>
  <si>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</si>
  <si>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</si>
  <si>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</si>
  <si>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</si>
  <si>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</si>
  <si>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</si>
  <si>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</si>
  <si>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</si>
  <si>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</si>
  <si>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</si>
  <si>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</si>
  <si>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</si>
  <si>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</si>
  <si>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</si>
  <si>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</si>
  <si>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</si>
  <si>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</si>
  <si>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</si>
  <si>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</si>
  <si>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</si>
  <si>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</si>
  <si>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</si>
  <si>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</si>
  <si>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</si>
  <si>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</si>
  <si>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</si>
  <si>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</si>
  <si>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</si>
  <si>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</si>
  <si>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</si>
  <si>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</si>
  <si>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</si>
  <si>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</si>
  <si>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</si>
  <si>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</si>
  <si>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</si>
  <si>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</si>
  <si>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</si>
  <si>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</si>
  <si>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</si>
  <si>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</si>
  <si>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</si>
  <si>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</si>
  <si>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</si>
  <si>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</si>
  <si>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</si>
  <si>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</si>
  <si>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</si>
  <si>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</si>
  <si>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</si>
  <si>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</si>
  <si>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</si>
  <si>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</si>
  <si>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</si>
  <si>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</si>
  <si>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</si>
  <si>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</si>
  <si>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</si>
  <si>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</si>
  <si>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</si>
  <si>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</si>
  <si>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</si>
  <si>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</si>
  <si>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</si>
  <si>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</si>
  <si>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</si>
  <si>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</si>
  <si>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</si>
  <si>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</si>
  <si>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</si>
  <si>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</si>
  <si>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</si>
  <si>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</si>
  <si>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</si>
  <si>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</si>
  <si>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</si>
  <si>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</si>
  <si>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</si>
  <si>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</si>
  <si>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</si>
  <si>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</si>
  <si>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</si>
  <si>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</si>
  <si>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</si>
  <si>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</si>
  <si>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</si>
  <si>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</si>
  <si>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</si>
  <si>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</si>
  <si>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</si>
  <si>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</si>
  <si>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</si>
  <si>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</si>
  <si>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</si>
  <si>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</si>
  <si>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</si>
  <si>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</si>
  <si>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</si>
  <si>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</si>
  <si>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</si>
  <si>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</si>
  <si>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</si>
  <si>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</si>
  <si>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</si>
  <si>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</si>
  <si>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</si>
  <si>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</si>
  <si>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</si>
  <si>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</si>
  <si>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</si>
  <si>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</si>
  <si>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</si>
  <si>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</si>
  <si>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</si>
  <si>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</si>
  <si>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</si>
  <si>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</si>
  <si>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</si>
  <si>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</si>
  <si>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</si>
  <si>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</si>
  <si>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</si>
  <si>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</si>
  <si>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</si>
  <si>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</si>
  <si>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</si>
  <si>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</si>
  <si>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</si>
  <si>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</si>
  <si>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</si>
  <si>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</si>
  <si>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</si>
  <si>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</si>
  <si>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</si>
  <si>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</si>
  <si>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</si>
  <si>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</si>
  <si>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</si>
  <si>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</si>
  <si>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</si>
  <si>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</si>
  <si>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</si>
  <si>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</si>
  <si>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</si>
  <si>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</si>
  <si>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</si>
  <si>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</si>
  <si>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</si>
  <si>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</si>
  <si>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</si>
  <si>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</si>
  <si>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</si>
  <si>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</si>
  <si>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</si>
  <si>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</si>
  <si>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</si>
  <si>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</si>
  <si>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</si>
  <si>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</si>
  <si>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</si>
  <si>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</si>
  <si>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</si>
  <si>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</si>
  <si>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</si>
  <si>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</si>
  <si>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</si>
  <si>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</si>
  <si>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</si>
  <si>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</si>
  <si>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</si>
  <si>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</si>
  <si>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</si>
  <si>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</si>
  <si>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</si>
  <si>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</si>
  <si>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</si>
  <si>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</si>
  <si>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</si>
  <si>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</si>
  <si>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</si>
  <si>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</si>
  <si>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</si>
  <si>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</si>
  <si>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</si>
  <si>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</si>
  <si>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</si>
  <si>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</si>
  <si>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</si>
  <si>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</si>
  <si>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</si>
  <si>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</si>
  <si>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</si>
  <si>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</si>
  <si>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</si>
  <si>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</si>
  <si>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</si>
  <si>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</si>
  <si>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</si>
  <si>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</si>
  <si>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</si>
  <si>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</si>
  <si>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</si>
  <si>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</si>
  <si>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</si>
  <si>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</si>
  <si>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</si>
  <si>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</si>
  <si>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</si>
  <si>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</si>
  <si>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</si>
  <si>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</si>
  <si>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</si>
  <si>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</si>
  <si>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</si>
  <si>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</si>
  <si>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</si>
  <si>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</si>
  <si>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</si>
  <si>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</si>
  <si>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</si>
  <si>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</si>
  <si>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</si>
  <si>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</si>
  <si>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</si>
  <si>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</si>
  <si>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</si>
  <si>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</si>
  <si>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</si>
  <si>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</si>
  <si>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</si>
  <si>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</si>
  <si>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</si>
  <si>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</si>
  <si>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</si>
  <si>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</si>
  <si>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</si>
  <si>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</si>
  <si>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</si>
  <si>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</si>
  <si>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</si>
  <si>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</si>
  <si>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</si>
  <si>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</si>
  <si>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</si>
  <si>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</si>
  <si>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</si>
  <si>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</si>
  <si>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</si>
  <si>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</si>
  <si>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</si>
  <si>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</si>
  <si>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</si>
  <si>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</si>
  <si>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</si>
  <si>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</si>
  <si>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</si>
  <si>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</si>
  <si>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</si>
  <si>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</si>
  <si>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</si>
  <si>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</si>
  <si>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</si>
  <si>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</si>
  <si>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</si>
  <si>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</si>
  <si>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</si>
  <si>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</si>
  <si>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</si>
  <si>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</si>
  <si>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</si>
  <si>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</si>
  <si>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</si>
  <si>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</si>
  <si>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</si>
  <si>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</si>
  <si>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</si>
  <si>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</si>
  <si>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</si>
  <si>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</si>
  <si>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</si>
  <si>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</si>
  <si>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</si>
  <si>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</si>
  <si>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</si>
  <si>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</si>
  <si>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</si>
  <si>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</si>
  <si>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</si>
  <si>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</si>
  <si>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</si>
  <si>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</si>
  <si>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</si>
  <si>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</si>
  <si>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</si>
  <si>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</si>
  <si>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</si>
  <si>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</si>
  <si>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</si>
  <si>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</si>
  <si>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</si>
  <si>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</si>
  <si>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</si>
  <si>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</si>
  <si>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</si>
  <si>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</si>
  <si>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</si>
  <si>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</si>
  <si>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</si>
  <si>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</si>
  <si>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</si>
  <si>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</si>
  <si>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</si>
  <si>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</si>
  <si>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</si>
  <si>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</si>
  <si>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</si>
  <si>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</si>
  <si>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</si>
  <si>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</si>
  <si>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</si>
  <si>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</si>
  <si>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</si>
  <si>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</si>
  <si>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</si>
  <si>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</si>
  <si>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</si>
  <si>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</si>
  <si>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</si>
  <si>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</si>
  <si>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</si>
  <si>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</si>
  <si>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</si>
  <si>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</si>
  <si>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</si>
  <si>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</si>
  <si>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</si>
  <si>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</si>
  <si>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</si>
  <si>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</si>
  <si>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</si>
  <si>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</si>
  <si>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</si>
  <si>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</si>
  <si>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</si>
  <si>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</si>
  <si>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</si>
  <si>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</si>
  <si>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</si>
  <si>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</si>
  <si>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</si>
  <si>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</si>
  <si>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</si>
  <si>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</si>
  <si>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</si>
  <si>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</si>
  <si>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</si>
  <si>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</si>
  <si>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</si>
  <si>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</si>
  <si>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</si>
  <si>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</si>
  <si>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</si>
  <si>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</si>
  <si>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</si>
  <si>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</si>
  <si>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</si>
  <si>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</si>
  <si>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</si>
  <si>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</si>
  <si>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</si>
  <si>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</si>
  <si>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</si>
  <si>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</si>
  <si>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</si>
  <si>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</si>
  <si>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</si>
  <si>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</si>
  <si>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</si>
  <si>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</si>
  <si>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</si>
  <si>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</si>
  <si>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</si>
  <si>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</si>
  <si>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</si>
  <si>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</si>
  <si>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</si>
  <si>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</si>
  <si>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</si>
  <si>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</si>
  <si>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</si>
  <si>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</si>
  <si>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</si>
  <si>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</si>
  <si>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</si>
  <si>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</si>
  <si>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</si>
  <si>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</si>
  <si>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</si>
  <si>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</si>
  <si>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</si>
  <si>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</si>
  <si>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</si>
  <si>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</si>
  <si>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</si>
  <si>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</si>
  <si>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</si>
  <si>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</si>
  <si>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</si>
  <si>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</si>
  <si>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</si>
  <si>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</si>
  <si>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</si>
  <si>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</si>
  <si>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</si>
  <si>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</si>
  <si>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</si>
  <si>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</si>
  <si>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</si>
  <si>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</si>
  <si>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</si>
  <si>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</si>
  <si>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</si>
  <si>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</si>
  <si>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</si>
  <si>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</si>
  <si>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</si>
  <si>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</si>
  <si>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</si>
  <si>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</si>
  <si>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</si>
  <si>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</si>
  <si>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</si>
  <si>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</si>
  <si>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</si>
  <si>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</si>
  <si>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</si>
  <si>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</si>
  <si>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</si>
  <si>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</si>
  <si>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</si>
  <si>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</si>
  <si>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</si>
  <si>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</si>
  <si>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</si>
  <si>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</si>
  <si>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</si>
  <si>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</si>
  <si>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</si>
  <si>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</si>
  <si>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</si>
  <si>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</si>
  <si>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</si>
  <si>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</si>
  <si>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</si>
  <si>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</si>
  <si>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</si>
  <si>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</si>
  <si>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</si>
  <si>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</si>
  <si>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</si>
  <si>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</si>
  <si>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</si>
  <si>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</si>
  <si>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</si>
  <si>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</si>
  <si>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</si>
  <si>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</si>
  <si>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</si>
  <si>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</si>
  <si>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</si>
  <si>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</si>
  <si>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</si>
  <si>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</si>
  <si>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</si>
  <si>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</si>
  <si>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</si>
  <si>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</si>
  <si>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</si>
  <si>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</si>
  <si>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</si>
  <si>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</si>
  <si>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</si>
  <si>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</si>
  <si>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</si>
  <si>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</si>
  <si>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</si>
  <si>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</si>
  <si>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</si>
  <si>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</si>
  <si>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</si>
  <si>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</si>
  <si>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</si>
  <si>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</si>
  <si>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</si>
  <si>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</si>
  <si>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</si>
  <si>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</si>
  <si>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</si>
  <si>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</si>
  <si>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</si>
  <si>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</si>
  <si>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</si>
  <si>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</si>
  <si>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</si>
  <si>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</si>
  <si>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</si>
  <si>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</si>
  <si>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</si>
  <si>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</si>
  <si>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</si>
  <si>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</si>
  <si>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</si>
  <si>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</si>
  <si>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</si>
  <si>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</si>
  <si>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</si>
  <si>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</si>
  <si>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</si>
  <si>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</si>
  <si>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</si>
  <si>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</si>
  <si>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</si>
  <si>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</si>
  <si>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</si>
  <si>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</si>
  <si>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</si>
  <si>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</si>
  <si>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</si>
  <si>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</si>
  <si>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</si>
  <si>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</si>
  <si>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</si>
  <si>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</si>
  <si>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</si>
  <si>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</si>
  <si>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</si>
  <si>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</si>
  <si>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</si>
  <si>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</si>
  <si>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</si>
  <si>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</si>
  <si>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</si>
  <si>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</si>
  <si>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</si>
  <si>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</si>
  <si>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</si>
  <si>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</si>
  <si>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</si>
  <si>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</si>
  <si>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</si>
  <si>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</si>
  <si>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</si>
  <si>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</si>
  <si>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</si>
  <si>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</si>
  <si>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</si>
  <si>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</si>
  <si>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</si>
  <si>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</si>
  <si>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</si>
  <si>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</si>
  <si>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</si>
  <si>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</si>
  <si>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</si>
  <si>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</si>
  <si>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</si>
  <si>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</si>
  <si>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</si>
  <si>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</si>
  <si>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</si>
  <si>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</si>
  <si>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</si>
  <si>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</si>
  <si>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</si>
  <si>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</si>
  <si>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</si>
  <si>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</si>
  <si>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</si>
  <si>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</si>
  <si>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</si>
  <si>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</si>
  <si>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</si>
  <si>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</si>
  <si>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</si>
  <si>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</si>
  <si>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</si>
  <si>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</si>
  <si>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</si>
  <si>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</si>
  <si>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</si>
  <si>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</si>
  <si>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</si>
  <si>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</si>
  <si>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</si>
  <si>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</si>
  <si>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</si>
  <si>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</si>
  <si>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</si>
  <si>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</si>
  <si>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</si>
  <si>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</si>
  <si>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</si>
  <si>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</si>
  <si>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</si>
  <si>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</si>
  <si>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</si>
  <si>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</si>
  <si>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</si>
  <si>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</si>
  <si>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</si>
  <si>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</si>
  <si>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</si>
  <si>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</si>
  <si>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</si>
  <si>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</si>
  <si>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</si>
  <si>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</si>
  <si>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</si>
  <si>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</si>
  <si>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</si>
  <si>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</si>
  <si>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</si>
  <si>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</si>
  <si>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</si>
  <si>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</si>
  <si>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</si>
  <si>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</si>
  <si>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</si>
  <si>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</si>
  <si>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</si>
  <si>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</si>
  <si>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</si>
  <si>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</si>
  <si>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</si>
  <si>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</si>
  <si>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</si>
  <si>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</si>
  <si>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</si>
  <si>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</si>
  <si>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</si>
  <si>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</si>
  <si>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</si>
  <si>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</si>
  <si>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</si>
  <si>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</si>
  <si>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</si>
  <si>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</si>
  <si>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</si>
  <si>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</si>
  <si>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</si>
  <si>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</si>
  <si>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</si>
  <si>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</si>
  <si>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</si>
  <si>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</si>
  <si>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</si>
  <si>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</si>
  <si>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</si>
  <si>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</si>
  <si>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</si>
  <si>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</si>
  <si>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</si>
  <si>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</si>
  <si>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</si>
  <si>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</si>
  <si>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</si>
  <si>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</si>
  <si>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</si>
  <si>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</si>
  <si>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</si>
  <si>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</si>
  <si>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</si>
  <si>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</si>
  <si>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</si>
  <si>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</si>
  <si>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</si>
  <si>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</si>
  <si>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</si>
  <si>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</si>
  <si>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</si>
  <si>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</si>
  <si>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</si>
  <si>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</si>
  <si>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</si>
  <si>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</si>
  <si>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</si>
  <si>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</si>
  <si>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</si>
  <si>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</si>
  <si>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</si>
  <si>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</si>
  <si>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</si>
  <si>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</si>
  <si>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</si>
  <si>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</si>
  <si>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</si>
  <si>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</si>
  <si>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</si>
  <si>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</si>
  <si>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</si>
  <si>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</si>
  <si>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</si>
  <si>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</si>
  <si>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</si>
  <si>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</si>
  <si>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</si>
  <si>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</si>
  <si>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</si>
  <si>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</si>
  <si>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</si>
  <si>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</si>
  <si>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</si>
  <si>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</si>
  <si>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</si>
  <si>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</si>
  <si>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</si>
  <si>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</si>
  <si>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</si>
  <si>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</si>
  <si>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</si>
  <si>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</si>
  <si>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</si>
  <si>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</si>
  <si>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</si>
  <si>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</si>
  <si>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</si>
  <si>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</si>
  <si>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</si>
  <si>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</si>
  <si>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</si>
  <si>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</si>
  <si>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</si>
  <si>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</si>
  <si>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</si>
  <si>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</si>
  <si>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</si>
  <si>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</si>
  <si>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</si>
  <si>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</si>
  <si>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</si>
  <si>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</si>
  <si>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</si>
  <si>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</si>
  <si>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</si>
  <si>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</si>
  <si>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</si>
  <si>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</si>
  <si>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</si>
  <si>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</si>
  <si>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</si>
  <si>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</si>
  <si>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</si>
  <si>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</si>
  <si>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</si>
  <si>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</si>
  <si>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</si>
  <si>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</si>
  <si>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</si>
  <si>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</si>
  <si>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</si>
  <si>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</si>
  <si>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</si>
  <si>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</si>
  <si>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</si>
  <si>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</si>
  <si>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</si>
  <si>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</si>
  <si>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</si>
  <si>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</si>
  <si>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</si>
  <si>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</si>
  <si>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</si>
  <si>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</si>
  <si>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</si>
  <si>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</si>
  <si>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</si>
  <si>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</si>
  <si>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</si>
  <si>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</si>
  <si>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</si>
  <si>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</si>
  <si>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</si>
  <si>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</si>
  <si>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</si>
  <si>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</si>
  <si>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</si>
  <si>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</si>
  <si>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</si>
  <si>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</si>
  <si>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</si>
  <si>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</si>
  <si>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</si>
  <si>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</si>
  <si>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</si>
  <si>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</si>
  <si>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</si>
  <si>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</si>
  <si>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</si>
  <si>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</si>
  <si>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</si>
  <si>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</si>
  <si>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</si>
  <si>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</si>
  <si>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</si>
  <si>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</si>
  <si>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</si>
  <si>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</si>
  <si>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</si>
  <si>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</si>
  <si>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</si>
  <si>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</si>
  <si>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</si>
  <si>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</si>
  <si>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</si>
  <si>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</si>
  <si>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</si>
  <si>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</si>
  <si>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</si>
  <si>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</si>
  <si>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</si>
  <si>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</si>
  <si>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</si>
  <si>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</si>
  <si>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</si>
  <si>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</si>
  <si>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</si>
  <si>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</si>
  <si>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</si>
  <si>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</si>
  <si>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</si>
  <si>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</si>
  <si>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</si>
  <si>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</si>
  <si>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</si>
  <si>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</si>
  <si>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</si>
  <si>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</si>
  <si>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</si>
  <si>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</si>
  <si>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</si>
  <si>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</si>
  <si>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</si>
  <si>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</si>
  <si>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</si>
  <si>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</si>
  <si>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</si>
  <si>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</si>
  <si>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</si>
  <si>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</si>
  <si>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</si>
  <si>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</si>
  <si>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</si>
  <si>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</si>
  <si>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</si>
  <si>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</si>
  <si>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</si>
  <si>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</si>
  <si>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</si>
  <si>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</si>
  <si>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</si>
  <si>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</si>
  <si>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</si>
  <si>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</si>
  <si>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</si>
  <si>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</si>
  <si>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</si>
  <si>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</si>
  <si>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</si>
  <si>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</si>
  <si>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</si>
  <si>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</si>
  <si>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</si>
  <si>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</si>
  <si>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</si>
  <si>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</si>
  <si>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</si>
  <si>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</si>
  <si>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</si>
  <si>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</si>
  <si>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</si>
  <si>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</si>
  <si>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</si>
  <si>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</si>
  <si>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</si>
  <si>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</si>
  <si>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</si>
  <si>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</si>
  <si>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</si>
  <si>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</si>
  <si>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</si>
  <si>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</si>
  <si>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</si>
  <si>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</si>
  <si>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</si>
  <si>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</si>
  <si>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</si>
  <si>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</si>
  <si>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</si>
  <si>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</si>
  <si>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</si>
  <si>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</si>
  <si>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</si>
  <si>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</si>
  <si>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</si>
  <si>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</si>
  <si>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</si>
  <si>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</si>
  <si>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</si>
  <si>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</si>
  <si>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</si>
  <si>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</si>
  <si>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</si>
  <si>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</si>
  <si>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</si>
  <si>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</si>
  <si>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</si>
  <si>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</si>
  <si>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</si>
  <si>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</si>
  <si>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</si>
  <si>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</si>
  <si>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</si>
  <si>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</si>
  <si>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</si>
  <si>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</si>
  <si>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</si>
  <si>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</si>
  <si>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</si>
  <si>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</si>
  <si>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</si>
  <si>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</si>
  <si>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</si>
  <si>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</si>
  <si>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</si>
  <si>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</si>
  <si>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</si>
  <si>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</si>
  <si>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</si>
  <si>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</si>
  <si>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</si>
  <si>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</si>
  <si>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</si>
  <si>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</si>
  <si>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</si>
  <si>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</si>
  <si>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</si>
  <si>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</si>
  <si>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</si>
  <si>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</si>
  <si>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</si>
  <si>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</si>
  <si>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</si>
  <si>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</si>
  <si>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</si>
  <si>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</si>
  <si>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</si>
  <si>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</si>
  <si>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</si>
  <si>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</si>
  <si>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</si>
  <si>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</si>
  <si>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</si>
  <si>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</si>
  <si>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</si>
  <si>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</si>
  <si>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</si>
  <si>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</si>
  <si>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</si>
  <si>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</si>
  <si>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</si>
  <si>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</si>
  <si>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</si>
  <si>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</si>
  <si>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</si>
  <si>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</si>
  <si>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</si>
  <si>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</si>
  <si>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</si>
  <si>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</si>
  <si>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</si>
  <si>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</si>
  <si>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</si>
  <si>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</si>
  <si>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</si>
  <si>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</si>
  <si>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</si>
  <si>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</si>
  <si>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</si>
  <si>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</si>
  <si>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</si>
  <si>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</si>
  <si>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</si>
  <si>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</si>
  <si>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</si>
  <si>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</si>
  <si>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</si>
  <si>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</si>
  <si>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</si>
  <si>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</si>
  <si>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</si>
  <si>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</si>
  <si>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</si>
  <si>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</si>
  <si>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</si>
  <si>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</si>
  <si>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</si>
  <si>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</si>
  <si>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</si>
  <si>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</si>
  <si>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</si>
  <si>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</si>
  <si>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</si>
  <si>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</si>
  <si>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</si>
  <si>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</si>
  <si>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</si>
  <si>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</si>
  <si>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</si>
  <si>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</si>
  <si>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</si>
  <si>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</si>
  <si>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</si>
  <si>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</si>
  <si>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</si>
  <si>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</si>
  <si>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</si>
  <si>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</si>
  <si>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</si>
  <si>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</si>
  <si>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</si>
  <si>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</si>
  <si>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</si>
  <si>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</si>
  <si>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</si>
  <si>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</si>
  <si>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</si>
  <si>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</si>
  <si>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</si>
  <si>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</si>
  <si>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</si>
  <si>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</si>
  <si>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</si>
  <si>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</si>
  <si>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</si>
  <si>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</si>
  <si>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</si>
  <si>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</si>
  <si>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</si>
  <si>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</si>
  <si>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</si>
  <si>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</si>
  <si>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</si>
  <si>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</si>
  <si>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</si>
  <si>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</si>
  <si>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</si>
  <si>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</si>
  <si>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</si>
  <si>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</si>
  <si>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</si>
  <si>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</si>
  <si>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</si>
  <si>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</si>
  <si>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</si>
  <si>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</si>
  <si>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</si>
  <si>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</si>
  <si>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</si>
  <si>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</si>
  <si>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</si>
  <si>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</si>
  <si>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</si>
  <si>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</si>
  <si>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</si>
  <si>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</si>
  <si>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</si>
  <si>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</si>
  <si>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</si>
  <si>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</si>
  <si>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</si>
  <si>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</si>
  <si>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</si>
  <si>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</si>
  <si>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</si>
  <si>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</si>
  <si>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</si>
  <si>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</si>
  <si>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</si>
  <si>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</si>
  <si>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</si>
  <si>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</si>
  <si>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</si>
  <si>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</si>
  <si>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</si>
  <si>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</si>
  <si>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</si>
  <si>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</si>
  <si>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</si>
  <si>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</si>
  <si>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</si>
  <si>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</si>
  <si>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</si>
  <si>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</si>
  <si>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</si>
  <si>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</si>
  <si>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</si>
  <si>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</si>
  <si>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</si>
  <si>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</si>
  <si>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</si>
  <si>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</si>
  <si>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</si>
  <si>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</si>
  <si>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</si>
  <si>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</si>
  <si>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</si>
  <si>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</si>
  <si>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</si>
  <si>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</si>
  <si>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</si>
  <si>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</si>
  <si>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</si>
  <si>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</si>
  <si>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</si>
  <si>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</si>
  <si>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</si>
  <si>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</si>
  <si>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</si>
  <si>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</si>
  <si>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</si>
  <si>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</si>
  <si>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</si>
  <si>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</si>
  <si>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</si>
  <si>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</si>
  <si>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</si>
  <si>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</si>
  <si>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</si>
  <si>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</si>
  <si>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</si>
  <si>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</si>
  <si>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</si>
  <si>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</si>
  <si>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</si>
  <si>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</si>
  <si>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</si>
  <si>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</si>
  <si>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</si>
  <si>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</si>
  <si>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</si>
  <si>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</si>
  <si>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</si>
  <si>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</si>
  <si>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</si>
  <si>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</si>
  <si>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</si>
  <si>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</si>
  <si>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</si>
  <si>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</si>
  <si>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</si>
  <si>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</si>
  <si>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</si>
  <si>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</si>
  <si>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</si>
  <si>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</si>
  <si>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</si>
  <si>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</si>
  <si>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</si>
  <si>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</si>
  <si>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</si>
  <si>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</si>
  <si>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</si>
  <si>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</si>
  <si>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</si>
  <si>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</si>
  <si>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</si>
  <si>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</si>
  <si>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</si>
  <si>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</si>
  <si>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</si>
  <si>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</si>
  <si>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</si>
  <si>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</si>
  <si>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</si>
  <si>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</si>
  <si>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</si>
  <si>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</si>
  <si>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</si>
  <si>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</si>
  <si>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</si>
  <si>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</si>
  <si>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</si>
  <si>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</si>
  <si>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</si>
  <si>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</si>
  <si>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</si>
  <si>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</si>
  <si>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</si>
  <si>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</si>
  <si>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</si>
  <si>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</si>
  <si>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</si>
  <si>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</si>
  <si>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</si>
  <si>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</si>
  <si>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</si>
  <si>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</si>
  <si>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</si>
  <si>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</si>
  <si>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</si>
  <si>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</si>
  <si>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</si>
  <si>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</si>
  <si>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</si>
  <si>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</si>
  <si>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</si>
  <si>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</si>
  <si>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</si>
  <si>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</si>
  <si>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</si>
  <si>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</si>
  <si>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</si>
  <si>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</si>
  <si>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</si>
  <si>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</si>
  <si>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</si>
  <si>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</si>
  <si>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</si>
  <si>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</si>
  <si>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</si>
  <si>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</si>
  <si>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</si>
  <si>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</si>
  <si>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</si>
  <si>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</si>
  <si>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</si>
  <si>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</si>
  <si>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</si>
  <si>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</si>
  <si>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</si>
  <si>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</si>
  <si>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</si>
  <si>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</si>
  <si>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</si>
  <si>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</si>
  <si>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</si>
  <si>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</si>
  <si>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</si>
  <si>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</si>
  <si>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</si>
  <si>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</si>
  <si>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</si>
  <si>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</si>
  <si>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</si>
  <si>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</si>
  <si>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</si>
  <si>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</si>
  <si>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</si>
  <si>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</si>
  <si>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</si>
  <si>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</si>
  <si>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</si>
  <si>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</si>
  <si>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</si>
  <si>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</si>
  <si>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</si>
  <si>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</si>
  <si>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</si>
  <si>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</si>
  <si>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</si>
  <si>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</si>
  <si>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</si>
  <si>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</si>
  <si>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</si>
  <si>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</si>
  <si>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</si>
  <si>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</si>
  <si>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</si>
  <si>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</si>
  <si>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</si>
  <si>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</si>
  <si>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</si>
  <si>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</si>
  <si>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</si>
  <si>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</si>
  <si>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</si>
  <si>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</si>
  <si>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</si>
  <si>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</si>
  <si>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</si>
  <si>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</si>
  <si>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</si>
  <si>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</si>
  <si>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</si>
  <si>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</si>
  <si>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</si>
  <si>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</si>
  <si>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</si>
  <si>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</si>
  <si>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</si>
  <si>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</si>
  <si>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</si>
  <si>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</si>
  <si>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</si>
  <si>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</si>
  <si>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</si>
  <si>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</si>
  <si>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</si>
  <si>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</si>
  <si>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</si>
  <si>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</si>
  <si>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</si>
  <si>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</si>
  <si>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</si>
  <si>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</si>
  <si>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</si>
  <si>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</si>
  <si>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</si>
  <si>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</si>
  <si>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</si>
  <si>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</si>
  <si>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</si>
  <si>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</si>
  <si>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</si>
  <si>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</si>
  <si>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</si>
  <si>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</si>
  <si>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</si>
  <si>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</si>
  <si>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</si>
  <si>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</si>
  <si>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</si>
  <si>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</si>
  <si>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</si>
  <si>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</si>
  <si>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</si>
  <si>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</si>
  <si>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</si>
  <si>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</si>
  <si>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</si>
  <si>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</si>
  <si>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</si>
  <si>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</si>
  <si>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</si>
  <si>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</si>
  <si>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</si>
  <si>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</si>
  <si>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</si>
  <si>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</si>
  <si>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</si>
  <si>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</si>
  <si>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</si>
  <si>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</si>
  <si>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</si>
  <si>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</si>
  <si>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</si>
  <si>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</si>
  <si>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</si>
  <si>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</si>
  <si>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</si>
  <si>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</si>
  <si>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</si>
  <si>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</si>
  <si>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</si>
  <si>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</si>
  <si>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</si>
  <si>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</si>
  <si>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</si>
  <si>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</si>
  <si>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</si>
  <si>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</si>
  <si>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</si>
  <si>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</si>
  <si>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</si>
  <si>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</si>
  <si>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</si>
  <si>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</si>
  <si>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</si>
  <si>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</si>
  <si>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</si>
  <si>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</si>
  <si>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</si>
  <si>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</si>
  <si>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</si>
  <si>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</si>
  <si>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</si>
  <si>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</si>
  <si>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</si>
  <si>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</si>
  <si>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</si>
  <si>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</si>
  <si>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</si>
  <si>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</si>
  <si>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</si>
  <si>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</si>
  <si>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</si>
  <si>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</si>
  <si>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</si>
  <si>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</si>
  <si>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</si>
  <si>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</si>
  <si>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</si>
  <si>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</si>
  <si>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</si>
  <si>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</si>
  <si>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</si>
  <si>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</si>
  <si>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</si>
  <si>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</si>
  <si>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</si>
  <si>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</si>
  <si>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</si>
  <si>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</si>
  <si>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</si>
  <si>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</si>
  <si>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</si>
  <si>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</si>
  <si>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</si>
  <si>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</si>
  <si>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</si>
  <si>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</si>
  <si>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</si>
  <si>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</si>
  <si>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</si>
  <si>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</si>
  <si>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</si>
  <si>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</si>
  <si>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</si>
  <si>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</si>
  <si>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</si>
  <si>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</si>
  <si>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</si>
  <si>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</si>
  <si>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</si>
  <si>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</si>
  <si>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</si>
  <si>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</si>
  <si>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</si>
  <si>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</si>
  <si>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</si>
  <si>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</si>
  <si>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</si>
  <si>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</si>
  <si>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</si>
  <si>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</si>
  <si>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</si>
  <si>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</si>
  <si>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</si>
  <si>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</si>
  <si>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</si>
  <si>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</si>
  <si>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</si>
  <si>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</si>
  <si>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</si>
  <si>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</si>
  <si>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</si>
  <si>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</si>
  <si>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</si>
  <si>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</si>
  <si>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</si>
  <si>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</si>
  <si>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</si>
  <si>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</si>
  <si>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</si>
  <si>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</si>
  <si>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</si>
  <si>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</si>
  <si>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</si>
  <si>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</si>
  <si>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</si>
  <si>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</si>
  <si>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</si>
  <si>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</si>
  <si>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</si>
  <si>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</si>
  <si>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</si>
  <si>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</si>
  <si>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</si>
  <si>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</si>
  <si>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</si>
  <si>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</si>
  <si>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</si>
  <si>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</si>
  <si>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</si>
  <si>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</si>
  <si>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</si>
  <si>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</si>
  <si>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</si>
  <si>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</si>
  <si>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</si>
  <si>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</si>
  <si>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</si>
  <si>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</si>
  <si>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</si>
  <si>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</si>
  <si>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</si>
  <si>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</si>
  <si>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</si>
  <si>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</si>
  <si>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</si>
  <si>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</si>
  <si>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</si>
  <si>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</si>
  <si>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</si>
  <si>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</si>
  <si>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</si>
  <si>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</si>
  <si>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</si>
  <si>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</si>
  <si>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</si>
  <si>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</si>
  <si>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</si>
  <si>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</si>
  <si>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</si>
  <si>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</si>
  <si>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</si>
  <si>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</si>
  <si>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</si>
  <si>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</si>
  <si>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</si>
  <si>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</si>
  <si>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</si>
  <si>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</si>
  <si>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</si>
  <si>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</si>
  <si>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</si>
  <si>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</si>
  <si>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</si>
  <si>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</si>
  <si>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</si>
  <si>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</si>
  <si>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</si>
  <si>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</si>
  <si>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</si>
  <si>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</si>
  <si>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</si>
  <si>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</si>
  <si>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</si>
  <si>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</si>
  <si>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</si>
  <si>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</si>
  <si>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</si>
  <si>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</si>
  <si>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</si>
  <si>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</si>
  <si>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</si>
  <si>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</si>
  <si>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</si>
  <si>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</si>
  <si>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</si>
  <si>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</si>
  <si>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</si>
  <si>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</si>
  <si>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</si>
  <si>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</si>
  <si>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</si>
  <si>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</si>
  <si>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</si>
  <si>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</si>
  <si>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</si>
  <si>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</si>
  <si>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</si>
  <si>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</si>
  <si>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</si>
  <si>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</si>
  <si>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</si>
  <si>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</si>
  <si>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</si>
  <si>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</si>
  <si>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</si>
  <si>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</si>
  <si>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</si>
  <si>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</si>
  <si>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</si>
  <si>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</si>
  <si>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</si>
  <si>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</si>
  <si>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</si>
  <si>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</si>
  <si>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</si>
  <si>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</si>
  <si>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</si>
  <si>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</si>
  <si>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</si>
  <si>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</si>
  <si>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</si>
  <si>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</si>
  <si>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</si>
  <si>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</si>
  <si>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</si>
  <si>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</si>
  <si>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</si>
  <si>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</si>
  <si>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</si>
  <si>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</si>
  <si>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</si>
  <si>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</si>
  <si>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</si>
  <si>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</si>
  <si>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</si>
  <si>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</si>
  <si>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</si>
  <si>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</si>
  <si>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</si>
  <si>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</si>
  <si>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</si>
  <si>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</si>
  <si>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</si>
  <si>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</si>
  <si>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</si>
  <si>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</si>
  <si>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</si>
  <si>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</si>
  <si>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</si>
  <si>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</si>
  <si>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</si>
  <si>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</si>
  <si>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</si>
  <si>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</si>
  <si>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</si>
  <si>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</si>
  <si>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</si>
  <si>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</si>
  <si>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</si>
  <si>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</si>
  <si>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</si>
  <si>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</si>
  <si>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</si>
  <si>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</si>
  <si>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</si>
  <si>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</si>
  <si>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</si>
  <si>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</si>
  <si>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</si>
  <si>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</si>
  <si>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</si>
  <si>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</si>
  <si>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</si>
  <si>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</si>
  <si>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</si>
  <si>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</si>
  <si>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</si>
  <si>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</si>
  <si>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</si>
  <si>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</si>
  <si>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</si>
  <si>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</si>
  <si>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</si>
  <si>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</si>
  <si>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</si>
  <si>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</si>
  <si>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</si>
  <si>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</si>
  <si>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</si>
  <si>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</si>
  <si>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</si>
  <si>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</si>
  <si>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</si>
  <si>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</si>
  <si>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</si>
  <si>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</si>
  <si>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</si>
  <si>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</si>
  <si>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</si>
  <si>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</si>
  <si>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</si>
  <si>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</si>
  <si>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</si>
  <si>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</si>
  <si>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</si>
  <si>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</si>
  <si>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</si>
  <si>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</si>
  <si>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</si>
  <si>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</si>
  <si>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</si>
  <si>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</si>
  <si>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</si>
  <si>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</si>
  <si>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</si>
  <si>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</si>
  <si>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</si>
  <si>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</si>
  <si>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</si>
  <si>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</si>
  <si>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</si>
  <si>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</si>
  <si>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</si>
  <si>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</si>
  <si>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</si>
  <si>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</si>
  <si>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</si>
  <si>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</si>
  <si>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</si>
  <si>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</si>
  <si>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</si>
  <si>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</si>
  <si>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</si>
  <si>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</si>
  <si>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</si>
  <si>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</si>
  <si>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</si>
  <si>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</si>
  <si>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</si>
  <si>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</si>
  <si>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</si>
  <si>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</si>
  <si>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</si>
  <si>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</si>
  <si>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</si>
  <si>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</si>
  <si>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</si>
  <si>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</si>
  <si>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</si>
  <si>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</si>
  <si>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</si>
  <si>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</si>
  <si>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</si>
  <si>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</si>
  <si>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</si>
  <si>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</si>
  <si>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</si>
  <si>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</si>
  <si>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</si>
  <si>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</si>
  <si>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</si>
  <si>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</si>
  <si>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</si>
  <si>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</si>
  <si>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</si>
  <si>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</si>
  <si>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</si>
  <si>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</si>
  <si>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</si>
  <si>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</si>
  <si>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</si>
  <si>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</si>
  <si>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</si>
  <si>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</si>
  <si>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</si>
  <si>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</si>
  <si>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</si>
  <si>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</si>
  <si>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</si>
  <si>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</si>
  <si>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</si>
  <si>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</si>
  <si>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</si>
  <si>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</si>
  <si>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</si>
  <si>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</si>
  <si>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</si>
  <si>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</si>
  <si>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</si>
  <si>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</si>
  <si>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</si>
  <si>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</si>
  <si>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</si>
  <si>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</si>
  <si>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</si>
  <si>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</si>
  <si>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</si>
  <si>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</si>
  <si>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</si>
  <si>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</si>
  <si>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</si>
  <si>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</si>
  <si>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</si>
  <si>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</si>
  <si>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</si>
  <si>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</si>
  <si>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</si>
  <si>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</si>
  <si>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</si>
  <si>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</si>
  <si>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</si>
  <si>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</si>
  <si>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</si>
  <si>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</si>
  <si>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</si>
  <si>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</si>
  <si>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</si>
  <si>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</si>
  <si>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</si>
  <si>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</si>
  <si>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</si>
  <si>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</si>
  <si>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</si>
  <si>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</si>
  <si>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</si>
  <si>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</si>
  <si>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</si>
  <si>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</si>
  <si>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</si>
  <si>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</si>
  <si>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</si>
  <si>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</si>
  <si>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</si>
  <si>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</si>
  <si>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</si>
  <si>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</si>
  <si>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</si>
  <si>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</si>
  <si>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</si>
  <si>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</si>
  <si>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</si>
  <si>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</si>
  <si>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</si>
  <si>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</si>
  <si>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</si>
  <si>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</si>
  <si>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</si>
  <si>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</si>
  <si>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</si>
  <si>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</si>
  <si>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</si>
  <si>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</si>
  <si>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</si>
  <si>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</si>
  <si>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</si>
  <si>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</si>
  <si>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</si>
  <si>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</si>
  <si>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</si>
  <si>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</si>
  <si>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</si>
  <si>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</si>
  <si>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</si>
  <si>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</si>
  <si>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</si>
  <si>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</si>
  <si>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</si>
  <si>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</si>
  <si>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</si>
  <si>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</si>
  <si>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</si>
  <si>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</si>
  <si>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</si>
  <si>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</si>
  <si>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</si>
  <si>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</si>
  <si>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</si>
  <si>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</si>
  <si>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</si>
  <si>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</si>
  <si>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</si>
  <si>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</si>
  <si>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</si>
  <si>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</si>
  <si>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</si>
  <si>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</si>
  <si>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</si>
  <si>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</si>
  <si>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</si>
  <si>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</si>
  <si>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</si>
  <si>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</si>
  <si>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</si>
  <si>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</si>
  <si>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</si>
  <si>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</si>
  <si>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</si>
  <si>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</si>
  <si>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</si>
  <si>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</si>
  <si>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</si>
  <si>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</si>
  <si>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</si>
  <si>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</si>
  <si>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</si>
  <si>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</si>
  <si>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</si>
  <si>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</si>
  <si>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</si>
  <si>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</si>
  <si>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</si>
  <si>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</si>
  <si>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</si>
  <si>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</si>
  <si>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</si>
  <si>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</si>
  <si>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</si>
  <si>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</si>
  <si>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</si>
  <si>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</si>
  <si>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</si>
  <si>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</si>
  <si>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</si>
  <si>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</si>
  <si>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</si>
  <si>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</si>
  <si>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</si>
  <si>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</si>
  <si>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</si>
  <si>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</si>
  <si>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</si>
  <si>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</si>
  <si>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</si>
  <si>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</si>
  <si>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</si>
  <si>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</si>
  <si>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</si>
  <si>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</si>
  <si>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</si>
  <si>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</si>
  <si>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</si>
  <si>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</si>
  <si>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</si>
  <si>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</si>
  <si>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</si>
  <si>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</si>
  <si>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</si>
  <si>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</si>
  <si>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</si>
  <si>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</si>
  <si>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</si>
  <si>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</si>
  <si>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</si>
  <si>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</si>
  <si>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</si>
  <si>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</si>
  <si>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</si>
  <si>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</si>
  <si>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</si>
  <si>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</si>
  <si>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</si>
  <si>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</si>
  <si>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</si>
  <si>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</si>
  <si>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</si>
  <si>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</si>
  <si>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</si>
  <si>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</si>
  <si>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</si>
  <si>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</si>
  <si>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</si>
  <si>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</si>
  <si>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</si>
  <si>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</si>
  <si>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</si>
  <si>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</si>
  <si>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</si>
  <si>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</si>
  <si>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</si>
  <si>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</si>
  <si>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</si>
  <si>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</si>
  <si>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</si>
  <si>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</si>
  <si>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</si>
  <si>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</si>
  <si>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</si>
  <si>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</si>
  <si>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</si>
  <si>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</si>
  <si>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</si>
  <si>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</si>
  <si>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</si>
  <si>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</si>
  <si>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</si>
  <si>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</si>
  <si>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其他：</t>
  </si>
  <si>
    <t>石家庄市</t>
    <phoneticPr fontId="6" type="noConversion"/>
  </si>
  <si>
    <t>东至祁连街、西至规划路、南至规划路、北至漓江道</t>
    <phoneticPr fontId="6" type="noConversion"/>
  </si>
  <si>
    <t>企业</t>
  </si>
  <si>
    <t>石家庄强大房地产开发有限公司</t>
    <phoneticPr fontId="6" type="noConversion"/>
  </si>
  <si>
    <t>出让</t>
    <phoneticPr fontId="6" type="noConversion"/>
  </si>
  <si>
    <t>一致</t>
  </si>
  <si>
    <t>通路</t>
  </si>
  <si>
    <t>通电</t>
  </si>
  <si>
    <t>通讯</t>
  </si>
  <si>
    <t>通上水</t>
  </si>
  <si>
    <t>通下水</t>
  </si>
  <si>
    <t>通热</t>
  </si>
  <si>
    <t>燃气</t>
  </si>
  <si>
    <t>平整</t>
  </si>
  <si>
    <t>平整</t>
    <phoneticPr fontId="6" type="noConversion"/>
  </si>
  <si>
    <t>场地平整</t>
  </si>
  <si>
    <t>住宅</t>
    <phoneticPr fontId="6" type="noConversion"/>
  </si>
  <si>
    <t>地上</t>
  </si>
  <si>
    <t>普通住宅</t>
  </si>
  <si>
    <t>普通住宅</t>
    <phoneticPr fontId="7" type="noConversion"/>
  </si>
  <si>
    <t>地下</t>
  </si>
  <si>
    <t>车库</t>
    <phoneticPr fontId="7" type="noConversion"/>
  </si>
  <si>
    <t>正常</t>
  </si>
  <si>
    <t>住宅</t>
    <phoneticPr fontId="26" type="noConversion"/>
  </si>
  <si>
    <t>较好</t>
  </si>
  <si>
    <t>一般</t>
  </si>
  <si>
    <t>七通</t>
  </si>
  <si>
    <t>规整</t>
  </si>
  <si>
    <t>规整</t>
    <phoneticPr fontId="26" type="noConversion"/>
  </si>
  <si>
    <t>已建成</t>
    <phoneticPr fontId="26" type="noConversion"/>
  </si>
  <si>
    <t>在建工程</t>
    <phoneticPr fontId="26" type="noConversion"/>
  </si>
  <si>
    <t>已平整</t>
  </si>
  <si>
    <t>已平整</t>
    <phoneticPr fontId="26" type="noConversion"/>
  </si>
  <si>
    <t>未平整</t>
    <phoneticPr fontId="26" type="noConversion"/>
  </si>
  <si>
    <t>较好</t>
    <phoneticPr fontId="26" type="noConversion"/>
  </si>
  <si>
    <t>好</t>
  </si>
  <si>
    <t>好</t>
    <phoneticPr fontId="26" type="noConversion"/>
  </si>
  <si>
    <t>一般</t>
    <phoneticPr fontId="26" type="noConversion"/>
  </si>
  <si>
    <t>较差</t>
    <phoneticPr fontId="26" type="noConversion"/>
  </si>
  <si>
    <t>差</t>
    <phoneticPr fontId="26" type="noConversion"/>
  </si>
  <si>
    <t>二级</t>
    <phoneticPr fontId="6" type="noConversion"/>
  </si>
  <si>
    <t>II</t>
    <phoneticPr fontId="6" type="noConversion"/>
  </si>
  <si>
    <t>一级</t>
    <phoneticPr fontId="26" type="noConversion"/>
  </si>
  <si>
    <t>二级</t>
    <phoneticPr fontId="26" type="noConversion"/>
  </si>
  <si>
    <t>三级</t>
    <phoneticPr fontId="26" type="noConversion"/>
  </si>
  <si>
    <t>四级</t>
    <phoneticPr fontId="26" type="noConversion"/>
  </si>
  <si>
    <t>车库</t>
  </si>
  <si>
    <t>国仕山</t>
    <phoneticPr fontId="3" type="noConversion"/>
  </si>
  <si>
    <t>塔北路106号</t>
    <phoneticPr fontId="3" type="noConversion"/>
  </si>
  <si>
    <t>高速路</t>
    <phoneticPr fontId="228" type="noConversion"/>
  </si>
  <si>
    <t>快速路</t>
  </si>
  <si>
    <t>快速路</t>
    <phoneticPr fontId="228" type="noConversion"/>
  </si>
  <si>
    <t>主干道</t>
  </si>
  <si>
    <t>主干道</t>
    <phoneticPr fontId="228" type="noConversion"/>
  </si>
  <si>
    <t>次干道</t>
    <phoneticPr fontId="228" type="noConversion"/>
  </si>
  <si>
    <t>支路</t>
    <phoneticPr fontId="228" type="noConversion"/>
  </si>
  <si>
    <t>盛邦九号院</t>
    <phoneticPr fontId="3" type="noConversion"/>
  </si>
  <si>
    <t>建设南大街</t>
    <phoneticPr fontId="3" type="noConversion"/>
  </si>
  <si>
    <t>璀璨裕华园</t>
    <phoneticPr fontId="3" type="noConversion"/>
  </si>
  <si>
    <t>裕华东路</t>
    <phoneticPr fontId="3" type="noConversion"/>
  </si>
  <si>
    <t>楼面地价</t>
  </si>
  <si>
    <t>仓储</t>
  </si>
  <si>
    <t>戊类库房</t>
  </si>
  <si>
    <t>储藏间</t>
  </si>
  <si>
    <t>储藏间</t>
    <phoneticPr fontId="7" type="noConversion"/>
  </si>
  <si>
    <t>王鹏</t>
  </si>
  <si>
    <t>郑燚</t>
  </si>
  <si>
    <t>抵押价格</t>
  </si>
  <si>
    <t>否</t>
  </si>
  <si>
    <t>居住项目</t>
  </si>
  <si>
    <t>无</t>
  </si>
  <si>
    <t>含保障性住房</t>
  </si>
  <si>
    <t>比较法-住宅、综合</t>
  </si>
  <si>
    <t>剩余法-待开发</t>
  </si>
  <si>
    <t>项目局部</t>
  </si>
  <si>
    <t>土地</t>
  </si>
  <si>
    <t>已部分缴纳</t>
  </si>
  <si>
    <t>不动产收益法</t>
  </si>
  <si>
    <t>售价</t>
  </si>
  <si>
    <t>土地（套用方法）</t>
  </si>
  <si>
    <t>押一</t>
  </si>
  <si>
    <t>按租金收入计税</t>
  </si>
  <si>
    <t>钢混</t>
  </si>
  <si>
    <t>元/车位</t>
  </si>
  <si>
    <t>燕港御灏府</t>
    <phoneticPr fontId="3" type="noConversion"/>
  </si>
  <si>
    <t>安东路与天山大街交口</t>
    <phoneticPr fontId="3" type="noConversion"/>
  </si>
  <si>
    <t>住宅</t>
    <phoneticPr fontId="21" type="noConversion"/>
  </si>
  <si>
    <t>住宅</t>
    <phoneticPr fontId="21" type="noConversion"/>
  </si>
  <si>
    <t>60-70（含）</t>
  </si>
  <si>
    <t>金盛悦府</t>
    <phoneticPr fontId="3" type="noConversion"/>
  </si>
  <si>
    <t>昆仑南大街与漓江道交口</t>
    <phoneticPr fontId="3" type="noConversion"/>
  </si>
  <si>
    <t>板楼</t>
  </si>
  <si>
    <t>板楼</t>
    <phoneticPr fontId="21" type="noConversion"/>
  </si>
  <si>
    <t>钢混</t>
    <phoneticPr fontId="21" type="noConversion"/>
  </si>
  <si>
    <t>专业</t>
    <phoneticPr fontId="21" type="noConversion"/>
  </si>
  <si>
    <t>普通</t>
  </si>
  <si>
    <t>普通</t>
    <phoneticPr fontId="21" type="noConversion"/>
  </si>
  <si>
    <t>无</t>
    <phoneticPr fontId="21" type="noConversion"/>
  </si>
  <si>
    <t>七通</t>
    <phoneticPr fontId="21" type="noConversion"/>
  </si>
  <si>
    <t>七通</t>
    <phoneticPr fontId="21" type="noConversion"/>
  </si>
  <si>
    <t>精装</t>
    <phoneticPr fontId="21" type="noConversion"/>
  </si>
  <si>
    <t>毛坯</t>
  </si>
  <si>
    <t>毛坯</t>
    <phoneticPr fontId="21" type="noConversion"/>
  </si>
  <si>
    <t>普装</t>
    <phoneticPr fontId="21" type="noConversion"/>
  </si>
  <si>
    <t>简装</t>
    <phoneticPr fontId="21" type="noConversion"/>
  </si>
  <si>
    <t>精装修</t>
    <phoneticPr fontId="21" type="noConversion"/>
  </si>
  <si>
    <t>普通装修</t>
  </si>
  <si>
    <t>普通装修</t>
    <phoneticPr fontId="21" type="noConversion"/>
  </si>
  <si>
    <t>简单装修</t>
    <phoneticPr fontId="21" type="noConversion"/>
  </si>
  <si>
    <t>南北西</t>
    <phoneticPr fontId="21" type="noConversion"/>
  </si>
  <si>
    <t>南北东</t>
    <phoneticPr fontId="21" type="noConversion"/>
  </si>
  <si>
    <t>南北</t>
    <phoneticPr fontId="21" type="noConversion"/>
  </si>
  <si>
    <t>南</t>
    <phoneticPr fontId="21" type="noConversion"/>
  </si>
  <si>
    <t>东西</t>
    <phoneticPr fontId="21" type="noConversion"/>
  </si>
  <si>
    <t>北</t>
    <phoneticPr fontId="21" type="noConversion"/>
  </si>
  <si>
    <t>东</t>
    <phoneticPr fontId="21" type="noConversion"/>
  </si>
  <si>
    <t>西</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</si>
  <si>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</si>
  <si>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</si>
  <si>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</si>
  <si>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</si>
  <si>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</si>
  <si>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紫竹锦江</t>
    <phoneticPr fontId="3" type="noConversion"/>
  </si>
  <si>
    <t>天山大街与学院路交口</t>
    <phoneticPr fontId="3" type="noConversion"/>
  </si>
  <si>
    <t>板塔结合</t>
  </si>
  <si>
    <t>板塔结合</t>
    <phoneticPr fontId="21" type="noConversion"/>
  </si>
  <si>
    <t>塔楼</t>
    <phoneticPr fontId="21" type="noConversion"/>
  </si>
  <si>
    <t>好</t>
    <phoneticPr fontId="21" type="noConversion"/>
  </si>
  <si>
    <t>较好</t>
    <phoneticPr fontId="21" type="noConversion"/>
  </si>
  <si>
    <t>高层</t>
    <phoneticPr fontId="21" type="noConversion"/>
  </si>
  <si>
    <t>保障性住房</t>
  </si>
  <si>
    <t>保障性住房</t>
    <phoneticPr fontId="7" type="noConversion"/>
  </si>
  <si>
    <t>南通街西</t>
    <phoneticPr fontId="3" type="noConversion"/>
  </si>
  <si>
    <t>5%</t>
    <phoneticPr fontId="26" type="noConversion"/>
  </si>
  <si>
    <t>保障性住房（配建设施）占比</t>
    <phoneticPr fontId="26" type="noConversion"/>
  </si>
  <si>
    <t>万科嘉实</t>
    <phoneticPr fontId="3" type="noConversion"/>
  </si>
  <si>
    <t>药博中街东</t>
    <phoneticPr fontId="3" type="noConversion"/>
  </si>
  <si>
    <t>5%</t>
    <phoneticPr fontId="26" type="noConversion"/>
  </si>
  <si>
    <t>保障房</t>
  </si>
  <si>
    <t>保障房</t>
    <phoneticPr fontId="14"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</si>
  <si>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</si>
  <si>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</si>
  <si>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</si>
  <si>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</si>
  <si>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</si>
  <si>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自定义</t>
  </si>
  <si>
    <t>河北瑰丽</t>
    <phoneticPr fontId="3" type="noConversion"/>
  </si>
  <si>
    <t>总经济技术指标表</t>
  </si>
  <si>
    <t>数值</t>
  </si>
  <si>
    <t>单位</t>
  </si>
  <si>
    <t>用地面积</t>
  </si>
  <si>
    <t>平方米</t>
  </si>
  <si>
    <t>总建筑面积</t>
  </si>
  <si>
    <t>地上总建筑面积</t>
  </si>
  <si>
    <t>商业</t>
  </si>
  <si>
    <t>居委会</t>
  </si>
  <si>
    <t>物业管用房</t>
  </si>
  <si>
    <t>物业经营用房</t>
  </si>
  <si>
    <t>公益性商业网点</t>
  </si>
  <si>
    <t>其他商业设施</t>
  </si>
  <si>
    <t>文化设施</t>
  </si>
  <si>
    <t>托老所</t>
  </si>
  <si>
    <t>公厕</t>
  </si>
  <si>
    <t>社区回收站</t>
  </si>
  <si>
    <t>幼儿园</t>
  </si>
  <si>
    <t>社区卫生站</t>
  </si>
  <si>
    <t>警务室</t>
  </si>
  <si>
    <t>邮政服务设施</t>
  </si>
  <si>
    <t>地下总建筑面积</t>
  </si>
  <si>
    <t>车库（含设备用房）</t>
  </si>
  <si>
    <t>工具间</t>
  </si>
  <si>
    <t>户数（可售）</t>
  </si>
  <si>
    <t>户</t>
  </si>
  <si>
    <t>机动车位</t>
  </si>
  <si>
    <t>个</t>
  </si>
  <si>
    <t>建筑高度</t>
  </si>
  <si>
    <t>米</t>
  </si>
  <si>
    <t>建筑密度</t>
  </si>
  <si>
    <t>绿地率</t>
  </si>
  <si>
    <t>≥35%</t>
  </si>
  <si>
    <t>住宅地块</t>
    <phoneticPr fontId="228" type="noConversion"/>
  </si>
  <si>
    <t>商业</t>
    <phoneticPr fontId="228" type="noConversion"/>
  </si>
  <si>
    <t>住宅1</t>
    <phoneticPr fontId="228" type="noConversion"/>
  </si>
  <si>
    <t>住宅2</t>
    <phoneticPr fontId="228" type="noConversion"/>
  </si>
  <si>
    <t>裕泰路北</t>
    <phoneticPr fontId="3" type="noConversion"/>
  </si>
  <si>
    <t>石家庄跃林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</si>
</sst>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8"/>
      <name val="Arial"/>
      <family val="2"/>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E9EDF4"/>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133" fillId="5" borderId="16" xfId="0" applyFont="1" applyFill="1" applyBorder="1" applyAlignment="1" applyProtection="1">
      <alignment horizontal="left" vertical="center" wrapText="1"/>
      <protection locked="0"/>
    </xf>
    <xf numFmtId="10" fontId="52" fillId="0" borderId="20" xfId="0" applyNumberFormat="1" applyFont="1" applyFill="1" applyBorder="1" applyAlignment="1" applyProtection="1">
      <alignment horizontal="center" vertical="center" wrapText="1"/>
      <protection locked="0"/>
    </xf>
    <xf numFmtId="9" fontId="81" fillId="0" borderId="74" xfId="0" applyNumberFormat="1" applyFont="1" applyFill="1" applyBorder="1" applyAlignment="1" applyProtection="1">
      <alignment horizontal="center" vertical="center" wrapText="1"/>
      <protection locked="0"/>
    </xf>
    <xf numFmtId="9" fontId="52" fillId="0" borderId="74" xfId="0" applyNumberFormat="1" applyFont="1" applyFill="1" applyBorder="1" applyAlignment="1" applyProtection="1">
      <alignment horizontal="center" vertical="center" wrapText="1"/>
      <protection locked="0"/>
    </xf>
    <xf numFmtId="0" fontId="153" fillId="6" borderId="11" xfId="0" applyFont="1" applyFill="1" applyBorder="1" applyAlignment="1" applyProtection="1">
      <alignment vertical="center"/>
      <protection locked="0"/>
    </xf>
    <xf numFmtId="0" fontId="86" fillId="2" borderId="8" xfId="0" applyFont="1" applyFill="1" applyBorder="1" applyAlignment="1" applyProtection="1">
      <alignment horizontal="left" vertical="center"/>
      <protection locked="0"/>
    </xf>
    <xf numFmtId="0" fontId="84" fillId="6" borderId="2" xfId="0" applyFont="1" applyFill="1" applyBorder="1" applyAlignment="1" applyProtection="1">
      <alignment horizontal="center" vertical="center"/>
      <protection locked="0"/>
    </xf>
    <xf numFmtId="182" fontId="86" fillId="8" borderId="2" xfId="0" applyNumberFormat="1" applyFont="1" applyFill="1" applyBorder="1" applyAlignment="1" applyProtection="1">
      <alignment horizontal="center" vertical="center"/>
      <protection locked="0"/>
    </xf>
    <xf numFmtId="178" fontId="84"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10" fontId="71" fillId="7" borderId="25" xfId="0" applyNumberFormat="1" applyFont="1" applyFill="1" applyBorder="1" applyAlignment="1" applyProtection="1">
      <alignment horizontal="center" vertical="center"/>
      <protection locked="0"/>
    </xf>
    <xf numFmtId="184" fontId="84" fillId="8" borderId="62" xfId="0" applyNumberFormat="1" applyFont="1" applyFill="1" applyBorder="1" applyAlignment="1" applyProtection="1">
      <alignment horizontal="center" vertical="center" wrapText="1"/>
      <protection locked="0"/>
    </xf>
    <xf numFmtId="182" fontId="86" fillId="8" borderId="12" xfId="0" applyNumberFormat="1" applyFont="1" applyFill="1" applyBorder="1" applyAlignment="1" applyProtection="1">
      <alignment horizontal="center" vertical="center"/>
      <protection locked="0"/>
    </xf>
    <xf numFmtId="0" fontId="281" fillId="20" borderId="157" xfId="0" applyFont="1" applyFill="1" applyBorder="1" applyAlignment="1">
      <alignment horizontal="center" vertical="center" wrapText="1" readingOrder="1"/>
    </xf>
    <xf numFmtId="9" fontId="281" fillId="20" borderId="157" xfId="0" applyNumberFormat="1" applyFont="1" applyFill="1" applyBorder="1" applyAlignment="1">
      <alignment horizontal="center" vertical="center" wrapText="1" readingOrder="1"/>
    </xf>
    <xf numFmtId="0" fontId="145" fillId="0" borderId="0" xfId="0" applyFont="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1" fillId="20" borderId="158" xfId="0" applyFont="1" applyFill="1" applyBorder="1" applyAlignment="1">
      <alignment horizontal="center" vertical="center" wrapText="1" readingOrder="1"/>
    </xf>
    <xf numFmtId="0" fontId="281" fillId="20" borderId="159" xfId="0" applyFont="1" applyFill="1" applyBorder="1" applyAlignment="1">
      <alignment horizontal="center" vertical="center" wrapText="1" readingOrder="1"/>
    </xf>
    <xf numFmtId="0" fontId="281" fillId="20" borderId="160" xfId="0" applyFont="1" applyFill="1" applyBorder="1" applyAlignment="1">
      <alignment horizontal="center" vertical="center" wrapText="1" readingOrder="1"/>
    </xf>
    <xf numFmtId="0" fontId="280" fillId="20" borderId="161" xfId="0" applyFont="1" applyFill="1" applyBorder="1" applyAlignment="1">
      <alignment vertical="center" wrapText="1"/>
    </xf>
    <xf numFmtId="0" fontId="280" fillId="20" borderId="162" xfId="0" applyFont="1" applyFill="1" applyBorder="1" applyAlignment="1">
      <alignment vertical="center" wrapText="1"/>
    </xf>
    <xf numFmtId="0" fontId="280" fillId="20" borderId="163" xfId="0" applyFont="1" applyFill="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32</xdr:row>
      <xdr:rowOff>164465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0865"/>
        </a:xfrm>
        <a:prstGeom prst="rect">
          <a:avLst/>
        </a:prstGeom>
      </xdr:spPr>
    </xdr:pic>
    <xdr:clientData/>
  </xdr:twoCellAnchor>
  <xdr:twoCellAnchor editAs="oneCell">
    <xdr:from>
      <xdr:col>0</xdr:col>
      <xdr:colOff>0</xdr:colOff>
      <xdr:row>30</xdr:row>
      <xdr:rowOff>35700</xdr:rowOff>
    </xdr:from>
    <xdr:to>
      <xdr:col>14</xdr:col>
      <xdr:colOff>457200</xdr:colOff>
      <xdr:row>63</xdr:row>
      <xdr:rowOff>28715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79200"/>
          <a:ext cx="10058400" cy="5650865"/>
        </a:xfrm>
        <a:prstGeom prst="rect">
          <a:avLst/>
        </a:prstGeom>
      </xdr:spPr>
    </xdr:pic>
    <xdr:clientData/>
  </xdr:twoCellAnchor>
  <xdr:twoCellAnchor editAs="oneCell">
    <xdr:from>
      <xdr:col>0</xdr:col>
      <xdr:colOff>0</xdr:colOff>
      <xdr:row>59</xdr:row>
      <xdr:rowOff>99975</xdr:rowOff>
    </xdr:from>
    <xdr:to>
      <xdr:col>14</xdr:col>
      <xdr:colOff>457200</xdr:colOff>
      <xdr:row>92</xdr:row>
      <xdr:rowOff>92990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15525"/>
          <a:ext cx="10058400" cy="5650865"/>
        </a:xfrm>
        <a:prstGeom prst="rect">
          <a:avLst/>
        </a:prstGeom>
      </xdr:spPr>
    </xdr:pic>
    <xdr:clientData/>
  </xdr:twoCellAnchor>
  <xdr:twoCellAnchor editAs="oneCell">
    <xdr:from>
      <xdr:col>0</xdr:col>
      <xdr:colOff>0</xdr:colOff>
      <xdr:row>156</xdr:row>
      <xdr:rowOff>9525</xdr:rowOff>
    </xdr:from>
    <xdr:to>
      <xdr:col>14</xdr:col>
      <xdr:colOff>457200</xdr:colOff>
      <xdr:row>189</xdr:row>
      <xdr:rowOff>2540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6755725"/>
          <a:ext cx="10058400" cy="5650865"/>
        </a:xfrm>
        <a:prstGeom prst="rect">
          <a:avLst/>
        </a:prstGeom>
      </xdr:spPr>
    </xdr:pic>
    <xdr:clientData/>
  </xdr:twoCellAnchor>
  <xdr:twoCellAnchor editAs="oneCell">
    <xdr:from>
      <xdr:col>0</xdr:col>
      <xdr:colOff>0</xdr:colOff>
      <xdr:row>123</xdr:row>
      <xdr:rowOff>92850</xdr:rowOff>
    </xdr:from>
    <xdr:to>
      <xdr:col>14</xdr:col>
      <xdr:colOff>457200</xdr:colOff>
      <xdr:row>156</xdr:row>
      <xdr:rowOff>85865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181200"/>
          <a:ext cx="10058400" cy="5650865"/>
        </a:xfrm>
        <a:prstGeom prst="rect">
          <a:avLst/>
        </a:prstGeom>
      </xdr:spPr>
    </xdr:pic>
    <xdr:clientData/>
  </xdr:twoCellAnchor>
  <xdr:twoCellAnchor editAs="oneCell">
    <xdr:from>
      <xdr:col>0</xdr:col>
      <xdr:colOff>0</xdr:colOff>
      <xdr:row>92</xdr:row>
      <xdr:rowOff>109500</xdr:rowOff>
    </xdr:from>
    <xdr:to>
      <xdr:col>14</xdr:col>
      <xdr:colOff>457200</xdr:colOff>
      <xdr:row>125</xdr:row>
      <xdr:rowOff>102515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5882900"/>
          <a:ext cx="10058400" cy="5650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133350</xdr:rowOff>
    </xdr:from>
    <xdr:to>
      <xdr:col>14</xdr:col>
      <xdr:colOff>457200</xdr:colOff>
      <xdr:row>114</xdr:row>
      <xdr:rowOff>126365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020800"/>
          <a:ext cx="10058400" cy="5650865"/>
        </a:xfrm>
        <a:prstGeom prst="rect">
          <a:avLst/>
        </a:prstGeom>
      </xdr:spPr>
    </xdr:pic>
    <xdr:clientData/>
  </xdr:twoCellAnchor>
  <xdr:twoCellAnchor editAs="oneCell">
    <xdr:from>
      <xdr:col>0</xdr:col>
      <xdr:colOff>0</xdr:colOff>
      <xdr:row>28</xdr:row>
      <xdr:rowOff>140475</xdr:rowOff>
    </xdr:from>
    <xdr:to>
      <xdr:col>14</xdr:col>
      <xdr:colOff>457200</xdr:colOff>
      <xdr:row>61</xdr:row>
      <xdr:rowOff>133490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41075"/>
          <a:ext cx="10058400" cy="5650865"/>
        </a:xfrm>
        <a:prstGeom prst="rect">
          <a:avLst/>
        </a:prstGeom>
      </xdr:spPr>
    </xdr:pic>
    <xdr:clientData/>
  </xdr:twoCellAnchor>
  <xdr:twoCellAnchor editAs="oneCell">
    <xdr:from>
      <xdr:col>0</xdr:col>
      <xdr:colOff>0</xdr:colOff>
      <xdr:row>52</xdr:row>
      <xdr:rowOff>90450</xdr:rowOff>
    </xdr:from>
    <xdr:to>
      <xdr:col>14</xdr:col>
      <xdr:colOff>457200</xdr:colOff>
      <xdr:row>85</xdr:row>
      <xdr:rowOff>83465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005850"/>
          <a:ext cx="10058400" cy="5650865"/>
        </a:xfrm>
        <a:prstGeom prst="rect">
          <a:avLst/>
        </a:prstGeom>
      </xdr:spPr>
    </xdr:pic>
    <xdr:clientData/>
  </xdr:twoCellAnchor>
  <xdr:twoCellAnchor editAs="oneCell">
    <xdr:from>
      <xdr:col>0</xdr:col>
      <xdr:colOff>0</xdr:colOff>
      <xdr:row>0</xdr:row>
      <xdr:rowOff>0</xdr:rowOff>
    </xdr:from>
    <xdr:to>
      <xdr:col>14</xdr:col>
      <xdr:colOff>457200</xdr:colOff>
      <xdr:row>32</xdr:row>
      <xdr:rowOff>164465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0058400" cy="5650865"/>
        </a:xfrm>
        <a:prstGeom prst="rect">
          <a:avLst/>
        </a:prstGeom>
      </xdr:spPr>
    </xdr:pic>
    <xdr:clientData/>
  </xdr:twoCellAnchor>
  <xdr:twoCellAnchor editAs="oneCell">
    <xdr:from>
      <xdr:col>0</xdr:col>
      <xdr:colOff>0</xdr:colOff>
      <xdr:row>179</xdr:row>
      <xdr:rowOff>152400</xdr:rowOff>
    </xdr:from>
    <xdr:to>
      <xdr:col>14</xdr:col>
      <xdr:colOff>457200</xdr:colOff>
      <xdr:row>212</xdr:row>
      <xdr:rowOff>145415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841950"/>
          <a:ext cx="10058400" cy="5650865"/>
        </a:xfrm>
        <a:prstGeom prst="rect">
          <a:avLst/>
        </a:prstGeom>
      </xdr:spPr>
    </xdr:pic>
    <xdr:clientData/>
  </xdr:twoCellAnchor>
  <xdr:twoCellAnchor editAs="oneCell">
    <xdr:from>
      <xdr:col>0</xdr:col>
      <xdr:colOff>1</xdr:colOff>
      <xdr:row>147</xdr:row>
      <xdr:rowOff>45224</xdr:rowOff>
    </xdr:from>
    <xdr:to>
      <xdr:col>15</xdr:col>
      <xdr:colOff>25317</xdr:colOff>
      <xdr:row>181</xdr:row>
      <xdr:rowOff>11906</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 y="24548287"/>
          <a:ext cx="10383754" cy="5634057"/>
        </a:xfrm>
        <a:prstGeom prst="rect">
          <a:avLst/>
        </a:prstGeom>
      </xdr:spPr>
    </xdr:pic>
    <xdr:clientData/>
  </xdr:twoCellAnchor>
  <xdr:twoCellAnchor editAs="oneCell">
    <xdr:from>
      <xdr:col>0</xdr:col>
      <xdr:colOff>1</xdr:colOff>
      <xdr:row>115</xdr:row>
      <xdr:rowOff>1</xdr:rowOff>
    </xdr:from>
    <xdr:to>
      <xdr:col>14</xdr:col>
      <xdr:colOff>398718</xdr:colOff>
      <xdr:row>148</xdr:row>
      <xdr:rowOff>154782</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9169064"/>
          <a:ext cx="10066592" cy="565546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2636</v>
      </c>
      <c r="B1" s="2605" t="s">
        <v>2733</v>
      </c>
    </row>
    <row r="2" spans="1:55" s="2609" customFormat="1" ht="15" thickTop="1">
      <c r="A2" s="2607" t="s">
        <v>2640</v>
      </c>
      <c r="B2" s="2608" t="str">
        <f>'预评函-封皮'!B37</f>
        <v>石家庄市东至祁连街、西至规划路、南至规划路、北至漓江道出让国有建设用地使用权抵押价格预评估</v>
      </c>
      <c r="AX2" s="2610"/>
      <c r="AZ2" s="2610"/>
      <c r="BA2" s="2611"/>
      <c r="BC2" s="2611"/>
    </row>
    <row r="3" spans="1:55" s="2612" customFormat="1">
      <c r="A3" s="2591" t="s">
        <v>2641</v>
      </c>
      <c r="B3" s="2594">
        <f>'预评函-封皮'!B40</f>
        <v>0</v>
      </c>
    </row>
    <row r="4" spans="1:55" s="2593" customFormat="1">
      <c r="A4" s="2591" t="s">
        <v>2642</v>
      </c>
      <c r="B4" s="2592" t="str">
        <f>'预评函-封皮'!B46</f>
        <v>王鹏、郑燚</v>
      </c>
      <c r="N4" s="2593" t="str">
        <f>'预评函-1'!A28</f>
        <v/>
      </c>
    </row>
    <row r="5" spans="1:55" s="2606" customFormat="1" ht="15" thickBot="1">
      <c r="A5" s="2613" t="s">
        <v>2643</v>
      </c>
      <c r="B5" s="2614" t="str">
        <f>'预评函-封皮'!B49</f>
        <v>康正预评字号</v>
      </c>
    </row>
    <row r="6" spans="1:55" s="2615" customFormat="1" ht="15" thickTop="1">
      <c r="A6" s="2607" t="s">
        <v>2685</v>
      </c>
      <c r="B6" s="2608" t="str">
        <f>'预评函-1'!A4</f>
        <v>受贵公司委托，我公司对石家庄市东至祁连街、西至规划路、南至规划路、北至漓江道出让国有建设用地使用权抵押价格进行了预评估。</v>
      </c>
      <c r="AM6" s="2616"/>
    </row>
    <row r="7" spans="1:55" s="2590" customFormat="1">
      <c r="A7" s="2591" t="s">
        <v>2637</v>
      </c>
      <c r="B7" s="2592" t="str">
        <f>'预评函-1'!A6</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8" spans="1:55" s="2590" customFormat="1">
      <c r="A8" s="2591" t="s">
        <v>2638</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2688</v>
      </c>
      <c r="B9" s="2592" t="str">
        <f>'预评函-1'!A9</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2639</v>
      </c>
      <c r="B10" s="2592" t="str">
        <f>'预评函-1'!A11</f>
        <v>2021年2月7日（评估专业人员勘察现场之日）</v>
      </c>
    </row>
    <row r="11" spans="1:55" s="2590" customFormat="1">
      <c r="A11" s="2591" t="s">
        <v>2645</v>
      </c>
      <c r="B11" s="2592" t="str">
        <f>'预评函-1'!A14</f>
        <v>根据《国有土地使用证》[]，本次评估估价对象证载（地类）用途为出让。</v>
      </c>
    </row>
    <row r="12" spans="1:55" s="2590" customFormat="1">
      <c r="A12" s="2591" t="s">
        <v>2646</v>
      </c>
      <c r="B12" s="2592" t="str">
        <f>'预评函-1'!A15</f>
        <v>本次评估设定用途即为证载用途出让。</v>
      </c>
    </row>
    <row r="13" spans="1:55" s="2590" customFormat="1">
      <c r="A13" s="2591" t="s">
        <v>2647</v>
      </c>
      <c r="B13" s="2592" t="str">
        <f>'预评函-1'!A17</f>
        <v>根据委托估价方介绍及评估专业人员现场勘查，本次评估估价对象实际土地开发程度为红线外市政基础设施达“七通”（即通路、通电、通讯、通上水、通下水、通热、燃气）、宗地红线内场地平整。</v>
      </c>
    </row>
    <row r="14" spans="1:55" s="2590" customFormat="1">
      <c r="A14" s="2591" t="s">
        <v>2648</v>
      </c>
      <c r="B14" s="2592" t="str">
        <f>'预评函-1'!A18</f>
        <v>本次评估设定土地开发程度为红线外市政基础设施达“七通”、宗地红线内场地平整。</v>
      </c>
    </row>
    <row r="15" spans="1:55" s="2590" customFormat="1">
      <c r="A15" s="2591" t="s">
        <v>2644</v>
      </c>
      <c r="B15" s="2592" t="str">
        <f>'预评函-1'!A20</f>
        <v>根据《国有土地使用证》[]，估价对象（分摊）出让国有建设用地使用权面积为49955.92平方米。根据《建设工程规划许可证》[]、《出让合同》[]，估价对象规划建筑面积为157059.36平方米。</v>
      </c>
    </row>
    <row r="16" spans="1:55" s="2590" customFormat="1">
      <c r="A16" s="2591" t="s">
        <v>2649</v>
      </c>
      <c r="B16" s="2592" t="str">
        <f>'预评函-1'!A22</f>
        <v>本次估价对象为出让国有建设用地使用权，《国有土地使用证》[]证载土地终止日期为住宅2090年11月22日车库2070年11月22日、仓储2070年11月22日。截至估价期日，出让国有建设用地使用权剩余土地使用年限为。</v>
      </c>
    </row>
    <row r="17" spans="1:48" s="2590" customFormat="1">
      <c r="A17" s="2591" t="s">
        <v>2650</v>
      </c>
      <c r="B17" s="2592" t="str">
        <f>'预评函-1'!A23</f>
        <v>本次评估设定估价对象剩余土地使用年限为。</v>
      </c>
    </row>
    <row r="18" spans="1:48" s="2590" customFormat="1">
      <c r="A18" s="2591" t="s">
        <v>2651</v>
      </c>
      <c r="B18" s="2592"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19" spans="1:48" s="2590" customFormat="1">
      <c r="A19" s="2591" t="s">
        <v>2652</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2653</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2654</v>
      </c>
      <c r="B21" s="2614" t="str">
        <f>'预评函-1'!A28</f>
        <v/>
      </c>
    </row>
    <row r="22" spans="1:48" ht="15" thickTop="1">
      <c r="A22" s="2602" t="s">
        <v>2655</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2656</v>
      </c>
      <c r="B23" s="2592" t="str">
        <f>'预评函-2'!K2</f>
        <v>估价期日：2021年2月7日</v>
      </c>
    </row>
    <row r="24" spans="1:48">
      <c r="A24" s="2591" t="s">
        <v>2657</v>
      </c>
      <c r="B24" s="2592" t="str">
        <f>'预评函-2'!R2</f>
        <v>估价期日的国有建设用地使用权性质：出让</v>
      </c>
    </row>
    <row r="25" spans="1:48">
      <c r="A25" s="2591" t="s">
        <v>2713</v>
      </c>
      <c r="B25" s="2592" t="str">
        <f>'预评函-2'!A3</f>
        <v>估价期日土地使用者</v>
      </c>
    </row>
    <row r="26" spans="1:48">
      <c r="A26" s="2591" t="s">
        <v>2689</v>
      </c>
      <c r="B26" s="2592" t="str">
        <f>'预评函-2'!A5</f>
        <v>中信开发</v>
      </c>
    </row>
    <row r="27" spans="1:48">
      <c r="A27" s="2591" t="s">
        <v>2714</v>
      </c>
      <c r="B27" s="2592" t="str">
        <f>'预评函-2'!B3</f>
        <v>宗地编号/不动产单元号</v>
      </c>
    </row>
    <row r="28" spans="1:48">
      <c r="A28" s="2591" t="s">
        <v>2690</v>
      </c>
      <c r="B28" s="2592" t="str">
        <f>'预评函-2'!B5</f>
        <v>11111111111</v>
      </c>
    </row>
    <row r="29" spans="1:48">
      <c r="A29" s="2591" t="s">
        <v>2716</v>
      </c>
      <c r="B29" s="2592">
        <f>'预评函-2'!C5</f>
        <v>22</v>
      </c>
    </row>
    <row r="30" spans="1:48">
      <c r="A30" s="2591" t="s">
        <v>2717</v>
      </c>
      <c r="B30" s="2592" t="str">
        <f>'预评函-2'!D3</f>
        <v>土地使用证编号/不动产权证书编号</v>
      </c>
    </row>
    <row r="31" spans="1:48">
      <c r="A31" s="2591" t="s">
        <v>2691</v>
      </c>
      <c r="B31" s="2592" t="str">
        <f>'预评函-2'!D5</f>
        <v>京国土字第111号</v>
      </c>
    </row>
    <row r="32" spans="1:48">
      <c r="A32" s="2591" t="s">
        <v>2692</v>
      </c>
      <c r="B32" s="2592" t="str">
        <f>'预评函-2'!E5</f>
        <v>出让</v>
      </c>
      <c r="AV32" s="2596"/>
    </row>
    <row r="33" spans="1:2">
      <c r="A33" s="2591" t="s">
        <v>2693</v>
      </c>
      <c r="B33" s="2592">
        <f>'预评函-2'!F5</f>
        <v>258</v>
      </c>
    </row>
    <row r="34" spans="1:2">
      <c r="A34" s="2591" t="s">
        <v>2694</v>
      </c>
      <c r="B34" s="2592" t="str">
        <f>'预评函-2'!G5</f>
        <v>出让</v>
      </c>
    </row>
    <row r="35" spans="1:2">
      <c r="A35" s="2591" t="s">
        <v>2695</v>
      </c>
      <c r="B35" s="2592">
        <f>'预评函-2'!H5</f>
        <v>1.5</v>
      </c>
    </row>
    <row r="36" spans="1:2">
      <c r="A36" s="2591" t="s">
        <v>2696</v>
      </c>
      <c r="B36" s="2592">
        <f>'预评函-2'!I5</f>
        <v>1.5</v>
      </c>
    </row>
    <row r="37" spans="1:2">
      <c r="A37" s="2591" t="s">
        <v>2697</v>
      </c>
      <c r="B37" s="2592">
        <f>'预评函-2'!J5</f>
        <v>1.5</v>
      </c>
    </row>
    <row r="38" spans="1:2">
      <c r="A38" s="2591" t="s">
        <v>2698</v>
      </c>
      <c r="B38" s="2592" t="str">
        <f>'预评函-2'!K5</f>
        <v>红线外七通、宗地红线内场地平整</v>
      </c>
    </row>
    <row r="39" spans="1:2">
      <c r="A39" s="2591" t="s">
        <v>2699</v>
      </c>
      <c r="B39" s="2592" t="str">
        <f>'预评函-2'!L5</f>
        <v>红线外七通、宗地红线内场地平整</v>
      </c>
    </row>
    <row r="40" spans="1:2">
      <c r="A40" s="2591" t="s">
        <v>2718</v>
      </c>
      <c r="B40" s="2592" t="str">
        <f>'预评函-2'!M3</f>
        <v>（剩余）土地使用年限/年</v>
      </c>
    </row>
    <row r="41" spans="1:2">
      <c r="A41" s="2591" t="s">
        <v>2700</v>
      </c>
      <c r="B41" s="2592">
        <f>'预评函-2'!M5</f>
        <v>0</v>
      </c>
    </row>
    <row r="42" spans="1:2">
      <c r="A42" s="2591" t="s">
        <v>2719</v>
      </c>
      <c r="B42" s="2592" t="str">
        <f>'预评函-2'!N3</f>
        <v>（分摊）出让国有建设用地使用权面积/㎡</v>
      </c>
    </row>
    <row r="43" spans="1:2">
      <c r="A43" s="2591" t="s">
        <v>2701</v>
      </c>
      <c r="B43" s="2592">
        <f>'预评函-2'!N5</f>
        <v>49955.92</v>
      </c>
    </row>
    <row r="44" spans="1:2">
      <c r="A44" s="2591" t="s">
        <v>2720</v>
      </c>
      <c r="B44" s="2592" t="str">
        <f>'预评函-2'!O3</f>
        <v>规划建筑面积/㎡</v>
      </c>
    </row>
    <row r="45" spans="1:2">
      <c r="A45" s="2591" t="s">
        <v>2702</v>
      </c>
      <c r="B45" s="2592">
        <f>'预评函-2'!O5</f>
        <v>157059.36000000002</v>
      </c>
    </row>
    <row r="46" spans="1:2">
      <c r="A46" s="2591" t="s">
        <v>2703</v>
      </c>
      <c r="B46" s="2592">
        <f ca="1">'预评函-2'!P5</f>
        <v>14138</v>
      </c>
    </row>
    <row r="47" spans="1:2">
      <c r="A47" s="2591" t="s">
        <v>2704</v>
      </c>
      <c r="B47" s="2592">
        <f ca="1">'预评函-2'!Q5</f>
        <v>4497</v>
      </c>
    </row>
    <row r="48" spans="1:2">
      <c r="A48" s="2591" t="s">
        <v>2705</v>
      </c>
      <c r="B48" s="2592">
        <f ca="1">'预评函-2'!R5</f>
        <v>70630</v>
      </c>
    </row>
    <row r="49" spans="1:2">
      <c r="A49" s="2591" t="s">
        <v>2721</v>
      </c>
      <c r="B49" s="2592" t="str">
        <f>'预评函-2'!A6</f>
        <v>抵押价格</v>
      </c>
    </row>
    <row r="50" spans="1:2">
      <c r="A50" s="2591" t="s">
        <v>2706</v>
      </c>
      <c r="B50" s="2592">
        <f ca="1">'预评函-2'!R6</f>
        <v>70630</v>
      </c>
    </row>
    <row r="51" spans="1:2">
      <c r="A51" s="2591" t="s">
        <v>2722</v>
      </c>
      <c r="B51" s="2592" t="str">
        <f>'预评函-2'!A7</f>
        <v>——</v>
      </c>
    </row>
    <row r="52" spans="1:2">
      <c r="A52" s="2591" t="s">
        <v>2707</v>
      </c>
      <c r="B52" s="2592" t="str">
        <f>'预评函-2'!R7</f>
        <v>——</v>
      </c>
    </row>
    <row r="53" spans="1:2">
      <c r="A53" s="2591" t="s">
        <v>2723</v>
      </c>
      <c r="B53" s="2592" t="str">
        <f>'预评函-2'!A8</f>
        <v>——</v>
      </c>
    </row>
    <row r="54" spans="1:2" s="2606" customFormat="1" ht="15" thickBot="1">
      <c r="A54" s="2613" t="s">
        <v>2708</v>
      </c>
      <c r="B54" s="2614" t="str">
        <f>'预评函-2'!R8</f>
        <v>——</v>
      </c>
    </row>
    <row r="55" spans="1:2" ht="15" thickTop="1">
      <c r="A55" s="2602" t="s">
        <v>2658</v>
      </c>
      <c r="B55" s="2603" t="str">
        <f>'预评函-3'!A2</f>
        <v>1.权利限制：根据估价对象《不动产权证书》复印件、《国有土地使用权》复印件，截至估价期日，估价对象抵押权未见登记。未设定租赁等其他他项权利。</v>
      </c>
    </row>
    <row r="56" spans="1:2">
      <c r="A56" s="2591" t="s">
        <v>2659</v>
      </c>
      <c r="B56" s="2592" t="str">
        <f>'预评函-3'!A3</f>
        <v>2.基础设施条件：估价对象实际开发程度为红线外七通、宗地红线内场地平整；本次评估设定开发程度为红线外七通、宗地红线内场地平整。</v>
      </c>
    </row>
    <row r="57" spans="1:2">
      <c r="A57" s="2591" t="s">
        <v>2660</v>
      </c>
      <c r="B57" s="2592" t="str">
        <f>'预评函-3'!A4</f>
        <v>3.估价规划限制条件：详见《建设工程规划许可证》[]、《出让合同》[]。</v>
      </c>
    </row>
    <row r="58" spans="1:2" s="2606" customFormat="1" ht="15" thickBot="1">
      <c r="A58" s="2613" t="s">
        <v>2709</v>
      </c>
      <c r="B58" s="2614" t="str">
        <f>'预评函-3'!A5</f>
        <v>4.影响价格的其他限定条件：无。</v>
      </c>
    </row>
    <row r="59" spans="1:2" ht="15" thickTop="1">
      <c r="A59" s="2602" t="s">
        <v>2661</v>
      </c>
      <c r="B59" s="2603" t="str">
        <f>'预评函-3'!A8</f>
        <v>2.本《评估意见函》仅供金融机构进行内部审核使用，不做其他目的之用。</v>
      </c>
    </row>
    <row r="60" spans="1:2">
      <c r="A60" s="2591" t="s">
        <v>2662</v>
      </c>
      <c r="B60" s="2592" t="str">
        <f>'预评函-3'!A9</f>
        <v>3.抵押双方在办理抵押登记手续时，应使用本公司出具的正式《土地估价报告》，特提请报告使用者注意。</v>
      </c>
    </row>
    <row r="61" spans="1:2">
      <c r="A61" s="2591" t="s">
        <v>2664</v>
      </c>
      <c r="B61" s="2592" t="str">
        <f>'预评函-3'!A10</f>
        <v>4.估价师所知悉的法定优先受偿款情况为：</v>
      </c>
    </row>
    <row r="62" spans="1:2">
      <c r="A62" s="2591" t="s">
        <v>2663</v>
      </c>
      <c r="B62" s="2592" t="str">
        <f>'预评函-3'!A11</f>
        <v>（1）根据估价对象《不动产权证书》复印件、《国有土地使用权》复印件，截至估价期日，估价对象抵押权未见登记。</v>
      </c>
    </row>
    <row r="63" spans="1:2">
      <c r="A63" s="2591" t="s">
        <v>2665</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2666</v>
      </c>
      <c r="B64" s="2597" t="str">
        <f>'预评函-3'!A13</f>
        <v>（3）。</v>
      </c>
    </row>
    <row r="65" spans="1:2">
      <c r="A65" s="2591" t="s">
        <v>2667</v>
      </c>
      <c r="B65" s="2598" t="str">
        <f>'预评函-3'!A14</f>
        <v>综上，本次评估不存在估价师知悉的法定优先受偿款</v>
      </c>
    </row>
    <row r="66" spans="1:2">
      <c r="A66" s="2591" t="s">
        <v>2668</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2669</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2672</v>
      </c>
      <c r="B68" s="2617">
        <f>'预评函-3'!D30</f>
        <v>42558</v>
      </c>
    </row>
    <row r="69" spans="1:2" ht="15" thickTop="1">
      <c r="A69" s="2602" t="s">
        <v>2670</v>
      </c>
      <c r="B69" s="2603" t="str">
        <f>'预评函-3'!A20</f>
        <v>王鹏</v>
      </c>
    </row>
    <row r="70" spans="1:2">
      <c r="A70" s="2591" t="s">
        <v>2670</v>
      </c>
      <c r="B70" s="2598">
        <f ca="1">'预评函-3'!B20</f>
        <v>2002110030</v>
      </c>
    </row>
    <row r="71" spans="1:2">
      <c r="A71" s="2591" t="s">
        <v>2671</v>
      </c>
      <c r="B71" s="2592" t="str">
        <f>'预评函-3'!A21</f>
        <v>郑燚</v>
      </c>
    </row>
    <row r="72" spans="1:2" s="2606" customFormat="1" ht="15" thickBot="1">
      <c r="A72" s="2613" t="s">
        <v>2671</v>
      </c>
      <c r="B72" s="2619">
        <f ca="1">'预评函-3'!B21</f>
        <v>2014110011</v>
      </c>
    </row>
    <row r="73" spans="1:2" ht="15" thickTop="1">
      <c r="A73" s="2602" t="s">
        <v>2730</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2731</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2732</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2766</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10" sqref="M10"/>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0"/>
  </cols>
  <sheetData>
    <row r="1" spans="1:21" ht="15" thickBot="1">
      <c r="A1" s="1583" t="s">
        <v>1926</v>
      </c>
      <c r="B1" s="3346" t="str">
        <f>IF(B10="北京市","北京市",C10)&amp;F10&amp;B16&amp;"国有建设用地使用权"&amp;B9&amp;"预评估"</f>
        <v>石家庄市东至祁连街、西至规划路、南至规划路、北至漓江道出让国有建设用地使用权抵押价格预评估</v>
      </c>
      <c r="C1" s="3347"/>
      <c r="D1" s="3347"/>
      <c r="E1" s="3347"/>
      <c r="F1" s="3347"/>
      <c r="G1" s="3347"/>
      <c r="H1" s="3347"/>
      <c r="I1" s="3348"/>
      <c r="J1" s="3070"/>
      <c r="K1" s="2306" t="str">
        <f>IF(B10="北京市","北京市",C10)&amp;F10&amp;B16&amp;"国有建设用地使用权"&amp;B9</f>
        <v>石家庄市东至祁连街、西至规划路、南至规划路、北至漓江道出让国有建设用地使用权抵押价格</v>
      </c>
      <c r="L1" s="3049"/>
      <c r="M1" s="3049"/>
      <c r="N1" s="3050"/>
      <c r="O1" s="3051"/>
      <c r="P1" s="3050"/>
      <c r="Q1" s="3050"/>
      <c r="R1" s="3050"/>
      <c r="S1" s="3050"/>
      <c r="T1" s="3050"/>
      <c r="U1" s="3050"/>
    </row>
    <row r="2" spans="1:21">
      <c r="A2" s="1584" t="s">
        <v>1927</v>
      </c>
      <c r="B2" s="1752"/>
      <c r="D2" s="3070"/>
      <c r="E2" s="3070"/>
      <c r="F2" s="3070"/>
      <c r="G2" s="3070"/>
      <c r="H2" s="3071"/>
      <c r="I2" s="3072"/>
      <c r="J2" s="3070"/>
      <c r="K2" s="2306" t="str">
        <f>IF(B10="北京市","北京市",C10)&amp;F10&amp;B16&amp;"国有建设用地使用权"</f>
        <v>石家庄市东至祁连街、西至规划路、南至规划路、北至漓江道出让国有建设用地使用权</v>
      </c>
      <c r="L2" s="3049"/>
      <c r="M2" s="3049"/>
      <c r="N2" s="3050"/>
      <c r="O2" s="3051"/>
      <c r="P2" s="3050"/>
      <c r="Q2" s="3050"/>
      <c r="R2" s="3050"/>
      <c r="S2" s="3050"/>
      <c r="T2" s="3050"/>
      <c r="U2" s="3050"/>
    </row>
    <row r="3" spans="1:21">
      <c r="A3" s="1585" t="s">
        <v>1928</v>
      </c>
      <c r="B3" s="1586">
        <v>44234</v>
      </c>
      <c r="C3" s="2993" t="s">
        <v>1983</v>
      </c>
      <c r="D3" s="1586">
        <f>B3</f>
        <v>44234</v>
      </c>
      <c r="E3" s="3070"/>
      <c r="F3" s="3070"/>
      <c r="G3" s="3070"/>
      <c r="H3" s="3071"/>
      <c r="I3" s="3072"/>
      <c r="J3" s="3070"/>
      <c r="K3" s="3053"/>
      <c r="L3" s="3049"/>
      <c r="M3" s="3049"/>
      <c r="N3" s="3050"/>
      <c r="O3" s="3051"/>
      <c r="P3" s="3050"/>
      <c r="Q3" s="3050"/>
      <c r="R3" s="3050"/>
      <c r="S3" s="3050"/>
      <c r="T3" s="3050"/>
      <c r="U3" s="3050"/>
    </row>
    <row r="4" spans="1:21" ht="15" thickBot="1">
      <c r="A4" s="1588" t="s">
        <v>1929</v>
      </c>
      <c r="B4" s="1753" t="s">
        <v>3069</v>
      </c>
      <c r="C4" s="1756">
        <f ca="1">SUMIF(土地估价师,B4,估价师及机构信息!E3:E16)</f>
        <v>2002110030</v>
      </c>
      <c r="D4" s="1753" t="s">
        <v>3070</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70"/>
      <c r="K4" s="2306" t="str">
        <f>IF(AND(F4="——",H4="——"),B4&amp;"、"&amp;D4,IF(AND(F4&lt;&gt;"——",H4="——"),B4&amp;"、"&amp;D4&amp;"、"&amp;F4,B4&amp;"、"&amp;D4&amp;"、"&amp;F4&amp;"、"&amp;H4))</f>
        <v>王鹏、郑燚</v>
      </c>
      <c r="L4" s="3049"/>
      <c r="M4" s="3049"/>
      <c r="N4" s="3050"/>
      <c r="O4" s="3051"/>
      <c r="P4" s="3050"/>
      <c r="Q4" s="3050"/>
      <c r="R4" s="3050"/>
      <c r="S4" s="3050"/>
      <c r="T4" s="3050"/>
      <c r="U4" s="3050"/>
    </row>
    <row r="5" spans="1:21" ht="15" thickTop="1">
      <c r="A5" s="1589" t="s">
        <v>1930</v>
      </c>
      <c r="B5" s="1700"/>
      <c r="C5" s="1590"/>
      <c r="D5" s="1591"/>
      <c r="E5" s="3070"/>
      <c r="F5" s="3070"/>
      <c r="G5" s="3070"/>
      <c r="H5" s="3071"/>
      <c r="I5" s="3072"/>
      <c r="J5" s="3070"/>
      <c r="K5" s="3053"/>
      <c r="L5" s="3049"/>
      <c r="M5" s="3049"/>
      <c r="N5" s="3050"/>
      <c r="O5" s="3051"/>
      <c r="P5" s="3050"/>
      <c r="Q5" s="3050"/>
      <c r="R5" s="3050"/>
      <c r="S5" s="3050"/>
      <c r="T5" s="3050"/>
      <c r="U5" s="3050"/>
    </row>
    <row r="6" spans="1:21" ht="26.25">
      <c r="A6" s="1587" t="s">
        <v>2686</v>
      </c>
      <c r="B6" s="1700"/>
      <c r="C6" s="1675"/>
      <c r="D6" s="1592"/>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3" t="s">
        <v>2687</v>
      </c>
      <c r="B7" s="1700"/>
      <c r="C7" s="1675"/>
      <c r="D7" s="1592"/>
      <c r="E7" s="3070"/>
      <c r="F7" s="3070"/>
      <c r="G7" s="3070"/>
      <c r="H7" s="3071"/>
      <c r="I7" s="3072"/>
      <c r="J7" s="3070"/>
      <c r="K7" s="3053"/>
      <c r="L7" s="3049"/>
      <c r="M7" s="3049"/>
      <c r="N7" s="3050"/>
      <c r="O7" s="3051"/>
      <c r="P7" s="3050"/>
      <c r="Q7" s="3050"/>
      <c r="R7" s="3050"/>
      <c r="S7" s="3050"/>
      <c r="T7" s="3050"/>
      <c r="U7" s="3050"/>
    </row>
    <row r="8" spans="1:21">
      <c r="A8" s="2994" t="s">
        <v>1931</v>
      </c>
      <c r="B8" s="1594" t="s">
        <v>2955</v>
      </c>
      <c r="C8" s="1595"/>
      <c r="D8" s="3352" t="s">
        <v>1933</v>
      </c>
      <c r="E8" s="1754" t="s">
        <v>3071</v>
      </c>
      <c r="F8" s="1596"/>
      <c r="G8" s="3071"/>
      <c r="H8" s="3071"/>
      <c r="I8" s="3074"/>
      <c r="J8" s="3070"/>
      <c r="K8" s="3053"/>
      <c r="L8" s="3049"/>
      <c r="M8" s="3049"/>
      <c r="N8" s="3050"/>
      <c r="O8" s="3051"/>
      <c r="P8" s="3050"/>
      <c r="Q8" s="3050"/>
      <c r="R8" s="3050"/>
      <c r="S8" s="3050"/>
      <c r="T8" s="3050"/>
      <c r="U8" s="3050"/>
    </row>
    <row r="9" spans="1:21" ht="15" thickBot="1">
      <c r="A9" s="2995" t="s">
        <v>1932</v>
      </c>
      <c r="B9" s="1597" t="s">
        <v>3071</v>
      </c>
      <c r="C9" s="1598"/>
      <c r="D9" s="3353"/>
      <c r="E9" s="1597" t="s">
        <v>943</v>
      </c>
      <c r="F9" s="1661"/>
      <c r="G9" s="3075"/>
      <c r="H9" s="3075"/>
      <c r="I9" s="3076"/>
      <c r="J9" s="3070"/>
      <c r="K9" s="3053"/>
      <c r="L9" s="3049"/>
      <c r="M9" s="3049"/>
      <c r="N9" s="3050"/>
      <c r="O9" s="3051"/>
      <c r="P9" s="3050"/>
      <c r="Q9" s="3050"/>
      <c r="R9" s="3050"/>
      <c r="S9" s="3050"/>
      <c r="T9" s="3050"/>
      <c r="U9" s="3050"/>
    </row>
    <row r="10" spans="1:21" ht="15" thickTop="1">
      <c r="A10" s="2996" t="s">
        <v>1987</v>
      </c>
      <c r="B10" s="1637" t="s">
        <v>3003</v>
      </c>
      <c r="C10" s="1599" t="s">
        <v>3004</v>
      </c>
      <c r="D10" s="1591"/>
      <c r="E10" s="1600" t="s">
        <v>1935</v>
      </c>
      <c r="F10" s="1601" t="s">
        <v>3005</v>
      </c>
      <c r="G10" s="1659"/>
      <c r="H10" s="1660"/>
      <c r="I10" s="1591"/>
      <c r="J10" s="3070"/>
      <c r="K10" s="3053"/>
      <c r="L10" s="3049"/>
      <c r="M10" s="3049"/>
      <c r="N10" s="3050"/>
      <c r="O10" s="3051"/>
      <c r="P10" s="3050"/>
      <c r="Q10" s="3050"/>
      <c r="R10" s="3050"/>
      <c r="S10" s="3050"/>
      <c r="T10" s="3050"/>
      <c r="U10" s="3050"/>
    </row>
    <row r="11" spans="1:21" ht="42.75">
      <c r="A11" s="2997" t="s">
        <v>1988</v>
      </c>
      <c r="B11" s="1616" t="s">
        <v>3006</v>
      </c>
      <c r="C11" s="1602" t="s">
        <v>3007</v>
      </c>
      <c r="D11" s="1676"/>
      <c r="E11" s="3069"/>
      <c r="F11" s="3069"/>
      <c r="G11" s="3069"/>
      <c r="H11" s="3069"/>
      <c r="I11" s="3069"/>
      <c r="J11" s="3070"/>
      <c r="K11" s="3053"/>
      <c r="L11" s="3049"/>
      <c r="M11" s="3049"/>
      <c r="N11" s="3050"/>
      <c r="O11" s="3051"/>
      <c r="P11" s="3050"/>
      <c r="Q11" s="3050"/>
      <c r="R11" s="3050"/>
      <c r="S11" s="3050"/>
      <c r="T11" s="3050"/>
      <c r="U11" s="3050"/>
    </row>
    <row r="12" spans="1:21">
      <c r="A12" s="1696" t="s">
        <v>2046</v>
      </c>
      <c r="B12" s="3349" t="s">
        <v>3008</v>
      </c>
      <c r="C12" s="3350"/>
      <c r="D12" s="3351"/>
      <c r="E12" s="1617" t="s">
        <v>2049</v>
      </c>
      <c r="F12" s="3367" t="s">
        <v>2867</v>
      </c>
      <c r="G12" s="3368"/>
      <c r="H12" s="3368"/>
      <c r="I12" s="3369"/>
      <c r="J12" s="3070"/>
      <c r="K12" s="3053"/>
      <c r="L12" s="3049"/>
      <c r="M12" s="3049"/>
      <c r="N12" s="3050"/>
      <c r="O12" s="3051"/>
      <c r="P12" s="3050"/>
      <c r="Q12" s="3050"/>
      <c r="R12" s="3050"/>
      <c r="S12" s="3050"/>
      <c r="T12" s="3050"/>
      <c r="U12" s="3050"/>
    </row>
    <row r="13" spans="1:21">
      <c r="A13" s="1608" t="s">
        <v>2047</v>
      </c>
      <c r="B13" s="3349" t="s">
        <v>3008</v>
      </c>
      <c r="C13" s="3350"/>
      <c r="D13" s="3351"/>
      <c r="E13" s="1617" t="s">
        <v>2049</v>
      </c>
      <c r="F13" s="3367" t="s">
        <v>2868</v>
      </c>
      <c r="G13" s="3368"/>
      <c r="H13" s="3368"/>
      <c r="I13" s="3369"/>
      <c r="J13" s="3070"/>
      <c r="K13" s="3053"/>
      <c r="L13" s="3049"/>
      <c r="M13" s="3049"/>
      <c r="N13" s="3050"/>
      <c r="O13" s="3051"/>
      <c r="P13" s="3050"/>
      <c r="Q13" s="3050"/>
      <c r="R13" s="3050"/>
      <c r="S13" s="3050"/>
      <c r="T13" s="3050"/>
      <c r="U13" s="3050"/>
    </row>
    <row r="14" spans="1:21">
      <c r="A14" s="1585" t="s">
        <v>2050</v>
      </c>
      <c r="B14" s="1617"/>
      <c r="C14" s="1755" t="s">
        <v>3009</v>
      </c>
      <c r="D14" s="1651" t="str">
        <f>IF(C14="不一致","是否符合证载地类范围","")</f>
        <v/>
      </c>
      <c r="E14" s="1617"/>
      <c r="F14" s="1701"/>
      <c r="G14" s="1646"/>
      <c r="H14" s="1646"/>
      <c r="I14" s="1748"/>
      <c r="J14" s="3070"/>
      <c r="K14" s="3053"/>
      <c r="L14" s="3049"/>
      <c r="M14" s="3049"/>
      <c r="N14" s="3050"/>
      <c r="O14" s="3051"/>
      <c r="P14" s="3050"/>
      <c r="Q14" s="3050"/>
      <c r="R14" s="3050"/>
      <c r="S14" s="3050"/>
      <c r="T14" s="3050"/>
      <c r="U14" s="3050"/>
    </row>
    <row r="15" spans="1:21" hidden="1">
      <c r="A15" s="2483"/>
      <c r="B15" s="1587"/>
      <c r="C15" s="1587"/>
      <c r="D15" s="1680" t="s">
        <v>1938</v>
      </c>
      <c r="E15" s="1680" t="s">
        <v>1939</v>
      </c>
      <c r="F15" s="1680" t="s">
        <v>1940</v>
      </c>
      <c r="G15" s="1607" t="s">
        <v>1941</v>
      </c>
      <c r="H15" s="1607" t="s">
        <v>1942</v>
      </c>
      <c r="I15" s="1607" t="s">
        <v>1943</v>
      </c>
      <c r="J15" s="3070"/>
      <c r="K15" s="3053"/>
      <c r="L15" s="3049"/>
      <c r="M15" s="3049"/>
      <c r="N15" s="3050"/>
      <c r="O15" s="3051"/>
      <c r="P15" s="3050"/>
      <c r="Q15" s="3050"/>
      <c r="R15" s="3050"/>
      <c r="S15" s="3050"/>
      <c r="T15" s="3050"/>
      <c r="U15" s="3050"/>
    </row>
    <row r="16" spans="1:21" ht="42.75">
      <c r="A16" s="2998" t="s">
        <v>1936</v>
      </c>
      <c r="B16" s="1603" t="s">
        <v>2950</v>
      </c>
      <c r="C16" s="1617" t="s">
        <v>1937</v>
      </c>
      <c r="D16" s="2484" t="s">
        <v>1938</v>
      </c>
      <c r="E16" s="1640"/>
      <c r="F16" s="1640"/>
      <c r="G16" s="1640" t="s">
        <v>3050</v>
      </c>
      <c r="H16" s="1640" t="s">
        <v>3065</v>
      </c>
      <c r="I16" s="1607" t="s">
        <v>1943</v>
      </c>
      <c r="J16" s="3070"/>
      <c r="K16" s="2307" t="str">
        <f>IF(D17="","",D16&amp;TEXT(D17,"yyyy年m月d日;;"))</f>
        <v>住宅2090年11月22日</v>
      </c>
      <c r="L16" s="1617" t="str">
        <f>IF(OR(K16="",M16=""),"","、")</f>
        <v/>
      </c>
      <c r="M16" s="2307" t="str">
        <f>IF(E17="","",E16&amp;TEXT(E17,"yyyy年m月d日;;"))</f>
        <v/>
      </c>
      <c r="N16" s="1617" t="str">
        <f>IF(OR(M16="",O16=""),"","、")</f>
        <v/>
      </c>
      <c r="O16" s="2307" t="str">
        <f>IF(F17="","",F16&amp;TEXT(F17,"yyyy年m月d日;;"))</f>
        <v/>
      </c>
      <c r="P16" s="1617" t="str">
        <f>IF(OR(O16="",Q16=""),"","、")</f>
        <v/>
      </c>
      <c r="Q16" s="2307" t="str">
        <f>IF(G17="","",G16&amp;TEXT(G17,"yyyy年m月d日;;"))</f>
        <v>车库2070年11月22日</v>
      </c>
      <c r="R16" s="1617" t="str">
        <f>IF(OR(Q16="",S16=""),"","、")</f>
        <v>、</v>
      </c>
      <c r="S16" s="2307" t="str">
        <f>IF(H17="","",H16&amp;TEXT(H17,"yyyy年m月d日;;"))</f>
        <v>仓储2070年11月22日</v>
      </c>
      <c r="T16" s="1617" t="str">
        <f>IF(OR(S16="",U16=""),"","、")</f>
        <v/>
      </c>
      <c r="U16" s="2307" t="str">
        <f>IF(I17="","",I16&amp;TEXT(I17,"yyyy年m月d日;;"))</f>
        <v/>
      </c>
    </row>
    <row r="17" spans="1:21">
      <c r="A17" s="1677"/>
      <c r="B17" s="1604"/>
      <c r="C17" s="2999" t="s">
        <v>1944</v>
      </c>
      <c r="D17" s="1618">
        <v>69724</v>
      </c>
      <c r="E17" s="1618"/>
      <c r="F17" s="1618"/>
      <c r="G17" s="1618">
        <v>62419</v>
      </c>
      <c r="H17" s="1618">
        <f>G17</f>
        <v>62419</v>
      </c>
      <c r="I17" s="1618"/>
      <c r="J17" s="3070"/>
      <c r="K17" s="3048" t="str">
        <f>CONCATENATE(K16,L16,M16,N16,O16,P16,Q16,R16,S16,T16,,U16)</f>
        <v>住宅2090年11月22日车库2070年11月22日、仓储2070年11月22日</v>
      </c>
      <c r="L17" s="3049"/>
      <c r="M17" s="3049"/>
      <c r="N17" s="3050"/>
      <c r="O17" s="3051"/>
      <c r="P17" s="3050"/>
      <c r="Q17" s="3050"/>
      <c r="R17" s="3050"/>
      <c r="S17" s="3050"/>
      <c r="T17" s="3050"/>
      <c r="U17" s="3050"/>
    </row>
    <row r="18" spans="1:21">
      <c r="A18" s="1677"/>
      <c r="B18" s="1604"/>
      <c r="C18" s="2999" t="s">
        <v>1945</v>
      </c>
      <c r="D18" s="1605">
        <v>70</v>
      </c>
      <c r="E18" s="1605"/>
      <c r="F18" s="1605"/>
      <c r="G18" s="1605">
        <v>50</v>
      </c>
      <c r="H18" s="1605">
        <v>50</v>
      </c>
      <c r="I18" s="1605"/>
      <c r="J18" s="3070"/>
      <c r="K18" s="3053"/>
      <c r="L18" s="3049"/>
      <c r="M18" s="3049"/>
      <c r="N18" s="3050"/>
      <c r="O18" s="3051"/>
      <c r="P18" s="3050"/>
      <c r="Q18" s="3050"/>
      <c r="R18" s="3050"/>
      <c r="S18" s="3050"/>
      <c r="T18" s="3050"/>
      <c r="U18" s="3050"/>
    </row>
    <row r="19" spans="1:21">
      <c r="A19" s="1677"/>
      <c r="B19" s="1604"/>
      <c r="C19" s="1584" t="s">
        <v>1946</v>
      </c>
      <c r="D19" s="1672">
        <f>IF(B16="出让",IF(D17="","",ROUNDDOWN(MIN((D17-$D$3)/365,D18),2)),D18)</f>
        <v>69.83</v>
      </c>
      <c r="E19" s="1606" t="str">
        <f>IF(B16="出让",IF(E17="","",ROUNDDOWN(MIN((E17-$D$3)/365,E18),2)),E18)</f>
        <v/>
      </c>
      <c r="F19" s="1606" t="str">
        <f>IF(B16="出让",IF(F17="","",ROUNDDOWN(MIN((F17-$D$3)/365,F18),2)),F18)</f>
        <v/>
      </c>
      <c r="G19" s="1606">
        <f>IF(B16="出让",IF(G17="","",ROUNDDOWN(MIN((G17-$D$3)/365,G18),2)),G18)</f>
        <v>49.82</v>
      </c>
      <c r="H19" s="1606">
        <f>IF(B16="出让",IF(H17="","",ROUNDDOWN(MIN((H17-$D$3)/365,H18),2)),H18)</f>
        <v>49.82</v>
      </c>
      <c r="I19" s="1606" t="str">
        <f>IF(B16="出让",IF(I17="","",ROUNDDOWN(MIN((I17-$D$3)/365,I18),2)),I18)</f>
        <v/>
      </c>
      <c r="J19" s="3070"/>
      <c r="K19" s="3053"/>
      <c r="L19" s="3049"/>
      <c r="M19" s="3049"/>
      <c r="N19" s="3050"/>
      <c r="O19" s="3051"/>
      <c r="P19" s="3050"/>
      <c r="Q19" s="3050"/>
      <c r="R19" s="3050"/>
      <c r="S19" s="3050"/>
      <c r="T19" s="3050"/>
      <c r="U19" s="3050"/>
    </row>
    <row r="20" spans="1:21">
      <c r="A20" s="1697"/>
      <c r="B20" s="1698"/>
      <c r="C20" s="1699" t="s">
        <v>2048</v>
      </c>
      <c r="D20" s="3364"/>
      <c r="E20" s="3365"/>
      <c r="F20" s="3365"/>
      <c r="G20" s="3365"/>
      <c r="H20" s="3365"/>
      <c r="I20" s="3366"/>
      <c r="J20" s="3070"/>
      <c r="K20" s="3053"/>
      <c r="L20" s="3049"/>
      <c r="M20" s="3049"/>
      <c r="N20" s="3050"/>
      <c r="O20" s="3051"/>
      <c r="P20" s="3050"/>
      <c r="Q20" s="3050"/>
      <c r="R20" s="3050"/>
      <c r="S20" s="3050"/>
      <c r="T20" s="3050"/>
      <c r="U20" s="3050"/>
    </row>
    <row r="21" spans="1:21">
      <c r="A21" s="1677" t="s">
        <v>1947</v>
      </c>
      <c r="B21" s="1678" t="s">
        <v>1948</v>
      </c>
      <c r="C21" s="1673">
        <f>'数据-汇总表'!E3</f>
        <v>157059.36000000002</v>
      </c>
      <c r="D21" s="1674" t="s">
        <v>1949</v>
      </c>
      <c r="E21" s="3354" t="s">
        <v>1986</v>
      </c>
      <c r="F21" s="3355"/>
      <c r="G21" s="3355"/>
      <c r="H21" s="3355"/>
      <c r="I21" s="3356"/>
      <c r="J21" s="3070"/>
      <c r="K21" s="3053"/>
      <c r="L21" s="3049"/>
      <c r="M21" s="3049"/>
      <c r="N21" s="3050"/>
      <c r="O21" s="3051"/>
      <c r="P21" s="3050"/>
      <c r="Q21" s="3050"/>
      <c r="R21" s="3050"/>
      <c r="S21" s="3050"/>
      <c r="T21" s="3050"/>
      <c r="U21" s="3050"/>
    </row>
    <row r="22" spans="1:21">
      <c r="A22" s="2798" t="s">
        <v>943</v>
      </c>
      <c r="B22" s="1585" t="s">
        <v>1950</v>
      </c>
      <c r="C22" s="1607">
        <f>'数据-汇总表'!D3</f>
        <v>49955.92</v>
      </c>
      <c r="D22" s="1608" t="s">
        <v>1949</v>
      </c>
      <c r="E22" s="3354" t="s">
        <v>2869</v>
      </c>
      <c r="F22" s="3355"/>
      <c r="G22" s="3355"/>
      <c r="H22" s="3355"/>
      <c r="I22" s="3356"/>
      <c r="J22" s="3070"/>
      <c r="K22" s="3053"/>
      <c r="L22" s="3049"/>
      <c r="M22" s="3049"/>
      <c r="N22" s="3050"/>
      <c r="O22" s="3051"/>
      <c r="P22" s="3050"/>
      <c r="Q22" s="3050"/>
      <c r="R22" s="3050"/>
      <c r="S22" s="3050"/>
      <c r="T22" s="3050"/>
      <c r="U22" s="3050"/>
    </row>
    <row r="23" spans="1:21" ht="43.5" thickBot="1">
      <c r="A23" s="1679" t="s">
        <v>1951</v>
      </c>
      <c r="B23" s="1619" t="s">
        <v>1952</v>
      </c>
      <c r="C23" s="1620" t="s">
        <v>3072</v>
      </c>
      <c r="D23" s="1621" t="s">
        <v>1953</v>
      </c>
      <c r="E23" s="1622"/>
      <c r="F23" s="1623" t="str">
        <f>IF(AND(C23="是",E23="否"),"是否提供他项权证或相关说明","")</f>
        <v/>
      </c>
      <c r="G23" s="1624"/>
      <c r="H23" s="3070"/>
      <c r="I23" s="3074"/>
      <c r="J23" s="3070"/>
      <c r="K23" s="3053"/>
      <c r="L23" s="3049"/>
      <c r="M23" s="3049"/>
      <c r="N23" s="3050"/>
      <c r="O23" s="3051"/>
      <c r="P23" s="3050"/>
      <c r="Q23" s="3050"/>
      <c r="R23" s="3050"/>
      <c r="S23" s="3050"/>
      <c r="T23" s="3050"/>
      <c r="U23" s="3050"/>
    </row>
    <row r="24" spans="1:21">
      <c r="A24" s="1664" t="s">
        <v>1954</v>
      </c>
      <c r="B24" s="3357" t="s">
        <v>1955</v>
      </c>
      <c r="C24" s="3358"/>
      <c r="D24" s="3359" t="s">
        <v>1956</v>
      </c>
      <c r="E24" s="3360"/>
      <c r="F24" s="1626" t="s">
        <v>1957</v>
      </c>
      <c r="G24" s="3070"/>
      <c r="H24" s="3070"/>
      <c r="I24" s="3074"/>
      <c r="J24" s="3070"/>
      <c r="K24" s="3345" t="s">
        <v>1958</v>
      </c>
      <c r="L24" s="23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641"/>
      <c r="N24" s="3050"/>
      <c r="O24" s="3051"/>
      <c r="P24" s="3050"/>
      <c r="Q24" s="3050"/>
      <c r="R24" s="3050"/>
      <c r="S24" s="3050"/>
      <c r="T24" s="3050"/>
      <c r="U24" s="3050"/>
    </row>
    <row r="25" spans="1:21" ht="28.5">
      <c r="A25" s="1665"/>
      <c r="B25" s="1662" t="s">
        <v>2312</v>
      </c>
      <c r="C25" s="1627" t="s">
        <v>2313</v>
      </c>
      <c r="D25" s="1628"/>
      <c r="E25" s="1629" t="s">
        <v>943</v>
      </c>
      <c r="F25" s="1630"/>
      <c r="G25" s="3070"/>
      <c r="H25" s="3070"/>
      <c r="I25" s="3074"/>
      <c r="J25" s="3070"/>
      <c r="K25" s="3345"/>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50"/>
      <c r="O25" s="3051"/>
      <c r="P25" s="3050"/>
      <c r="Q25" s="3050"/>
      <c r="R25" s="3050"/>
      <c r="S25" s="3050"/>
      <c r="T25" s="3050"/>
      <c r="U25" s="3050"/>
    </row>
    <row r="26" spans="1:21" ht="29.25" thickBot="1">
      <c r="A26" s="1666"/>
      <c r="B26" s="1663" t="s">
        <v>1959</v>
      </c>
      <c r="C26" s="1627" t="s">
        <v>2313</v>
      </c>
      <c r="D26" s="3071"/>
      <c r="E26" s="3071"/>
      <c r="F26" s="3077"/>
      <c r="G26" s="3070"/>
      <c r="H26" s="3070"/>
      <c r="I26" s="3074"/>
      <c r="J26" s="3070"/>
      <c r="K26" s="3345"/>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0"/>
      <c r="O26" s="3051"/>
      <c r="P26" s="3050"/>
      <c r="Q26" s="3050"/>
      <c r="R26" s="3050"/>
      <c r="S26" s="3050"/>
      <c r="T26" s="3050"/>
      <c r="U26" s="3050"/>
    </row>
    <row r="27" spans="1:21">
      <c r="A27" s="1669" t="s">
        <v>1960</v>
      </c>
      <c r="B27" s="1667" t="s">
        <v>1961</v>
      </c>
      <c r="C27" s="1631"/>
      <c r="D27" s="2489" t="s">
        <v>1961</v>
      </c>
      <c r="E27" s="1632"/>
      <c r="F27" s="3077"/>
      <c r="G27" s="3070"/>
      <c r="H27" s="3070"/>
      <c r="I27" s="3074"/>
      <c r="J27" s="3070"/>
      <c r="K27" s="3053"/>
      <c r="L27" s="3049"/>
      <c r="M27" s="3049"/>
      <c r="N27" s="3050"/>
      <c r="O27" s="3051"/>
      <c r="P27" s="3050"/>
      <c r="Q27" s="3050"/>
      <c r="R27" s="3050"/>
      <c r="S27" s="3050"/>
      <c r="T27" s="3050"/>
      <c r="U27" s="3050"/>
    </row>
    <row r="28" spans="1:21">
      <c r="A28" s="1670"/>
      <c r="B28" s="1667" t="s">
        <v>1962</v>
      </c>
      <c r="C28" s="1633"/>
      <c r="D28" s="2490" t="s">
        <v>1962</v>
      </c>
      <c r="E28" s="1634"/>
      <c r="F28" s="3077"/>
      <c r="G28" s="3070"/>
      <c r="H28" s="3070"/>
      <c r="I28" s="3074"/>
      <c r="J28" s="3070"/>
      <c r="K28" s="3053"/>
      <c r="L28" s="3049"/>
      <c r="M28" s="3049"/>
      <c r="N28" s="3050"/>
      <c r="O28" s="3051"/>
      <c r="P28" s="3050"/>
      <c r="Q28" s="3050"/>
      <c r="R28" s="3050"/>
      <c r="S28" s="3050"/>
      <c r="T28" s="3050"/>
      <c r="U28" s="3050"/>
    </row>
    <row r="29" spans="1:21">
      <c r="A29" s="1670"/>
      <c r="B29" s="1667" t="s">
        <v>1963</v>
      </c>
      <c r="C29" s="1633"/>
      <c r="D29" s="2490" t="s">
        <v>1963</v>
      </c>
      <c r="E29" s="1634"/>
      <c r="F29" s="3077"/>
      <c r="G29" s="3070"/>
      <c r="H29" s="3070"/>
      <c r="I29" s="3074"/>
      <c r="J29" s="3070"/>
      <c r="K29" s="3053"/>
      <c r="L29" s="3049"/>
      <c r="M29" s="3049"/>
      <c r="N29" s="3050"/>
      <c r="O29" s="3051"/>
      <c r="P29" s="3050"/>
      <c r="Q29" s="3050"/>
      <c r="R29" s="3050"/>
      <c r="S29" s="3050"/>
      <c r="T29" s="3050"/>
      <c r="U29" s="3050"/>
    </row>
    <row r="30" spans="1:21" ht="15" thickBot="1">
      <c r="A30" s="1671"/>
      <c r="B30" s="1668" t="s">
        <v>1964</v>
      </c>
      <c r="C30" s="1635"/>
      <c r="D30" s="2491" t="s">
        <v>1964</v>
      </c>
      <c r="E30" s="1636"/>
      <c r="F30" s="3078"/>
      <c r="G30" s="3075"/>
      <c r="H30" s="3075"/>
      <c r="I30" s="3076"/>
      <c r="J30" s="3070"/>
      <c r="K30" s="3053"/>
      <c r="L30" s="3049"/>
      <c r="M30" s="3049"/>
      <c r="N30" s="3050"/>
      <c r="O30" s="3051"/>
      <c r="P30" s="3050"/>
      <c r="Q30" s="3050"/>
      <c r="R30" s="3050"/>
      <c r="S30" s="3050"/>
      <c r="T30" s="3050"/>
      <c r="U30" s="3050"/>
    </row>
    <row r="31" spans="1:21" ht="15" thickTop="1">
      <c r="A31" s="3372" t="s">
        <v>1989</v>
      </c>
      <c r="B31" s="1678" t="s">
        <v>1990</v>
      </c>
      <c r="C31" s="3370" t="s">
        <v>3073</v>
      </c>
      <c r="D31" s="3371"/>
      <c r="E31" s="3070"/>
      <c r="F31" s="3070"/>
      <c r="G31" s="3070"/>
      <c r="H31" s="3070"/>
      <c r="I31" s="3074"/>
      <c r="J31" s="3070"/>
      <c r="K31" s="3056"/>
      <c r="L31" s="3050"/>
      <c r="M31" s="3050"/>
      <c r="N31" s="3050"/>
      <c r="O31" s="3050"/>
      <c r="P31" s="3050"/>
      <c r="Q31" s="3050"/>
      <c r="R31" s="3050"/>
      <c r="S31" s="3050"/>
      <c r="T31" s="3050"/>
      <c r="U31" s="3050"/>
    </row>
    <row r="32" spans="1:21">
      <c r="A32" s="3372"/>
      <c r="B32" s="1585" t="s">
        <v>1991</v>
      </c>
      <c r="C32" s="1637" t="s">
        <v>3074</v>
      </c>
      <c r="D32" s="1638"/>
      <c r="E32" s="3070"/>
      <c r="F32" s="3070"/>
      <c r="G32" s="3070"/>
      <c r="H32" s="3070"/>
      <c r="I32" s="3074"/>
      <c r="J32" s="3070"/>
      <c r="K32" s="3056"/>
      <c r="L32" s="3050"/>
      <c r="M32" s="3050"/>
      <c r="N32" s="3050"/>
      <c r="O32" s="3050"/>
      <c r="P32" s="3050"/>
      <c r="Q32" s="3050"/>
      <c r="R32" s="3050"/>
      <c r="S32" s="3050"/>
      <c r="T32" s="3050"/>
      <c r="U32" s="3050"/>
    </row>
    <row r="33" spans="1:28">
      <c r="A33" s="3372"/>
      <c r="B33" s="1585" t="s">
        <v>1992</v>
      </c>
      <c r="C33" s="1639" t="s">
        <v>3075</v>
      </c>
      <c r="D33" s="1749"/>
      <c r="E33" s="3070"/>
      <c r="F33" s="3070"/>
      <c r="G33" s="3070"/>
      <c r="H33" s="3070"/>
      <c r="I33" s="3074"/>
      <c r="J33" s="3070"/>
      <c r="K33" s="3056"/>
      <c r="L33" s="3050"/>
      <c r="M33" s="3050"/>
      <c r="N33" s="3050"/>
      <c r="O33" s="3050"/>
      <c r="P33" s="3050"/>
      <c r="Q33" s="3050"/>
      <c r="R33" s="3050"/>
      <c r="S33" s="3050"/>
      <c r="T33" s="3050"/>
      <c r="U33" s="3050"/>
    </row>
    <row r="34" spans="1:28">
      <c r="A34" s="3373"/>
      <c r="B34" s="1585" t="s">
        <v>1993</v>
      </c>
      <c r="C34" s="3374"/>
      <c r="D34" s="3375"/>
      <c r="E34" s="3070"/>
      <c r="F34" s="3070"/>
      <c r="G34" s="3070"/>
      <c r="H34" s="3070"/>
      <c r="I34" s="3074"/>
      <c r="J34" s="3070"/>
      <c r="K34" s="3056"/>
      <c r="L34" s="3050"/>
      <c r="M34" s="3050"/>
      <c r="N34" s="3050"/>
      <c r="O34" s="3050"/>
      <c r="P34" s="3050"/>
      <c r="Q34" s="3050"/>
      <c r="R34" s="3050"/>
      <c r="S34" s="3050"/>
      <c r="T34" s="3050"/>
      <c r="U34" s="3050"/>
    </row>
    <row r="35" spans="1:28">
      <c r="A35" s="3376" t="s">
        <v>839</v>
      </c>
      <c r="B35" s="1640" t="s">
        <v>3019</v>
      </c>
      <c r="C35" s="1687" t="str">
        <f>IF(B35="场地平整","——","具体情况：")</f>
        <v>——</v>
      </c>
      <c r="D35" s="3378"/>
      <c r="E35" s="3379"/>
      <c r="F35" s="3379"/>
      <c r="G35" s="3379"/>
      <c r="H35" s="3379"/>
      <c r="I35" s="3380"/>
      <c r="J35" s="3070"/>
      <c r="K35" s="3057"/>
      <c r="L35" s="3049"/>
      <c r="M35" s="3049"/>
      <c r="N35" s="3050"/>
      <c r="O35" s="3051"/>
      <c r="P35" s="3050"/>
      <c r="Q35" s="3050"/>
      <c r="R35" s="3050"/>
      <c r="S35" s="3050"/>
      <c r="T35" s="3050"/>
      <c r="U35" s="3050"/>
    </row>
    <row r="36" spans="1:28">
      <c r="A36" s="3372"/>
      <c r="B36" s="3381" t="s">
        <v>2042</v>
      </c>
      <c r="C36" s="3382"/>
      <c r="D36" s="1703" t="s">
        <v>3017</v>
      </c>
      <c r="E36" s="3383"/>
      <c r="F36" s="3383"/>
      <c r="G36" s="1608" t="str">
        <f>IF(B35="场地未平整","估价结果处理","")</f>
        <v/>
      </c>
      <c r="H36" s="3384"/>
      <c r="I36" s="3384"/>
      <c r="J36" s="3070"/>
      <c r="K36" s="3057"/>
      <c r="L36" s="3049"/>
      <c r="M36" s="3049"/>
      <c r="N36" s="3050"/>
      <c r="O36" s="3051"/>
      <c r="P36" s="3050"/>
      <c r="Q36" s="3050"/>
      <c r="R36" s="3050"/>
      <c r="S36" s="3050"/>
      <c r="T36" s="3050"/>
      <c r="U36" s="3050"/>
    </row>
    <row r="37" spans="1:28" ht="28.5">
      <c r="A37" s="3372"/>
      <c r="B37" s="3361" t="s">
        <v>840</v>
      </c>
      <c r="C37" s="1642" t="s">
        <v>841</v>
      </c>
      <c r="D37" s="1643"/>
      <c r="E37" s="1644"/>
      <c r="F37" s="3070"/>
      <c r="G37" s="3070"/>
      <c r="H37" s="3070"/>
      <c r="I37" s="3074"/>
      <c r="J37" s="3070"/>
      <c r="K37" s="3057"/>
      <c r="L37" s="3050"/>
      <c r="M37" s="3050"/>
      <c r="N37" s="3050"/>
      <c r="O37" s="3050"/>
      <c r="P37" s="3050"/>
      <c r="Q37" s="3050"/>
      <c r="R37" s="3050"/>
      <c r="S37" s="3050"/>
      <c r="T37" s="3050"/>
      <c r="U37" s="3050"/>
    </row>
    <row r="38" spans="1:28">
      <c r="A38" s="3372"/>
      <c r="B38" s="3362"/>
      <c r="C38" s="1593" t="s">
        <v>842</v>
      </c>
      <c r="D38" s="1702">
        <f>ROUNDDOWN(MIN(('数据-取费表'!$B$2-D37)/365,D34),1)</f>
        <v>121.1</v>
      </c>
      <c r="E38" s="1645" t="s">
        <v>843</v>
      </c>
      <c r="F38" s="3070"/>
      <c r="G38" s="3070"/>
      <c r="H38" s="3070"/>
      <c r="I38" s="3074"/>
      <c r="J38" s="3070"/>
      <c r="K38" s="3057"/>
      <c r="L38" s="3050"/>
      <c r="M38" s="3050"/>
      <c r="N38" s="3050"/>
      <c r="O38" s="3050"/>
      <c r="P38" s="3050"/>
      <c r="Q38" s="3050"/>
      <c r="R38" s="3050"/>
      <c r="S38" s="3050"/>
      <c r="T38" s="3050"/>
      <c r="U38" s="3050"/>
    </row>
    <row r="39" spans="1:28">
      <c r="A39" s="3373"/>
      <c r="B39" s="3363"/>
      <c r="C39" s="1615" t="str">
        <f>IF(D38&lt;1,"不存在土地闲置",IF(B35="宗地内已开工建设","已开工，不存在土地闲置","估价对象已涉嫌土地闲置"))</f>
        <v>估价对象已涉嫌土地闲置</v>
      </c>
      <c r="D39" s="1646"/>
      <c r="E39" s="1647"/>
      <c r="F39" s="3070"/>
      <c r="G39" s="3070"/>
      <c r="H39" s="3070"/>
      <c r="I39" s="3074"/>
      <c r="J39" s="3070"/>
      <c r="K39" s="3053"/>
      <c r="L39" s="3049"/>
      <c r="M39" s="3049"/>
      <c r="N39" s="3050"/>
      <c r="O39" s="3051"/>
      <c r="P39" s="3050"/>
      <c r="Q39" s="3050"/>
      <c r="R39" s="3050"/>
      <c r="S39" s="3050"/>
      <c r="T39" s="3050"/>
      <c r="U39" s="3050"/>
    </row>
    <row r="40" spans="1:28">
      <c r="A40" s="1608" t="s">
        <v>1965</v>
      </c>
      <c r="B40" s="1609" t="s">
        <v>3010</v>
      </c>
      <c r="C40" s="1609" t="s">
        <v>3011</v>
      </c>
      <c r="D40" s="1609" t="s">
        <v>3012</v>
      </c>
      <c r="E40" s="1609" t="s">
        <v>3013</v>
      </c>
      <c r="F40" s="1609" t="s">
        <v>3014</v>
      </c>
      <c r="G40" s="1609" t="s">
        <v>3015</v>
      </c>
      <c r="H40" s="1609" t="s">
        <v>3016</v>
      </c>
      <c r="I40" s="3074" t="s">
        <v>3018</v>
      </c>
      <c r="J40" s="3070"/>
      <c r="K40" s="3018">
        <f>COUNTIF(B40:H40,"——")</f>
        <v>0</v>
      </c>
      <c r="L40" s="1617" t="s">
        <v>1966</v>
      </c>
      <c r="M40" s="1614" t="s">
        <v>1967</v>
      </c>
      <c r="N40" s="1614" t="s">
        <v>1968</v>
      </c>
      <c r="O40" s="1614" t="s">
        <v>1969</v>
      </c>
      <c r="P40" s="1614" t="s">
        <v>1970</v>
      </c>
      <c r="Q40" s="1614" t="s">
        <v>1971</v>
      </c>
      <c r="R40" s="1614" t="s">
        <v>1972</v>
      </c>
      <c r="S40" s="3344" t="s">
        <v>1973</v>
      </c>
      <c r="T40" s="1649" t="str">
        <f>NUMBERSTRING(7-K40,1)&amp;"通"</f>
        <v>七通</v>
      </c>
      <c r="U40" s="3050"/>
    </row>
    <row r="41" spans="1:28">
      <c r="A41" s="1587"/>
      <c r="B41" s="3377" t="s">
        <v>1712</v>
      </c>
      <c r="C41" s="3377"/>
      <c r="D41" s="3377"/>
      <c r="E41" s="3377"/>
      <c r="F41" s="1650" t="str">
        <f>C10</f>
        <v>石家庄市</v>
      </c>
      <c r="G41" s="3070"/>
      <c r="H41" s="3070"/>
      <c r="I41" s="3074"/>
      <c r="J41" s="3070"/>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通路、通电、通讯、通上水、通下水、通热</v>
      </c>
      <c r="R41" s="1652" t="str">
        <f>B40&amp;"、"&amp;C40&amp;"、"&amp;D40&amp;"、"&amp;E40&amp;"、"&amp;F40&amp;"、"&amp;G40&amp;"、"&amp;H40</f>
        <v>通路、通电、通讯、通上水、通下水、通热、燃气</v>
      </c>
      <c r="S41" s="3344"/>
      <c r="T41" s="1651" t="str">
        <f>IF(T40="一通",L41,IF(T40="二通",M41,IF(T40="三通",N41,IF(T40="四通",O41,IF(T40="五通",P41,IF(T40="六通",Q41,R41))))))</f>
        <v>通路、通电、通讯、通上水、通下水、通热、燃气</v>
      </c>
      <c r="U41" s="3050"/>
    </row>
    <row r="42" spans="1:28">
      <c r="A42" s="1653"/>
      <c r="B42" s="1680" t="s">
        <v>1888</v>
      </c>
      <c r="C42" s="1680" t="s">
        <v>1889</v>
      </c>
      <c r="D42" s="1680" t="s">
        <v>1890</v>
      </c>
      <c r="E42" s="1617" t="s">
        <v>1891</v>
      </c>
      <c r="F42" s="1654" t="s">
        <v>3020</v>
      </c>
      <c r="G42" s="3070"/>
      <c r="H42" s="3070"/>
      <c r="I42" s="3074"/>
      <c r="J42" s="3070"/>
      <c r="K42" s="3053"/>
      <c r="L42" s="3049"/>
      <c r="M42" s="3049"/>
      <c r="N42" s="3050"/>
      <c r="O42" s="3051"/>
      <c r="P42" s="3050"/>
      <c r="Q42" s="3050"/>
      <c r="R42" s="3050"/>
      <c r="S42" s="3050"/>
      <c r="T42" s="3050"/>
      <c r="U42" s="3050"/>
    </row>
    <row r="43" spans="1:28">
      <c r="A43" s="3021" t="s">
        <v>1697</v>
      </c>
      <c r="B43" s="1655"/>
      <c r="C43" s="1655"/>
      <c r="D43" s="1655"/>
      <c r="E43" s="1655"/>
      <c r="F43" s="1656" t="s">
        <v>3044</v>
      </c>
      <c r="G43" s="3070"/>
      <c r="H43" s="3070"/>
      <c r="I43" s="3074"/>
      <c r="J43" s="3070"/>
      <c r="K43" s="3053"/>
      <c r="L43" s="3049"/>
      <c r="M43" s="3049"/>
      <c r="N43" s="3050"/>
      <c r="O43" s="3051"/>
      <c r="P43" s="3050"/>
      <c r="Q43" s="3050"/>
      <c r="R43" s="3050"/>
      <c r="S43" s="3050"/>
      <c r="T43" s="3050"/>
      <c r="U43" s="3050"/>
    </row>
    <row r="44" spans="1:28">
      <c r="A44" s="3021" t="s">
        <v>1698</v>
      </c>
      <c r="B44" s="1655"/>
      <c r="C44" s="1655"/>
      <c r="D44" s="1655"/>
      <c r="E44" s="1703"/>
      <c r="F44" s="1656" t="s">
        <v>3045</v>
      </c>
      <c r="G44" s="3070"/>
      <c r="H44" s="3070"/>
      <c r="I44" s="3074"/>
      <c r="J44" s="3070"/>
      <c r="K44" s="3053"/>
      <c r="L44" s="3049"/>
      <c r="M44" s="3049"/>
      <c r="N44" s="3050"/>
      <c r="O44" s="3051"/>
      <c r="P44" s="3050"/>
      <c r="Q44" s="3050"/>
      <c r="R44" s="3050"/>
      <c r="S44" s="3050"/>
      <c r="T44" s="3050"/>
      <c r="U44" s="3050"/>
    </row>
    <row r="45" spans="1:28" s="2769" customFormat="1" ht="21" thickBot="1">
      <c r="A45" s="2770" t="s">
        <v>2870</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2"/>
      <c r="B46" s="1612"/>
      <c r="C46" s="1612"/>
      <c r="D46" s="1612"/>
      <c r="E46" s="1612"/>
      <c r="F46" s="1612"/>
      <c r="G46" s="1612"/>
      <c r="H46" s="1612"/>
      <c r="I46" s="1625"/>
      <c r="J46" s="1612"/>
      <c r="K46" s="3053"/>
      <c r="L46" s="3049"/>
      <c r="M46" s="3049"/>
      <c r="N46" s="3050"/>
      <c r="O46" s="3051"/>
      <c r="P46" s="3050"/>
      <c r="Q46" s="3050"/>
      <c r="R46" s="3050"/>
      <c r="S46" s="3050"/>
      <c r="T46" s="3050"/>
      <c r="U46" s="3050"/>
    </row>
    <row r="47" spans="1:28">
      <c r="A47" s="1657" t="s">
        <v>1994</v>
      </c>
      <c r="B47" s="1658"/>
      <c r="C47" s="1647"/>
      <c r="D47" s="1612"/>
      <c r="E47" s="1612"/>
      <c r="F47" s="1612"/>
      <c r="G47" s="1612"/>
      <c r="H47" s="1612"/>
      <c r="I47" s="1613"/>
      <c r="J47" s="1612"/>
      <c r="K47" s="3053"/>
      <c r="L47" s="3049"/>
      <c r="M47" s="3049"/>
      <c r="N47" s="3050"/>
      <c r="O47" s="3051"/>
      <c r="P47" s="3050"/>
      <c r="Q47" s="3050"/>
      <c r="R47" s="3050"/>
      <c r="S47" s="3050"/>
      <c r="T47" s="3050"/>
      <c r="U47" s="3050"/>
    </row>
    <row r="48" spans="1:28" ht="28.5">
      <c r="A48" s="1617" t="s">
        <v>1995</v>
      </c>
      <c r="B48" s="1607" t="s">
        <v>1996</v>
      </c>
      <c r="C48" s="1607" t="s">
        <v>1997</v>
      </c>
      <c r="D48" s="1607" t="s">
        <v>1998</v>
      </c>
      <c r="E48" s="1607" t="s">
        <v>1999</v>
      </c>
      <c r="F48" s="1607" t="s">
        <v>2000</v>
      </c>
      <c r="G48" s="1607" t="s">
        <v>2001</v>
      </c>
      <c r="H48" s="1607" t="s">
        <v>2002</v>
      </c>
      <c r="I48" s="1607" t="s">
        <v>2003</v>
      </c>
      <c r="J48" s="1686" t="s">
        <v>2004</v>
      </c>
      <c r="K48" s="3063" t="s">
        <v>2005</v>
      </c>
      <c r="L48" s="3063" t="s">
        <v>2006</v>
      </c>
      <c r="M48" s="3063" t="s">
        <v>2007</v>
      </c>
      <c r="N48" s="3064" t="s">
        <v>2008</v>
      </c>
      <c r="O48" s="3064" t="s">
        <v>2009</v>
      </c>
      <c r="P48" s="3064" t="s">
        <v>2010</v>
      </c>
      <c r="Q48" s="3055" t="s">
        <v>2011</v>
      </c>
      <c r="R48" s="3055" t="s">
        <v>2012</v>
      </c>
      <c r="S48" s="3050"/>
      <c r="T48" s="3050"/>
      <c r="U48" s="3050"/>
    </row>
    <row r="49" spans="1:21">
      <c r="A49" s="1614"/>
      <c r="B49" s="1648"/>
      <c r="C49" s="1648"/>
      <c r="D49" s="1648"/>
      <c r="E49" s="1648"/>
      <c r="F49" s="1648"/>
      <c r="G49" s="1648"/>
      <c r="H49" s="1648"/>
      <c r="I49" s="1648"/>
      <c r="J49" s="1750"/>
      <c r="K49" s="3065"/>
      <c r="L49" s="3065"/>
      <c r="M49" s="1654"/>
      <c r="N49" s="1654"/>
      <c r="O49" s="1654"/>
      <c r="P49" s="1654"/>
      <c r="Q49" s="1654"/>
      <c r="R49" s="1654"/>
      <c r="S49" s="3050"/>
      <c r="T49" s="3050"/>
      <c r="U49" s="3050"/>
    </row>
    <row r="50" spans="1:21">
      <c r="A50" s="1614"/>
      <c r="B50" s="1614"/>
      <c r="C50" s="1648"/>
      <c r="D50" s="1648"/>
      <c r="E50" s="1648"/>
      <c r="F50" s="1648"/>
      <c r="G50" s="1648"/>
      <c r="H50" s="1648"/>
      <c r="I50" s="1648"/>
      <c r="J50" s="1750"/>
      <c r="K50" s="3065"/>
      <c r="L50" s="3065"/>
      <c r="M50" s="1654"/>
      <c r="N50" s="1654"/>
      <c r="O50" s="1654"/>
      <c r="P50" s="1654"/>
      <c r="Q50" s="1654"/>
      <c r="R50" s="1654"/>
      <c r="S50" s="3050"/>
      <c r="T50" s="3050"/>
      <c r="U50" s="3050"/>
    </row>
    <row r="51" spans="1:21">
      <c r="A51" s="1614"/>
      <c r="B51" s="1614"/>
      <c r="C51" s="1648"/>
      <c r="D51" s="1648"/>
      <c r="E51" s="1648"/>
      <c r="F51" s="1648"/>
      <c r="G51" s="1648"/>
      <c r="H51" s="1648"/>
      <c r="I51" s="1648"/>
      <c r="J51" s="1750"/>
      <c r="K51" s="3065"/>
      <c r="L51" s="3065"/>
      <c r="M51" s="1654"/>
      <c r="N51" s="1654"/>
      <c r="O51" s="1654"/>
      <c r="P51" s="1654"/>
      <c r="Q51" s="1654"/>
      <c r="R51" s="1654"/>
      <c r="S51" s="3050"/>
      <c r="T51" s="3050"/>
      <c r="U51" s="3050"/>
    </row>
    <row r="52" spans="1:21">
      <c r="A52" s="1614"/>
      <c r="B52" s="1614"/>
      <c r="C52" s="1648"/>
      <c r="D52" s="1648"/>
      <c r="E52" s="1648"/>
      <c r="F52" s="1648"/>
      <c r="G52" s="1648"/>
      <c r="H52" s="1648"/>
      <c r="I52" s="1648"/>
      <c r="J52" s="1750"/>
      <c r="K52" s="3065"/>
      <c r="L52" s="3065"/>
      <c r="M52" s="1654"/>
      <c r="N52" s="1654"/>
      <c r="O52" s="1654"/>
      <c r="P52" s="1654"/>
      <c r="Q52" s="1654"/>
      <c r="R52" s="1654"/>
      <c r="S52" s="3050"/>
      <c r="T52" s="3050"/>
      <c r="U52" s="3050"/>
    </row>
    <row r="53" spans="1:21">
      <c r="A53" s="1614"/>
      <c r="B53" s="1614"/>
      <c r="C53" s="1648"/>
      <c r="D53" s="1648"/>
      <c r="E53" s="1648"/>
      <c r="F53" s="1648"/>
      <c r="G53" s="1648"/>
      <c r="H53" s="1648"/>
      <c r="I53" s="1648"/>
      <c r="J53" s="1750"/>
      <c r="K53" s="3065"/>
      <c r="L53" s="3065"/>
      <c r="M53" s="1654"/>
      <c r="N53" s="1654"/>
      <c r="O53" s="1654"/>
      <c r="P53" s="1654"/>
      <c r="Q53" s="1654"/>
      <c r="R53" s="1654"/>
      <c r="S53" s="3050"/>
      <c r="T53" s="3050"/>
      <c r="U53" s="3050"/>
    </row>
    <row r="54" spans="1:21">
      <c r="A54" s="1614"/>
      <c r="B54" s="1614"/>
      <c r="C54" s="1614"/>
      <c r="D54" s="1614"/>
      <c r="E54" s="1614"/>
      <c r="F54" s="1648"/>
      <c r="G54" s="1614"/>
      <c r="H54" s="1614"/>
      <c r="I54" s="1614"/>
      <c r="J54" s="1751"/>
      <c r="K54" s="3065"/>
      <c r="L54" s="3065"/>
      <c r="M54" s="3065"/>
      <c r="N54" s="3017"/>
      <c r="O54" s="3017"/>
      <c r="P54" s="3017"/>
      <c r="Q54" s="3017"/>
      <c r="R54" s="3017"/>
      <c r="S54" s="3050"/>
      <c r="T54" s="3050"/>
      <c r="U54" s="3050"/>
    </row>
    <row r="55" spans="1:21">
      <c r="A55" s="1614"/>
      <c r="B55" s="1614"/>
      <c r="C55" s="1614"/>
      <c r="D55" s="1614"/>
      <c r="E55" s="1614"/>
      <c r="F55" s="1648"/>
      <c r="G55" s="1614"/>
      <c r="H55" s="1614"/>
      <c r="I55" s="1614"/>
      <c r="J55" s="1751"/>
      <c r="K55" s="3065"/>
      <c r="L55" s="3065"/>
      <c r="M55" s="3065"/>
      <c r="N55" s="3017"/>
      <c r="O55" s="3017"/>
      <c r="P55" s="3017"/>
      <c r="Q55" s="3017"/>
      <c r="R55" s="3017"/>
      <c r="S55" s="3050"/>
      <c r="T55" s="3050"/>
      <c r="U55" s="3050"/>
    </row>
    <row r="56" spans="1:21">
      <c r="A56" s="1614"/>
      <c r="B56" s="1614"/>
      <c r="C56" s="1614"/>
      <c r="D56" s="1614"/>
      <c r="E56" s="1614"/>
      <c r="F56" s="1648"/>
      <c r="G56" s="1614"/>
      <c r="H56" s="1614"/>
      <c r="I56" s="1614"/>
      <c r="J56" s="1751"/>
      <c r="K56" s="3065"/>
      <c r="L56" s="3065"/>
      <c r="M56" s="3065"/>
      <c r="N56" s="3017"/>
      <c r="O56" s="3017"/>
      <c r="P56" s="3017"/>
      <c r="Q56" s="3017"/>
      <c r="R56" s="3017"/>
      <c r="S56" s="3050"/>
      <c r="T56" s="3050"/>
      <c r="U56" s="3050"/>
    </row>
    <row r="57" spans="1:21">
      <c r="A57" s="1614"/>
      <c r="B57" s="1614"/>
      <c r="C57" s="1614"/>
      <c r="D57" s="1614"/>
      <c r="E57" s="1614"/>
      <c r="F57" s="1648"/>
      <c r="G57" s="1614"/>
      <c r="H57" s="1614"/>
      <c r="I57" s="1614"/>
      <c r="J57" s="1751"/>
      <c r="K57" s="3065"/>
      <c r="L57" s="3065"/>
      <c r="M57" s="3065"/>
      <c r="N57" s="3017"/>
      <c r="O57" s="3017"/>
      <c r="P57" s="3017"/>
      <c r="Q57" s="3017"/>
      <c r="R57" s="3017"/>
      <c r="S57" s="3050"/>
      <c r="T57" s="3050"/>
      <c r="U57" s="3050"/>
    </row>
    <row r="58" spans="1:21">
      <c r="A58" s="1614"/>
      <c r="B58" s="1614"/>
      <c r="C58" s="1614"/>
      <c r="D58" s="1614"/>
      <c r="E58" s="1614"/>
      <c r="F58" s="1648"/>
      <c r="G58" s="1614"/>
      <c r="H58" s="1614"/>
      <c r="I58" s="1614"/>
      <c r="J58" s="1751"/>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 style="15" customWidth="1"/>
    <col min="10" max="10" width="9.5" style="15" customWidth="1"/>
    <col min="11" max="11" width="11" style="15" customWidth="1"/>
    <col min="12" max="12" width="9.5" style="15" customWidth="1"/>
    <col min="13" max="13" width="11.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5" t="s">
        <v>2320</v>
      </c>
      <c r="BA2" s="2216"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49955.92</v>
      </c>
      <c r="B3" s="22">
        <f>IF(C3="否",G5-AT5,G5)</f>
        <v>157059.36000000002</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7"/>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157059.36000000002</v>
      </c>
      <c r="H5" s="27">
        <f t="shared" ref="H5:AT5" si="0">SUM(H13:H641)</f>
        <v>153071.58000000002</v>
      </c>
      <c r="I5" s="27">
        <f t="shared" si="0"/>
        <v>102126.58</v>
      </c>
      <c r="J5" s="27">
        <f t="shared" si="0"/>
        <v>0</v>
      </c>
      <c r="K5" s="27">
        <f t="shared" si="0"/>
        <v>27101</v>
      </c>
      <c r="L5" s="27">
        <f t="shared" si="0"/>
        <v>0</v>
      </c>
      <c r="M5" s="27">
        <f t="shared" si="0"/>
        <v>11488</v>
      </c>
      <c r="N5" s="27">
        <f t="shared" si="0"/>
        <v>0</v>
      </c>
      <c r="O5" s="27">
        <f t="shared" si="0"/>
        <v>12356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3987.7799999999997</v>
      </c>
      <c r="AD5" s="27">
        <f t="shared" si="0"/>
        <v>3265.87</v>
      </c>
      <c r="AE5" s="27">
        <f t="shared" si="0"/>
        <v>0</v>
      </c>
      <c r="AF5" s="27">
        <f t="shared" si="0"/>
        <v>0</v>
      </c>
      <c r="AG5" s="27">
        <f t="shared" si="0"/>
        <v>0</v>
      </c>
      <c r="AH5" s="27">
        <f t="shared" si="0"/>
        <v>721.91</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157059.36000000002</v>
      </c>
      <c r="BA5" s="29">
        <f t="shared" si="1"/>
        <v>153071.58000000002</v>
      </c>
      <c r="BB5" s="29">
        <f t="shared" si="1"/>
        <v>102126.58</v>
      </c>
      <c r="BC5" s="29">
        <f t="shared" si="1"/>
        <v>27101</v>
      </c>
      <c r="BD5" s="29">
        <f t="shared" si="1"/>
        <v>11488</v>
      </c>
      <c r="BE5" s="29">
        <f t="shared" si="1"/>
        <v>12356</v>
      </c>
      <c r="BF5" s="29">
        <f t="shared" si="1"/>
        <v>0</v>
      </c>
      <c r="BG5" s="29">
        <f t="shared" si="1"/>
        <v>0</v>
      </c>
      <c r="BH5" s="29">
        <f t="shared" si="1"/>
        <v>0</v>
      </c>
      <c r="BI5" s="29">
        <f t="shared" si="1"/>
        <v>0</v>
      </c>
      <c r="BJ5" s="29">
        <f t="shared" si="1"/>
        <v>0</v>
      </c>
      <c r="BK5" s="29">
        <f t="shared" si="1"/>
        <v>0</v>
      </c>
      <c r="BL5" s="29">
        <f t="shared" si="1"/>
        <v>3987.7799999999997</v>
      </c>
      <c r="BM5" s="29">
        <f t="shared" si="1"/>
        <v>3265.87</v>
      </c>
      <c r="BN5" s="29">
        <f t="shared" si="1"/>
        <v>0</v>
      </c>
      <c r="BO5" s="29">
        <f t="shared" si="1"/>
        <v>721.91</v>
      </c>
      <c r="BP5" s="29">
        <f t="shared" si="1"/>
        <v>0</v>
      </c>
      <c r="BQ5" s="29">
        <f t="shared" si="1"/>
        <v>0</v>
      </c>
      <c r="BR5" s="29">
        <f t="shared" si="1"/>
        <v>0</v>
      </c>
      <c r="BS5" s="29">
        <f t="shared" si="1"/>
        <v>0</v>
      </c>
      <c r="BT5" s="30">
        <f t="shared" si="1"/>
        <v>0</v>
      </c>
    </row>
    <row r="6" spans="1:72" s="37" customFormat="1" ht="12.75">
      <c r="A6" s="26" t="s">
        <v>169</v>
      </c>
      <c r="B6" s="31"/>
      <c r="C6" s="31"/>
      <c r="D6" s="32"/>
      <c r="E6" s="27">
        <f>H6+AC6+AT6</f>
        <v>49955.92</v>
      </c>
      <c r="F6" s="27" t="s">
        <v>1</v>
      </c>
      <c r="G6" s="27" t="s">
        <v>2</v>
      </c>
      <c r="H6" s="33">
        <f>SUMIF(I$12:AB$12,"总值",I6:AB6)</f>
        <v>48687.519999999997</v>
      </c>
      <c r="I6" s="27">
        <f t="shared" ref="I6:AB6" si="2">ROUND($A$3*I5/$B$3,2)</f>
        <v>32483.43</v>
      </c>
      <c r="J6" s="27">
        <f t="shared" si="2"/>
        <v>0</v>
      </c>
      <c r="K6" s="27">
        <f t="shared" si="2"/>
        <v>8620.02</v>
      </c>
      <c r="L6" s="27">
        <f t="shared" si="2"/>
        <v>0</v>
      </c>
      <c r="M6" s="27">
        <f t="shared" si="2"/>
        <v>3653.99</v>
      </c>
      <c r="N6" s="27">
        <f t="shared" si="2"/>
        <v>0</v>
      </c>
      <c r="O6" s="27">
        <f t="shared" si="2"/>
        <v>3930.08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1268.4000000000001</v>
      </c>
      <c r="AD6" s="27">
        <f t="shared" ref="AD6:AS6" si="3">ROUND($A$3*AD5/$B$3,2)</f>
        <v>1038.78</v>
      </c>
      <c r="AE6" s="27">
        <f t="shared" si="3"/>
        <v>0</v>
      </c>
      <c r="AF6" s="27">
        <f t="shared" si="3"/>
        <v>0</v>
      </c>
      <c r="AG6" s="27">
        <f t="shared" si="3"/>
        <v>0</v>
      </c>
      <c r="AH6" s="27">
        <f t="shared" si="3"/>
        <v>229.62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49955.92</v>
      </c>
      <c r="AZ6" s="27" t="s">
        <v>3</v>
      </c>
      <c r="BA6" s="27">
        <f>ROUND($AY$6*BA5/$AZ$5,2)</f>
        <v>48687.53</v>
      </c>
      <c r="BB6" s="27">
        <f>ROUND($AY$6*BB5/$AZ$5,2)</f>
        <v>32483.43</v>
      </c>
      <c r="BC6" s="27">
        <f t="shared" ref="BC6:BH6" si="4">ROUND($AY$6*BC5/$AZ$5,2)</f>
        <v>8620.02</v>
      </c>
      <c r="BD6" s="27">
        <f t="shared" si="4"/>
        <v>3653.99</v>
      </c>
      <c r="BE6" s="27">
        <f t="shared" si="4"/>
        <v>3930.08</v>
      </c>
      <c r="BF6" s="27">
        <f t="shared" si="4"/>
        <v>0</v>
      </c>
      <c r="BG6" s="27">
        <f t="shared" si="4"/>
        <v>0</v>
      </c>
      <c r="BH6" s="27">
        <f t="shared" si="4"/>
        <v>0</v>
      </c>
      <c r="BI6" s="27">
        <f t="shared" ref="BI6:BT6" si="5">ROUND($AY$6*BI5/$AZ$5,2)</f>
        <v>0</v>
      </c>
      <c r="BJ6" s="27">
        <f t="shared" si="5"/>
        <v>0</v>
      </c>
      <c r="BK6" s="27">
        <f t="shared" si="5"/>
        <v>0</v>
      </c>
      <c r="BL6" s="27">
        <f t="shared" si="5"/>
        <v>1268.3900000000001</v>
      </c>
      <c r="BM6" s="27">
        <f t="shared" si="5"/>
        <v>1038.78</v>
      </c>
      <c r="BN6" s="27">
        <f t="shared" si="5"/>
        <v>0</v>
      </c>
      <c r="BO6" s="27">
        <f t="shared" si="5"/>
        <v>229.62</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3"/>
      <c r="AT8" s="2204"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3021</v>
      </c>
      <c r="J9" s="51"/>
      <c r="K9" s="2728" t="s">
        <v>3024</v>
      </c>
      <c r="L9" s="51"/>
      <c r="M9" s="2728" t="s">
        <v>3024</v>
      </c>
      <c r="N9" s="51"/>
      <c r="O9" s="59" t="s">
        <v>3021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5"/>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3050</v>
      </c>
      <c r="L10" s="51"/>
      <c r="M10" s="2730" t="s">
        <v>3065</v>
      </c>
      <c r="N10" s="51"/>
      <c r="O10" s="66" t="s">
        <v>914</v>
      </c>
      <c r="P10" s="51"/>
      <c r="Q10" s="66"/>
      <c r="R10" s="51"/>
      <c r="S10" s="66"/>
      <c r="T10" s="51"/>
      <c r="U10" s="66"/>
      <c r="V10" s="51"/>
      <c r="W10" s="66"/>
      <c r="X10" s="51"/>
      <c r="Y10" s="66"/>
      <c r="Z10" s="51"/>
      <c r="AA10" s="66"/>
      <c r="AB10" s="51"/>
      <c r="AC10" s="55"/>
      <c r="AD10" s="2190" t="s">
        <v>2304</v>
      </c>
      <c r="AE10" s="2212"/>
      <c r="AF10" s="2190" t="s">
        <v>2304</v>
      </c>
      <c r="AG10" s="2212"/>
      <c r="AH10" s="2190" t="s">
        <v>2305</v>
      </c>
      <c r="AI10" s="2212"/>
      <c r="AJ10" s="26" t="s">
        <v>2318</v>
      </c>
      <c r="AK10" s="2209"/>
      <c r="AL10" s="2190" t="s">
        <v>2306</v>
      </c>
      <c r="AM10" s="2191"/>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3022</v>
      </c>
      <c r="J11" s="71"/>
      <c r="K11" s="2729" t="s">
        <v>3050</v>
      </c>
      <c r="L11" s="71"/>
      <c r="M11" s="70" t="s">
        <v>3066</v>
      </c>
      <c r="N11" s="71"/>
      <c r="O11" s="3302" t="s">
        <v>3142</v>
      </c>
      <c r="P11" s="71"/>
      <c r="Q11" s="70"/>
      <c r="R11" s="71"/>
      <c r="S11" s="70"/>
      <c r="T11" s="71"/>
      <c r="U11" s="70"/>
      <c r="V11" s="71"/>
      <c r="W11" s="70"/>
      <c r="X11" s="71"/>
      <c r="Y11" s="70"/>
      <c r="Z11" s="71"/>
      <c r="AA11" s="70"/>
      <c r="AB11" s="71"/>
      <c r="AC11" s="55"/>
      <c r="AD11" s="2210" t="s">
        <v>2317</v>
      </c>
      <c r="AE11" s="989"/>
      <c r="AF11" s="2210" t="s">
        <v>2317</v>
      </c>
      <c r="AG11" s="989"/>
      <c r="AH11" s="2210" t="s">
        <v>2316</v>
      </c>
      <c r="AI11" s="2211"/>
      <c r="AJ11" s="2210" t="s">
        <v>2316</v>
      </c>
      <c r="AK11" s="2209"/>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t="str">
        <f>M10</f>
        <v>仓储</v>
      </c>
      <c r="BE11" s="50" t="str">
        <f>O10</f>
        <v>住宅</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车库</v>
      </c>
      <c r="BD12" s="79" t="str">
        <f>M11</f>
        <v>戊类库房</v>
      </c>
      <c r="BE12" s="50" t="str">
        <f>O11</f>
        <v>保障房</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3"/>
      <c r="B13" s="2723"/>
      <c r="C13" s="2723"/>
      <c r="D13" s="2724" t="s">
        <v>1669</v>
      </c>
      <c r="E13" s="27">
        <f t="shared" ref="E13:E20" si="6">IF($C$3="是",ROUND($A$3*G13/$B$3,2),ROUND($A$3*(G13-AT13)/$B$3,2))</f>
        <v>49955.92</v>
      </c>
      <c r="F13" s="81"/>
      <c r="G13" s="82">
        <f t="shared" ref="G13:G20" si="7">H13+AC13+AT13</f>
        <v>157059.36000000002</v>
      </c>
      <c r="H13" s="33">
        <f t="shared" ref="H13:H20" si="8">SUMIF(I$12:AB$12,"总值",I13:AB13)</f>
        <v>153071.58000000002</v>
      </c>
      <c r="I13" s="2727">
        <v>102126.58</v>
      </c>
      <c r="J13" s="2727"/>
      <c r="K13" s="2727">
        <f>27101</f>
        <v>27101</v>
      </c>
      <c r="L13" s="2727"/>
      <c r="M13" s="2727">
        <v>11488</v>
      </c>
      <c r="N13" s="83"/>
      <c r="O13" s="83">
        <v>12356</v>
      </c>
      <c r="P13" s="83"/>
      <c r="Q13" s="83"/>
      <c r="R13" s="83"/>
      <c r="S13" s="83"/>
      <c r="T13" s="83"/>
      <c r="U13" s="83"/>
      <c r="V13" s="83"/>
      <c r="W13" s="83"/>
      <c r="X13" s="83"/>
      <c r="Y13" s="83"/>
      <c r="Z13" s="83"/>
      <c r="AA13" s="83"/>
      <c r="AB13" s="83"/>
      <c r="AC13" s="27">
        <f t="shared" ref="AC13:AC20" si="9">SUMIF(AD$12:AS$12,"总值",AD13:AS13)</f>
        <v>3987.7799999999997</v>
      </c>
      <c r="AD13" s="2731">
        <f>125.87+660+50+2430</f>
        <v>3265.87</v>
      </c>
      <c r="AE13" s="2731"/>
      <c r="AF13" s="2731"/>
      <c r="AG13" s="2731"/>
      <c r="AH13" s="2731">
        <f>419.2+302.71</f>
        <v>721.91</v>
      </c>
      <c r="AI13" s="2731"/>
      <c r="AJ13" s="2731"/>
      <c r="AK13" s="2731"/>
      <c r="AL13" s="2731"/>
      <c r="AM13" s="2731"/>
      <c r="AN13" s="2731">
        <f>27101-K13</f>
        <v>0</v>
      </c>
      <c r="AO13" s="2731"/>
      <c r="AP13" s="2731"/>
      <c r="AQ13" s="2731"/>
      <c r="AR13" s="2731"/>
      <c r="AS13" s="2731"/>
      <c r="AT13" s="2732"/>
      <c r="AU13" s="2733"/>
      <c r="AV13" s="17">
        <f t="shared" ref="AV13:AX20" si="10">A13</f>
        <v>0</v>
      </c>
      <c r="AW13" s="17">
        <f t="shared" si="10"/>
        <v>0</v>
      </c>
      <c r="AX13" s="17">
        <f t="shared" si="10"/>
        <v>0</v>
      </c>
      <c r="AY13" s="983">
        <f t="shared" ref="AY13:AY20" si="11">ROUND($AY$6*AZ13/$AZ$5,2)</f>
        <v>49955.92</v>
      </c>
      <c r="AZ13" s="27">
        <f t="shared" ref="AZ13:AZ20" si="12">BA13+BL13</f>
        <v>157059.36000000002</v>
      </c>
      <c r="BA13" s="27">
        <f t="shared" ref="BA13:BA20" si="13">SUM(BB13:BK13)</f>
        <v>153071.58000000002</v>
      </c>
      <c r="BB13" s="27">
        <f t="shared" ref="BB13:BB20" si="14">IF($D13="是",I13-J13,0)</f>
        <v>102126.58</v>
      </c>
      <c r="BC13" s="27">
        <f t="shared" ref="BC13:BC20" si="15">IF($D13="是",K13-L13,0)</f>
        <v>27101</v>
      </c>
      <c r="BD13" s="27">
        <f t="shared" ref="BD13:BD20" si="16">IF($D13="是",M13-N13,0)</f>
        <v>11488</v>
      </c>
      <c r="BE13" s="27">
        <f t="shared" ref="BE13:BE20" si="17">IF($D13="是",O13-P13,0)</f>
        <v>12356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3987.7799999999997</v>
      </c>
      <c r="BM13" s="27">
        <f t="shared" ref="BM13:BM20" si="25">IF($D13="是",AD13-AE13,0)</f>
        <v>3265.87</v>
      </c>
      <c r="BN13" s="27">
        <f t="shared" ref="BN13:BN20" si="26">IF($D13="是",AF13-AG13,0)</f>
        <v>0</v>
      </c>
      <c r="BO13" s="27">
        <f t="shared" ref="BO13:BO20" si="27">IF($D13="是",AH13-AI13,0)</f>
        <v>721.91</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6"/>
      <c r="AM18" s="92"/>
      <c r="AN18" s="1340"/>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6"/>
      <c r="AO21" s="92"/>
      <c r="AP21" s="92"/>
      <c r="AQ21" s="92"/>
      <c r="AR21" s="92"/>
      <c r="AS21" s="92"/>
      <c r="AT21" s="93"/>
      <c r="AU21" s="94"/>
      <c r="AV21" s="1889">
        <f t="shared" ref="AV21:AV112" si="37">A21</f>
        <v>0</v>
      </c>
      <c r="AW21" s="1889">
        <f t="shared" ref="AW21:AW112" si="38">B21</f>
        <v>0</v>
      </c>
      <c r="AX21" s="188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6"/>
      <c r="N22" s="91"/>
      <c r="O22" s="91"/>
      <c r="P22" s="91"/>
      <c r="Q22" s="91"/>
      <c r="R22" s="91"/>
      <c r="S22" s="91"/>
      <c r="T22" s="91"/>
      <c r="U22" s="91"/>
      <c r="V22" s="91"/>
      <c r="W22" s="91"/>
      <c r="X22" s="91"/>
      <c r="Y22" s="91"/>
      <c r="Z22" s="91"/>
      <c r="AA22" s="91"/>
      <c r="AB22" s="91"/>
      <c r="AC22" s="87">
        <f t="shared" si="36"/>
        <v>0</v>
      </c>
      <c r="AD22" s="1316"/>
      <c r="AE22" s="92"/>
      <c r="AF22" s="1343"/>
      <c r="AG22" s="92"/>
      <c r="AH22" s="92"/>
      <c r="AI22" s="92"/>
      <c r="AJ22" s="92"/>
      <c r="AK22" s="92"/>
      <c r="AL22" s="1316"/>
      <c r="AM22" s="92"/>
      <c r="AN22" s="1316"/>
      <c r="AO22" s="92"/>
      <c r="AP22" s="92"/>
      <c r="AQ22" s="92"/>
      <c r="AR22" s="92"/>
      <c r="AS22" s="92"/>
      <c r="AT22" s="93"/>
      <c r="AU22" s="94"/>
      <c r="AV22" s="1889">
        <f t="shared" si="37"/>
        <v>0</v>
      </c>
      <c r="AW22" s="1889">
        <f t="shared" si="38"/>
        <v>0</v>
      </c>
      <c r="AX22" s="188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6"/>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6"/>
      <c r="AM23" s="92"/>
      <c r="AN23" s="1316"/>
      <c r="AO23" s="92"/>
      <c r="AP23" s="92"/>
      <c r="AQ23" s="92"/>
      <c r="AR23" s="92"/>
      <c r="AS23" s="92"/>
      <c r="AT23" s="93"/>
      <c r="AU23" s="94"/>
      <c r="AV23" s="1889">
        <f t="shared" si="37"/>
        <v>0</v>
      </c>
      <c r="AW23" s="1889">
        <f t="shared" si="38"/>
        <v>0</v>
      </c>
      <c r="AX23" s="188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6"/>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6"/>
      <c r="AO24" s="92"/>
      <c r="AP24" s="92"/>
      <c r="AQ24" s="92"/>
      <c r="AR24" s="92"/>
      <c r="AS24" s="92"/>
      <c r="AT24" s="93"/>
      <c r="AU24" s="94"/>
      <c r="AV24" s="1889">
        <f t="shared" si="37"/>
        <v>0</v>
      </c>
      <c r="AW24" s="1889">
        <f t="shared" si="38"/>
        <v>0</v>
      </c>
      <c r="AX24" s="188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89">
        <f t="shared" si="37"/>
        <v>0</v>
      </c>
      <c r="AW25" s="1889">
        <f t="shared" si="38"/>
        <v>0</v>
      </c>
      <c r="AX25" s="188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89">
        <f t="shared" si="37"/>
        <v>0</v>
      </c>
      <c r="AW26" s="1889">
        <f t="shared" si="38"/>
        <v>0</v>
      </c>
      <c r="AX26" s="188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89">
        <f t="shared" si="37"/>
        <v>0</v>
      </c>
      <c r="AW27" s="1889">
        <f t="shared" si="38"/>
        <v>0</v>
      </c>
      <c r="AX27" s="188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89">
        <f t="shared" si="37"/>
        <v>0</v>
      </c>
      <c r="AW28" s="1889">
        <f t="shared" si="38"/>
        <v>0</v>
      </c>
      <c r="AX28" s="188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89">
        <f t="shared" si="37"/>
        <v>0</v>
      </c>
      <c r="AW29" s="1889">
        <f t="shared" si="38"/>
        <v>0</v>
      </c>
      <c r="AX29" s="188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89">
        <f t="shared" si="37"/>
        <v>0</v>
      </c>
      <c r="AW30" s="1889">
        <f t="shared" si="38"/>
        <v>0</v>
      </c>
      <c r="AX30" s="188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89">
        <f t="shared" si="37"/>
        <v>0</v>
      </c>
      <c r="AW31" s="1889">
        <f t="shared" si="38"/>
        <v>0</v>
      </c>
      <c r="AX31" s="188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89">
        <f t="shared" si="37"/>
        <v>0</v>
      </c>
      <c r="AW32" s="1889">
        <f t="shared" si="38"/>
        <v>0</v>
      </c>
      <c r="AX32" s="188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89">
        <f t="shared" si="37"/>
        <v>0</v>
      </c>
      <c r="AW33" s="1889">
        <f t="shared" si="38"/>
        <v>0</v>
      </c>
      <c r="AX33" s="188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89">
        <f t="shared" si="37"/>
        <v>0</v>
      </c>
      <c r="AW34" s="1889">
        <f t="shared" si="38"/>
        <v>0</v>
      </c>
      <c r="AX34" s="188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89">
        <f t="shared" si="37"/>
        <v>0</v>
      </c>
      <c r="AW35" s="1889">
        <f t="shared" si="38"/>
        <v>0</v>
      </c>
      <c r="AX35" s="188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89">
        <f t="shared" si="37"/>
        <v>0</v>
      </c>
      <c r="AW36" s="1889">
        <f t="shared" si="38"/>
        <v>0</v>
      </c>
      <c r="AX36" s="188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89">
        <f t="shared" si="37"/>
        <v>0</v>
      </c>
      <c r="AW37" s="1889">
        <f t="shared" si="38"/>
        <v>0</v>
      </c>
      <c r="AX37" s="188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89">
        <f t="shared" si="37"/>
        <v>0</v>
      </c>
      <c r="AW38" s="1889">
        <f t="shared" si="38"/>
        <v>0</v>
      </c>
      <c r="AX38" s="188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89">
        <f t="shared" si="37"/>
        <v>0</v>
      </c>
      <c r="AW39" s="1889">
        <f t="shared" si="38"/>
        <v>0</v>
      </c>
      <c r="AX39" s="188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89">
        <f t="shared" si="37"/>
        <v>0</v>
      </c>
      <c r="AW40" s="1889">
        <f t="shared" si="38"/>
        <v>0</v>
      </c>
      <c r="AX40" s="188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89">
        <f t="shared" si="37"/>
        <v>0</v>
      </c>
      <c r="AW41" s="1889">
        <f t="shared" si="38"/>
        <v>0</v>
      </c>
      <c r="AX41" s="188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89">
        <f t="shared" si="37"/>
        <v>0</v>
      </c>
      <c r="AW42" s="1889">
        <f t="shared" si="38"/>
        <v>0</v>
      </c>
      <c r="AX42" s="188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89">
        <f t="shared" si="37"/>
        <v>0</v>
      </c>
      <c r="AW43" s="1889">
        <f t="shared" si="38"/>
        <v>0</v>
      </c>
      <c r="AX43" s="188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89">
        <f t="shared" si="37"/>
        <v>0</v>
      </c>
      <c r="AW44" s="1889">
        <f t="shared" si="38"/>
        <v>0</v>
      </c>
      <c r="AX44" s="188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89">
        <f t="shared" si="37"/>
        <v>0</v>
      </c>
      <c r="AW45" s="1889">
        <f t="shared" si="38"/>
        <v>0</v>
      </c>
      <c r="AX45" s="188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89">
        <f t="shared" si="37"/>
        <v>0</v>
      </c>
      <c r="AW46" s="1889">
        <f t="shared" si="38"/>
        <v>0</v>
      </c>
      <c r="AX46" s="188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89">
        <f t="shared" si="37"/>
        <v>0</v>
      </c>
      <c r="AW47" s="1889">
        <f t="shared" si="38"/>
        <v>0</v>
      </c>
      <c r="AX47" s="188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89">
        <f t="shared" si="37"/>
        <v>0</v>
      </c>
      <c r="AW48" s="1889">
        <f t="shared" si="38"/>
        <v>0</v>
      </c>
      <c r="AX48" s="188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89">
        <f t="shared" si="37"/>
        <v>0</v>
      </c>
      <c r="AW49" s="1889">
        <f t="shared" si="38"/>
        <v>0</v>
      </c>
      <c r="AX49" s="188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89">
        <f t="shared" si="37"/>
        <v>0</v>
      </c>
      <c r="AW50" s="1889">
        <f t="shared" si="38"/>
        <v>0</v>
      </c>
      <c r="AX50" s="188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89">
        <f t="shared" si="37"/>
        <v>0</v>
      </c>
      <c r="AW51" s="1889">
        <f t="shared" si="38"/>
        <v>0</v>
      </c>
      <c r="AX51" s="188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89">
        <f t="shared" si="37"/>
        <v>0</v>
      </c>
      <c r="AW52" s="1889">
        <f t="shared" si="38"/>
        <v>0</v>
      </c>
      <c r="AX52" s="188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89">
        <f t="shared" si="37"/>
        <v>0</v>
      </c>
      <c r="AW53" s="1889">
        <f t="shared" si="38"/>
        <v>0</v>
      </c>
      <c r="AX53" s="188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89">
        <f t="shared" si="37"/>
        <v>0</v>
      </c>
      <c r="AW54" s="1889">
        <f t="shared" si="38"/>
        <v>0</v>
      </c>
      <c r="AX54" s="188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89">
        <f t="shared" si="37"/>
        <v>0</v>
      </c>
      <c r="AW55" s="1889">
        <f t="shared" si="38"/>
        <v>0</v>
      </c>
      <c r="AX55" s="188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9">
        <f t="shared" si="37"/>
        <v>0</v>
      </c>
      <c r="AW56" s="1889">
        <f t="shared" si="38"/>
        <v>0</v>
      </c>
      <c r="AX56" s="188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9">
        <f t="shared" si="37"/>
        <v>0</v>
      </c>
      <c r="AW57" s="1889">
        <f t="shared" si="38"/>
        <v>0</v>
      </c>
      <c r="AX57" s="188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9">
        <f t="shared" si="37"/>
        <v>0</v>
      </c>
      <c r="AW58" s="1889">
        <f t="shared" si="38"/>
        <v>0</v>
      </c>
      <c r="AX58" s="188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9">
        <f t="shared" si="37"/>
        <v>0</v>
      </c>
      <c r="AW59" s="1889">
        <f t="shared" si="38"/>
        <v>0</v>
      </c>
      <c r="AX59" s="188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9">
        <f t="shared" si="37"/>
        <v>0</v>
      </c>
      <c r="AW60" s="1889">
        <f t="shared" si="38"/>
        <v>0</v>
      </c>
      <c r="AX60" s="188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9">
        <f t="shared" si="37"/>
        <v>0</v>
      </c>
      <c r="AW61" s="1889">
        <f t="shared" si="38"/>
        <v>0</v>
      </c>
      <c r="AX61" s="188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9">
        <f t="shared" si="37"/>
        <v>0</v>
      </c>
      <c r="AW62" s="1889">
        <f t="shared" si="38"/>
        <v>0</v>
      </c>
      <c r="AX62" s="188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9">
        <f t="shared" si="37"/>
        <v>0</v>
      </c>
      <c r="AW63" s="1889">
        <f t="shared" si="38"/>
        <v>0</v>
      </c>
      <c r="AX63" s="188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9">
        <f t="shared" si="37"/>
        <v>0</v>
      </c>
      <c r="AW64" s="1889">
        <f t="shared" si="38"/>
        <v>0</v>
      </c>
      <c r="AX64" s="188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9">
        <f t="shared" si="37"/>
        <v>0</v>
      </c>
      <c r="AW65" s="1889">
        <f t="shared" si="38"/>
        <v>0</v>
      </c>
      <c r="AX65" s="188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9">
        <f t="shared" si="37"/>
        <v>0</v>
      </c>
      <c r="AW66" s="1889">
        <f t="shared" si="38"/>
        <v>0</v>
      </c>
      <c r="AX66" s="188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9">
        <f t="shared" si="37"/>
        <v>0</v>
      </c>
      <c r="AW67" s="1889">
        <f t="shared" si="38"/>
        <v>0</v>
      </c>
      <c r="AX67" s="188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9">
        <f t="shared" si="37"/>
        <v>0</v>
      </c>
      <c r="AW68" s="1889">
        <f t="shared" si="38"/>
        <v>0</v>
      </c>
      <c r="AX68" s="188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9">
        <f t="shared" si="37"/>
        <v>0</v>
      </c>
      <c r="AW69" s="1889">
        <f t="shared" si="38"/>
        <v>0</v>
      </c>
      <c r="AX69" s="188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9">
        <f t="shared" si="37"/>
        <v>0</v>
      </c>
      <c r="AW70" s="1889">
        <f t="shared" si="38"/>
        <v>0</v>
      </c>
      <c r="AX70" s="188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9">
        <f t="shared" si="37"/>
        <v>0</v>
      </c>
      <c r="AW71" s="1889">
        <f t="shared" si="38"/>
        <v>0</v>
      </c>
      <c r="AX71" s="188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9">
        <f t="shared" si="37"/>
        <v>0</v>
      </c>
      <c r="AW72" s="1889">
        <f t="shared" si="38"/>
        <v>0</v>
      </c>
      <c r="AX72" s="188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9">
        <f t="shared" si="37"/>
        <v>0</v>
      </c>
      <c r="AW73" s="1889">
        <f t="shared" si="38"/>
        <v>0</v>
      </c>
      <c r="AX73" s="188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9">
        <f t="shared" si="37"/>
        <v>0</v>
      </c>
      <c r="AW74" s="1889">
        <f t="shared" si="38"/>
        <v>0</v>
      </c>
      <c r="AX74" s="188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9">
        <f t="shared" si="37"/>
        <v>0</v>
      </c>
      <c r="AW75" s="1889">
        <f t="shared" si="38"/>
        <v>0</v>
      </c>
      <c r="AX75" s="188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9">
        <f t="shared" si="37"/>
        <v>0</v>
      </c>
      <c r="AW76" s="1889">
        <f t="shared" si="38"/>
        <v>0</v>
      </c>
      <c r="AX76" s="188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9">
        <f t="shared" si="37"/>
        <v>0</v>
      </c>
      <c r="AW77" s="1889">
        <f t="shared" si="38"/>
        <v>0</v>
      </c>
      <c r="AX77" s="188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9">
        <f t="shared" si="37"/>
        <v>0</v>
      </c>
      <c r="AW78" s="1889">
        <f t="shared" si="38"/>
        <v>0</v>
      </c>
      <c r="AX78" s="188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9">
        <f t="shared" si="37"/>
        <v>0</v>
      </c>
      <c r="AW79" s="1889">
        <f t="shared" si="38"/>
        <v>0</v>
      </c>
      <c r="AX79" s="188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9">
        <f t="shared" si="37"/>
        <v>0</v>
      </c>
      <c r="AW80" s="1889">
        <f t="shared" si="38"/>
        <v>0</v>
      </c>
      <c r="AX80" s="188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9">
        <f t="shared" si="37"/>
        <v>0</v>
      </c>
      <c r="AW81" s="1889">
        <f t="shared" si="38"/>
        <v>0</v>
      </c>
      <c r="AX81" s="188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9">
        <f t="shared" si="37"/>
        <v>0</v>
      </c>
      <c r="AW82" s="1889">
        <f t="shared" si="38"/>
        <v>0</v>
      </c>
      <c r="AX82" s="188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9">
        <f t="shared" si="37"/>
        <v>0</v>
      </c>
      <c r="AW83" s="1889">
        <f t="shared" si="38"/>
        <v>0</v>
      </c>
      <c r="AX83" s="188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9">
        <f t="shared" si="37"/>
        <v>0</v>
      </c>
      <c r="AW84" s="1889">
        <f t="shared" si="38"/>
        <v>0</v>
      </c>
      <c r="AX84" s="188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9">
        <f t="shared" si="37"/>
        <v>0</v>
      </c>
      <c r="AW85" s="1889">
        <f t="shared" si="38"/>
        <v>0</v>
      </c>
      <c r="AX85" s="188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9">
        <f t="shared" si="37"/>
        <v>0</v>
      </c>
      <c r="AW86" s="1889">
        <f t="shared" si="38"/>
        <v>0</v>
      </c>
      <c r="AX86" s="188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9">
        <f t="shared" si="37"/>
        <v>0</v>
      </c>
      <c r="AW87" s="1889">
        <f t="shared" si="38"/>
        <v>0</v>
      </c>
      <c r="AX87" s="188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9">
        <f t="shared" si="37"/>
        <v>0</v>
      </c>
      <c r="AW88" s="1889">
        <f t="shared" si="38"/>
        <v>0</v>
      </c>
      <c r="AX88" s="188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9">
        <f t="shared" si="37"/>
        <v>0</v>
      </c>
      <c r="AW89" s="1889">
        <f t="shared" si="38"/>
        <v>0</v>
      </c>
      <c r="AX89" s="188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9">
        <f t="shared" si="37"/>
        <v>0</v>
      </c>
      <c r="AW90" s="1889">
        <f t="shared" si="38"/>
        <v>0</v>
      </c>
      <c r="AX90" s="188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9">
        <f t="shared" si="37"/>
        <v>0</v>
      </c>
      <c r="AW91" s="1889">
        <f t="shared" si="38"/>
        <v>0</v>
      </c>
      <c r="AX91" s="188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9">
        <f t="shared" si="37"/>
        <v>0</v>
      </c>
      <c r="AW92" s="1889">
        <f t="shared" si="38"/>
        <v>0</v>
      </c>
      <c r="AX92" s="188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9">
        <f t="shared" si="37"/>
        <v>0</v>
      </c>
      <c r="AW93" s="1889">
        <f t="shared" si="38"/>
        <v>0</v>
      </c>
      <c r="AX93" s="188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9">
        <f t="shared" si="37"/>
        <v>0</v>
      </c>
      <c r="AW94" s="1889">
        <f t="shared" si="38"/>
        <v>0</v>
      </c>
      <c r="AX94" s="188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9">
        <f t="shared" si="37"/>
        <v>0</v>
      </c>
      <c r="AW95" s="1889">
        <f t="shared" si="38"/>
        <v>0</v>
      </c>
      <c r="AX95" s="188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9">
        <f t="shared" si="37"/>
        <v>0</v>
      </c>
      <c r="AW96" s="1889">
        <f t="shared" si="38"/>
        <v>0</v>
      </c>
      <c r="AX96" s="188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9">
        <f t="shared" si="37"/>
        <v>0</v>
      </c>
      <c r="AW97" s="1889">
        <f t="shared" si="38"/>
        <v>0</v>
      </c>
      <c r="AX97" s="188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9">
        <f t="shared" si="37"/>
        <v>0</v>
      </c>
      <c r="AW98" s="1889">
        <f t="shared" si="38"/>
        <v>0</v>
      </c>
      <c r="AX98" s="188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9">
        <f t="shared" si="37"/>
        <v>0</v>
      </c>
      <c r="AW99" s="1889">
        <f t="shared" si="38"/>
        <v>0</v>
      </c>
      <c r="AX99" s="188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9">
        <f t="shared" si="37"/>
        <v>0</v>
      </c>
      <c r="AW100" s="1889">
        <f t="shared" si="38"/>
        <v>0</v>
      </c>
      <c r="AX100" s="188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9">
        <f t="shared" si="37"/>
        <v>0</v>
      </c>
      <c r="AW101" s="1889">
        <f t="shared" si="38"/>
        <v>0</v>
      </c>
      <c r="AX101" s="188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9">
        <f t="shared" si="37"/>
        <v>0</v>
      </c>
      <c r="AW102" s="1889">
        <f t="shared" si="38"/>
        <v>0</v>
      </c>
      <c r="AX102" s="188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9">
        <f t="shared" si="37"/>
        <v>0</v>
      </c>
      <c r="AW103" s="1889">
        <f t="shared" si="38"/>
        <v>0</v>
      </c>
      <c r="AX103" s="188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9">
        <f t="shared" si="37"/>
        <v>0</v>
      </c>
      <c r="AW104" s="1889">
        <f t="shared" si="38"/>
        <v>0</v>
      </c>
      <c r="AX104" s="188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9">
        <f t="shared" si="37"/>
        <v>0</v>
      </c>
      <c r="AW105" s="1889">
        <f t="shared" si="38"/>
        <v>0</v>
      </c>
      <c r="AX105" s="188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9">
        <f t="shared" si="37"/>
        <v>0</v>
      </c>
      <c r="AW106" s="1889">
        <f t="shared" si="38"/>
        <v>0</v>
      </c>
      <c r="AX106" s="188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9">
        <f t="shared" si="37"/>
        <v>0</v>
      </c>
      <c r="AW107" s="1889">
        <f t="shared" si="38"/>
        <v>0</v>
      </c>
      <c r="AX107" s="188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9">
        <f t="shared" si="37"/>
        <v>0</v>
      </c>
      <c r="AW108" s="1889">
        <f t="shared" si="38"/>
        <v>0</v>
      </c>
      <c r="AX108" s="188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9">
        <f t="shared" si="37"/>
        <v>0</v>
      </c>
      <c r="AW109" s="1889">
        <f t="shared" si="38"/>
        <v>0</v>
      </c>
      <c r="AX109" s="188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9">
        <f t="shared" si="37"/>
        <v>0</v>
      </c>
      <c r="AW110" s="1889">
        <f t="shared" si="38"/>
        <v>0</v>
      </c>
      <c r="AX110" s="188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9">
        <f t="shared" si="37"/>
        <v>0</v>
      </c>
      <c r="AW111" s="1889">
        <f t="shared" si="38"/>
        <v>0</v>
      </c>
      <c r="AX111" s="188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9">
        <f t="shared" si="37"/>
        <v>0</v>
      </c>
      <c r="AW112" s="1889">
        <f t="shared" si="38"/>
        <v>0</v>
      </c>
      <c r="AX112" s="188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6"/>
      <c r="AO113" s="92"/>
      <c r="AP113" s="92"/>
      <c r="AQ113" s="92"/>
      <c r="AR113" s="92"/>
      <c r="AS113" s="92"/>
      <c r="AT113" s="93"/>
      <c r="AU113" s="94"/>
      <c r="AV113" s="1889">
        <f t="shared" ref="AV113:AV144" si="88">A113</f>
        <v>0</v>
      </c>
      <c r="AW113" s="1889">
        <f t="shared" ref="AW113:AW144" si="89">B113</f>
        <v>0</v>
      </c>
      <c r="AX113" s="188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3"/>
      <c r="AG114" s="92"/>
      <c r="AH114" s="92"/>
      <c r="AI114" s="92"/>
      <c r="AJ114" s="92"/>
      <c r="AK114" s="92"/>
      <c r="AL114" s="1316"/>
      <c r="AM114" s="92"/>
      <c r="AN114" s="1316"/>
      <c r="AO114" s="92"/>
      <c r="AP114" s="92"/>
      <c r="AQ114" s="92"/>
      <c r="AR114" s="92"/>
      <c r="AS114" s="92"/>
      <c r="AT114" s="93"/>
      <c r="AU114" s="94"/>
      <c r="AV114" s="1889">
        <f t="shared" si="88"/>
        <v>0</v>
      </c>
      <c r="AW114" s="1889">
        <f t="shared" si="89"/>
        <v>0</v>
      </c>
      <c r="AX114" s="188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6"/>
      <c r="AM115" s="92"/>
      <c r="AN115" s="1316"/>
      <c r="AO115" s="92"/>
      <c r="AP115" s="92"/>
      <c r="AQ115" s="92"/>
      <c r="AR115" s="92"/>
      <c r="AS115" s="92"/>
      <c r="AT115" s="93"/>
      <c r="AU115" s="94"/>
      <c r="AV115" s="1889">
        <f t="shared" si="88"/>
        <v>0</v>
      </c>
      <c r="AW115" s="1889">
        <f t="shared" si="89"/>
        <v>0</v>
      </c>
      <c r="AX115" s="188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6"/>
      <c r="AO116" s="92"/>
      <c r="AP116" s="92"/>
      <c r="AQ116" s="92"/>
      <c r="AR116" s="92"/>
      <c r="AS116" s="92"/>
      <c r="AT116" s="93"/>
      <c r="AU116" s="94"/>
      <c r="AV116" s="1889">
        <f t="shared" si="88"/>
        <v>0</v>
      </c>
      <c r="AW116" s="1889">
        <f t="shared" si="89"/>
        <v>0</v>
      </c>
      <c r="AX116" s="188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89">
        <f t="shared" si="88"/>
        <v>0</v>
      </c>
      <c r="AW117" s="1889">
        <f t="shared" si="89"/>
        <v>0</v>
      </c>
      <c r="AX117" s="188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89">
        <f t="shared" si="88"/>
        <v>0</v>
      </c>
      <c r="AW118" s="1889">
        <f t="shared" si="89"/>
        <v>0</v>
      </c>
      <c r="AX118" s="188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89">
        <f t="shared" si="88"/>
        <v>0</v>
      </c>
      <c r="AW119" s="1889">
        <f t="shared" si="89"/>
        <v>0</v>
      </c>
      <c r="AX119" s="188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89">
        <f t="shared" si="88"/>
        <v>0</v>
      </c>
      <c r="AW120" s="1889">
        <f t="shared" si="89"/>
        <v>0</v>
      </c>
      <c r="AX120" s="188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89">
        <f t="shared" si="88"/>
        <v>0</v>
      </c>
      <c r="AW121" s="1889">
        <f t="shared" si="89"/>
        <v>0</v>
      </c>
      <c r="AX121" s="188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89">
        <f t="shared" si="88"/>
        <v>0</v>
      </c>
      <c r="AW122" s="1889">
        <f t="shared" si="89"/>
        <v>0</v>
      </c>
      <c r="AX122" s="188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89">
        <f t="shared" si="88"/>
        <v>0</v>
      </c>
      <c r="AW123" s="1889">
        <f t="shared" si="89"/>
        <v>0</v>
      </c>
      <c r="AX123" s="188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89">
        <f t="shared" si="88"/>
        <v>0</v>
      </c>
      <c r="AW124" s="1889">
        <f t="shared" si="89"/>
        <v>0</v>
      </c>
      <c r="AX124" s="188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89">
        <f t="shared" si="88"/>
        <v>0</v>
      </c>
      <c r="AW125" s="1889">
        <f t="shared" si="89"/>
        <v>0</v>
      </c>
      <c r="AX125" s="188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89">
        <f t="shared" si="88"/>
        <v>0</v>
      </c>
      <c r="AW126" s="1889">
        <f t="shared" si="89"/>
        <v>0</v>
      </c>
      <c r="AX126" s="188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89">
        <f t="shared" si="88"/>
        <v>0</v>
      </c>
      <c r="AW127" s="1889">
        <f t="shared" si="89"/>
        <v>0</v>
      </c>
      <c r="AX127" s="188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89">
        <f t="shared" si="88"/>
        <v>0</v>
      </c>
      <c r="AW128" s="1889">
        <f t="shared" si="89"/>
        <v>0</v>
      </c>
      <c r="AX128" s="188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89">
        <f t="shared" si="88"/>
        <v>0</v>
      </c>
      <c r="AW129" s="1889">
        <f t="shared" si="89"/>
        <v>0</v>
      </c>
      <c r="AX129" s="188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89">
        <f t="shared" si="88"/>
        <v>0</v>
      </c>
      <c r="AW130" s="1889">
        <f t="shared" si="89"/>
        <v>0</v>
      </c>
      <c r="AX130" s="188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89">
        <f t="shared" si="88"/>
        <v>0</v>
      </c>
      <c r="AW131" s="1889">
        <f t="shared" si="89"/>
        <v>0</v>
      </c>
      <c r="AX131" s="188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89">
        <f t="shared" si="88"/>
        <v>0</v>
      </c>
      <c r="AW132" s="1889">
        <f t="shared" si="89"/>
        <v>0</v>
      </c>
      <c r="AX132" s="188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89">
        <f t="shared" si="88"/>
        <v>0</v>
      </c>
      <c r="AW133" s="1889">
        <f t="shared" si="89"/>
        <v>0</v>
      </c>
      <c r="AX133" s="188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89">
        <f t="shared" si="88"/>
        <v>0</v>
      </c>
      <c r="AW134" s="1889">
        <f t="shared" si="89"/>
        <v>0</v>
      </c>
      <c r="AX134" s="188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89">
        <f t="shared" si="88"/>
        <v>0</v>
      </c>
      <c r="AW135" s="1889">
        <f t="shared" si="89"/>
        <v>0</v>
      </c>
      <c r="AX135" s="188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89">
        <f t="shared" si="88"/>
        <v>0</v>
      </c>
      <c r="AW136" s="1889">
        <f t="shared" si="89"/>
        <v>0</v>
      </c>
      <c r="AX136" s="188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89">
        <f t="shared" si="88"/>
        <v>0</v>
      </c>
      <c r="AW137" s="1889">
        <f t="shared" si="89"/>
        <v>0</v>
      </c>
      <c r="AX137" s="188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89">
        <f t="shared" si="88"/>
        <v>0</v>
      </c>
      <c r="AW138" s="1889">
        <f t="shared" si="89"/>
        <v>0</v>
      </c>
      <c r="AX138" s="188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89">
        <f t="shared" si="88"/>
        <v>0</v>
      </c>
      <c r="AW139" s="1889">
        <f t="shared" si="89"/>
        <v>0</v>
      </c>
      <c r="AX139" s="188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89">
        <f t="shared" si="88"/>
        <v>0</v>
      </c>
      <c r="AW140" s="1889">
        <f t="shared" si="89"/>
        <v>0</v>
      </c>
      <c r="AX140" s="188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89">
        <f t="shared" si="88"/>
        <v>0</v>
      </c>
      <c r="AW141" s="1889">
        <f t="shared" si="89"/>
        <v>0</v>
      </c>
      <c r="AX141" s="188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89">
        <f t="shared" si="88"/>
        <v>0</v>
      </c>
      <c r="AW142" s="1889">
        <f t="shared" si="89"/>
        <v>0</v>
      </c>
      <c r="AX142" s="188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89">
        <f t="shared" si="88"/>
        <v>0</v>
      </c>
      <c r="AW143" s="1889">
        <f t="shared" si="89"/>
        <v>0</v>
      </c>
      <c r="AX143" s="188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89">
        <f t="shared" si="88"/>
        <v>0</v>
      </c>
      <c r="AW144" s="1889">
        <f t="shared" si="89"/>
        <v>0</v>
      </c>
      <c r="AX144" s="188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89">
        <f t="shared" ref="AV145:AV176" si="117">A145</f>
        <v>0</v>
      </c>
      <c r="AW145" s="1889">
        <f t="shared" ref="AW145:AW176" si="118">B145</f>
        <v>0</v>
      </c>
      <c r="AX145" s="188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89">
        <f t="shared" si="117"/>
        <v>0</v>
      </c>
      <c r="AW146" s="1889">
        <f t="shared" si="118"/>
        <v>0</v>
      </c>
      <c r="AX146" s="188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89">
        <f t="shared" si="117"/>
        <v>0</v>
      </c>
      <c r="AW147" s="1889">
        <f t="shared" si="118"/>
        <v>0</v>
      </c>
      <c r="AX147" s="188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9">
        <f t="shared" si="117"/>
        <v>0</v>
      </c>
      <c r="AW148" s="1889">
        <f t="shared" si="118"/>
        <v>0</v>
      </c>
      <c r="AX148" s="188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9">
        <f t="shared" si="117"/>
        <v>0</v>
      </c>
      <c r="AW149" s="1889">
        <f t="shared" si="118"/>
        <v>0</v>
      </c>
      <c r="AX149" s="188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9">
        <f t="shared" si="117"/>
        <v>0</v>
      </c>
      <c r="AW150" s="1889">
        <f t="shared" si="118"/>
        <v>0</v>
      </c>
      <c r="AX150" s="188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9">
        <f t="shared" si="117"/>
        <v>0</v>
      </c>
      <c r="AW151" s="1889">
        <f t="shared" si="118"/>
        <v>0</v>
      </c>
      <c r="AX151" s="188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9">
        <f t="shared" si="117"/>
        <v>0</v>
      </c>
      <c r="AW152" s="1889">
        <f t="shared" si="118"/>
        <v>0</v>
      </c>
      <c r="AX152" s="188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9">
        <f t="shared" si="117"/>
        <v>0</v>
      </c>
      <c r="AW153" s="1889">
        <f t="shared" si="118"/>
        <v>0</v>
      </c>
      <c r="AX153" s="188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9">
        <f t="shared" si="117"/>
        <v>0</v>
      </c>
      <c r="AW154" s="1889">
        <f t="shared" si="118"/>
        <v>0</v>
      </c>
      <c r="AX154" s="188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9">
        <f t="shared" si="117"/>
        <v>0</v>
      </c>
      <c r="AW155" s="1889">
        <f t="shared" si="118"/>
        <v>0</v>
      </c>
      <c r="AX155" s="188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9">
        <f t="shared" si="117"/>
        <v>0</v>
      </c>
      <c r="AW156" s="1889">
        <f t="shared" si="118"/>
        <v>0</v>
      </c>
      <c r="AX156" s="188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9">
        <f t="shared" si="117"/>
        <v>0</v>
      </c>
      <c r="AW157" s="1889">
        <f t="shared" si="118"/>
        <v>0</v>
      </c>
      <c r="AX157" s="188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9">
        <f t="shared" si="117"/>
        <v>0</v>
      </c>
      <c r="AW158" s="1889">
        <f t="shared" si="118"/>
        <v>0</v>
      </c>
      <c r="AX158" s="188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9">
        <f t="shared" si="117"/>
        <v>0</v>
      </c>
      <c r="AW159" s="1889">
        <f t="shared" si="118"/>
        <v>0</v>
      </c>
      <c r="AX159" s="188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9">
        <f t="shared" si="117"/>
        <v>0</v>
      </c>
      <c r="AW160" s="1889">
        <f t="shared" si="118"/>
        <v>0</v>
      </c>
      <c r="AX160" s="188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9">
        <f t="shared" si="117"/>
        <v>0</v>
      </c>
      <c r="AW161" s="1889">
        <f t="shared" si="118"/>
        <v>0</v>
      </c>
      <c r="AX161" s="188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9">
        <f t="shared" si="117"/>
        <v>0</v>
      </c>
      <c r="AW162" s="1889">
        <f t="shared" si="118"/>
        <v>0</v>
      </c>
      <c r="AX162" s="188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9">
        <f t="shared" si="117"/>
        <v>0</v>
      </c>
      <c r="AW163" s="1889">
        <f t="shared" si="118"/>
        <v>0</v>
      </c>
      <c r="AX163" s="188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9">
        <f t="shared" si="117"/>
        <v>0</v>
      </c>
      <c r="AW164" s="1889">
        <f t="shared" si="118"/>
        <v>0</v>
      </c>
      <c r="AX164" s="188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9">
        <f t="shared" si="117"/>
        <v>0</v>
      </c>
      <c r="AW165" s="1889">
        <f t="shared" si="118"/>
        <v>0</v>
      </c>
      <c r="AX165" s="188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9">
        <f t="shared" si="117"/>
        <v>0</v>
      </c>
      <c r="AW166" s="1889">
        <f t="shared" si="118"/>
        <v>0</v>
      </c>
      <c r="AX166" s="188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9">
        <f t="shared" si="117"/>
        <v>0</v>
      </c>
      <c r="AW167" s="1889">
        <f t="shared" si="118"/>
        <v>0</v>
      </c>
      <c r="AX167" s="188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9">
        <f t="shared" si="117"/>
        <v>0</v>
      </c>
      <c r="AW168" s="1889">
        <f t="shared" si="118"/>
        <v>0</v>
      </c>
      <c r="AX168" s="188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9">
        <f t="shared" si="117"/>
        <v>0</v>
      </c>
      <c r="AW169" s="1889">
        <f t="shared" si="118"/>
        <v>0</v>
      </c>
      <c r="AX169" s="188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9">
        <f t="shared" si="117"/>
        <v>0</v>
      </c>
      <c r="AW170" s="1889">
        <f t="shared" si="118"/>
        <v>0</v>
      </c>
      <c r="AX170" s="188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9">
        <f t="shared" si="117"/>
        <v>0</v>
      </c>
      <c r="AW171" s="1889">
        <f t="shared" si="118"/>
        <v>0</v>
      </c>
      <c r="AX171" s="188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9">
        <f t="shared" si="117"/>
        <v>0</v>
      </c>
      <c r="AW172" s="1889">
        <f t="shared" si="118"/>
        <v>0</v>
      </c>
      <c r="AX172" s="188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9">
        <f t="shared" si="117"/>
        <v>0</v>
      </c>
      <c r="AW173" s="1889">
        <f t="shared" si="118"/>
        <v>0</v>
      </c>
      <c r="AX173" s="188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9">
        <f t="shared" si="117"/>
        <v>0</v>
      </c>
      <c r="AW174" s="1889">
        <f t="shared" si="118"/>
        <v>0</v>
      </c>
      <c r="AX174" s="188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9">
        <f t="shared" si="117"/>
        <v>0</v>
      </c>
      <c r="AW175" s="1889">
        <f t="shared" si="118"/>
        <v>0</v>
      </c>
      <c r="AX175" s="188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9">
        <f t="shared" si="117"/>
        <v>0</v>
      </c>
      <c r="AW176" s="1889">
        <f t="shared" si="118"/>
        <v>0</v>
      </c>
      <c r="AX176" s="188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9">
        <f t="shared" ref="AV177:AV204" si="146">A177</f>
        <v>0</v>
      </c>
      <c r="AW177" s="1889">
        <f t="shared" ref="AW177:AW204" si="147">B177</f>
        <v>0</v>
      </c>
      <c r="AX177" s="188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9">
        <f t="shared" si="146"/>
        <v>0</v>
      </c>
      <c r="AW178" s="1889">
        <f t="shared" si="147"/>
        <v>0</v>
      </c>
      <c r="AX178" s="188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9">
        <f t="shared" si="146"/>
        <v>0</v>
      </c>
      <c r="AW179" s="1889">
        <f t="shared" si="147"/>
        <v>0</v>
      </c>
      <c r="AX179" s="188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9">
        <f t="shared" si="146"/>
        <v>0</v>
      </c>
      <c r="AW180" s="1889">
        <f t="shared" si="147"/>
        <v>0</v>
      </c>
      <c r="AX180" s="188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9">
        <f t="shared" si="146"/>
        <v>0</v>
      </c>
      <c r="AW181" s="1889">
        <f t="shared" si="147"/>
        <v>0</v>
      </c>
      <c r="AX181" s="188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9">
        <f t="shared" si="146"/>
        <v>0</v>
      </c>
      <c r="AW182" s="1889">
        <f t="shared" si="147"/>
        <v>0</v>
      </c>
      <c r="AX182" s="188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9">
        <f t="shared" si="146"/>
        <v>0</v>
      </c>
      <c r="AW183" s="1889">
        <f t="shared" si="147"/>
        <v>0</v>
      </c>
      <c r="AX183" s="188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9">
        <f t="shared" si="146"/>
        <v>0</v>
      </c>
      <c r="AW184" s="1889">
        <f t="shared" si="147"/>
        <v>0</v>
      </c>
      <c r="AX184" s="188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9">
        <f t="shared" si="146"/>
        <v>0</v>
      </c>
      <c r="AW185" s="1889">
        <f t="shared" si="147"/>
        <v>0</v>
      </c>
      <c r="AX185" s="188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9">
        <f t="shared" si="146"/>
        <v>0</v>
      </c>
      <c r="AW186" s="1889">
        <f t="shared" si="147"/>
        <v>0</v>
      </c>
      <c r="AX186" s="188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9">
        <f t="shared" si="146"/>
        <v>0</v>
      </c>
      <c r="AW187" s="1889">
        <f t="shared" si="147"/>
        <v>0</v>
      </c>
      <c r="AX187" s="188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9">
        <f t="shared" si="146"/>
        <v>0</v>
      </c>
      <c r="AW188" s="1889">
        <f t="shared" si="147"/>
        <v>0</v>
      </c>
      <c r="AX188" s="188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9">
        <f t="shared" si="146"/>
        <v>0</v>
      </c>
      <c r="AW189" s="1889">
        <f t="shared" si="147"/>
        <v>0</v>
      </c>
      <c r="AX189" s="188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9">
        <f t="shared" si="146"/>
        <v>0</v>
      </c>
      <c r="AW190" s="1889">
        <f t="shared" si="147"/>
        <v>0</v>
      </c>
      <c r="AX190" s="188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9">
        <f t="shared" si="146"/>
        <v>0</v>
      </c>
      <c r="AW191" s="1889">
        <f t="shared" si="147"/>
        <v>0</v>
      </c>
      <c r="AX191" s="188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9">
        <f t="shared" si="146"/>
        <v>0</v>
      </c>
      <c r="AW192" s="1889">
        <f t="shared" si="147"/>
        <v>0</v>
      </c>
      <c r="AX192" s="188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9">
        <f t="shared" si="146"/>
        <v>0</v>
      </c>
      <c r="AW193" s="1889">
        <f t="shared" si="147"/>
        <v>0</v>
      </c>
      <c r="AX193" s="188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9">
        <f t="shared" si="146"/>
        <v>0</v>
      </c>
      <c r="AW194" s="1889">
        <f t="shared" si="147"/>
        <v>0</v>
      </c>
      <c r="AX194" s="188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9">
        <f t="shared" si="146"/>
        <v>0</v>
      </c>
      <c r="AW195" s="1889">
        <f t="shared" si="147"/>
        <v>0</v>
      </c>
      <c r="AX195" s="188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9">
        <f t="shared" si="146"/>
        <v>0</v>
      </c>
      <c r="AW196" s="1889">
        <f t="shared" si="147"/>
        <v>0</v>
      </c>
      <c r="AX196" s="188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9">
        <f t="shared" si="146"/>
        <v>0</v>
      </c>
      <c r="AW197" s="1889">
        <f t="shared" si="147"/>
        <v>0</v>
      </c>
      <c r="AX197" s="188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9">
        <f t="shared" si="146"/>
        <v>0</v>
      </c>
      <c r="AW198" s="1889">
        <f t="shared" si="147"/>
        <v>0</v>
      </c>
      <c r="AX198" s="188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9">
        <f t="shared" si="146"/>
        <v>0</v>
      </c>
      <c r="AW199" s="1889">
        <f t="shared" si="147"/>
        <v>0</v>
      </c>
      <c r="AX199" s="188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9">
        <f t="shared" si="146"/>
        <v>0</v>
      </c>
      <c r="AW200" s="1889">
        <f t="shared" si="147"/>
        <v>0</v>
      </c>
      <c r="AX200" s="188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9">
        <f t="shared" si="146"/>
        <v>0</v>
      </c>
      <c r="AW201" s="1889">
        <f t="shared" si="147"/>
        <v>0</v>
      </c>
      <c r="AX201" s="188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9">
        <f t="shared" si="146"/>
        <v>0</v>
      </c>
      <c r="AW202" s="1889">
        <f t="shared" si="147"/>
        <v>0</v>
      </c>
      <c r="AX202" s="188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9">
        <f t="shared" si="146"/>
        <v>0</v>
      </c>
      <c r="AW203" s="1889">
        <f t="shared" si="147"/>
        <v>0</v>
      </c>
      <c r="AX203" s="188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9">
        <f t="shared" si="146"/>
        <v>0</v>
      </c>
      <c r="AW204" s="1889">
        <f t="shared" si="147"/>
        <v>0</v>
      </c>
      <c r="AX204" s="188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6"/>
      <c r="AO205" s="92"/>
      <c r="AP205" s="92"/>
      <c r="AQ205" s="92"/>
      <c r="AR205" s="92"/>
      <c r="AS205" s="92"/>
      <c r="AT205" s="93"/>
      <c r="AU205" s="94"/>
      <c r="AV205" s="1889">
        <f t="shared" ref="AV205:AV296" si="153">A205</f>
        <v>0</v>
      </c>
      <c r="AW205" s="1889">
        <f t="shared" ref="AW205:AW296" si="154">B205</f>
        <v>0</v>
      </c>
      <c r="AX205" s="188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3"/>
      <c r="AG206" s="92"/>
      <c r="AH206" s="92"/>
      <c r="AI206" s="92"/>
      <c r="AJ206" s="92"/>
      <c r="AK206" s="92"/>
      <c r="AL206" s="1316"/>
      <c r="AM206" s="92"/>
      <c r="AN206" s="1316"/>
      <c r="AO206" s="92"/>
      <c r="AP206" s="92"/>
      <c r="AQ206" s="92"/>
      <c r="AR206" s="92"/>
      <c r="AS206" s="92"/>
      <c r="AT206" s="93"/>
      <c r="AU206" s="94"/>
      <c r="AV206" s="1889">
        <f t="shared" si="153"/>
        <v>0</v>
      </c>
      <c r="AW206" s="1889">
        <f t="shared" si="154"/>
        <v>0</v>
      </c>
      <c r="AX206" s="188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6"/>
      <c r="AM207" s="92"/>
      <c r="AN207" s="1316"/>
      <c r="AO207" s="92"/>
      <c r="AP207" s="92"/>
      <c r="AQ207" s="92"/>
      <c r="AR207" s="92"/>
      <c r="AS207" s="92"/>
      <c r="AT207" s="93"/>
      <c r="AU207" s="94"/>
      <c r="AV207" s="1889">
        <f t="shared" si="153"/>
        <v>0</v>
      </c>
      <c r="AW207" s="1889">
        <f t="shared" si="154"/>
        <v>0</v>
      </c>
      <c r="AX207" s="188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6"/>
      <c r="AO208" s="92"/>
      <c r="AP208" s="92"/>
      <c r="AQ208" s="92"/>
      <c r="AR208" s="92"/>
      <c r="AS208" s="92"/>
      <c r="AT208" s="93"/>
      <c r="AU208" s="94"/>
      <c r="AV208" s="1889">
        <f t="shared" si="153"/>
        <v>0</v>
      </c>
      <c r="AW208" s="1889">
        <f t="shared" si="154"/>
        <v>0</v>
      </c>
      <c r="AX208" s="188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89">
        <f t="shared" si="153"/>
        <v>0</v>
      </c>
      <c r="AW209" s="1889">
        <f t="shared" si="154"/>
        <v>0</v>
      </c>
      <c r="AX209" s="188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89">
        <f t="shared" si="153"/>
        <v>0</v>
      </c>
      <c r="AW210" s="1889">
        <f t="shared" si="154"/>
        <v>0</v>
      </c>
      <c r="AX210" s="188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89">
        <f t="shared" si="153"/>
        <v>0</v>
      </c>
      <c r="AW211" s="1889">
        <f t="shared" si="154"/>
        <v>0</v>
      </c>
      <c r="AX211" s="188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89">
        <f t="shared" si="153"/>
        <v>0</v>
      </c>
      <c r="AW212" s="1889">
        <f t="shared" si="154"/>
        <v>0</v>
      </c>
      <c r="AX212" s="188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89">
        <f t="shared" si="153"/>
        <v>0</v>
      </c>
      <c r="AW213" s="1889">
        <f t="shared" si="154"/>
        <v>0</v>
      </c>
      <c r="AX213" s="188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89">
        <f t="shared" si="153"/>
        <v>0</v>
      </c>
      <c r="AW214" s="1889">
        <f t="shared" si="154"/>
        <v>0</v>
      </c>
      <c r="AX214" s="188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89">
        <f t="shared" si="153"/>
        <v>0</v>
      </c>
      <c r="AW215" s="1889">
        <f t="shared" si="154"/>
        <v>0</v>
      </c>
      <c r="AX215" s="188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89">
        <f t="shared" si="153"/>
        <v>0</v>
      </c>
      <c r="AW216" s="1889">
        <f t="shared" si="154"/>
        <v>0</v>
      </c>
      <c r="AX216" s="188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89">
        <f t="shared" si="153"/>
        <v>0</v>
      </c>
      <c r="AW217" s="1889">
        <f t="shared" si="154"/>
        <v>0</v>
      </c>
      <c r="AX217" s="188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89">
        <f t="shared" si="153"/>
        <v>0</v>
      </c>
      <c r="AW218" s="1889">
        <f t="shared" si="154"/>
        <v>0</v>
      </c>
      <c r="AX218" s="188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89">
        <f t="shared" si="153"/>
        <v>0</v>
      </c>
      <c r="AW219" s="1889">
        <f t="shared" si="154"/>
        <v>0</v>
      </c>
      <c r="AX219" s="188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89">
        <f t="shared" si="153"/>
        <v>0</v>
      </c>
      <c r="AW220" s="1889">
        <f t="shared" si="154"/>
        <v>0</v>
      </c>
      <c r="AX220" s="188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89">
        <f t="shared" si="153"/>
        <v>0</v>
      </c>
      <c r="AW221" s="1889">
        <f t="shared" si="154"/>
        <v>0</v>
      </c>
      <c r="AX221" s="188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89">
        <f t="shared" si="153"/>
        <v>0</v>
      </c>
      <c r="AW222" s="1889">
        <f t="shared" si="154"/>
        <v>0</v>
      </c>
      <c r="AX222" s="188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89">
        <f t="shared" si="153"/>
        <v>0</v>
      </c>
      <c r="AW223" s="1889">
        <f t="shared" si="154"/>
        <v>0</v>
      </c>
      <c r="AX223" s="188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89">
        <f t="shared" si="153"/>
        <v>0</v>
      </c>
      <c r="AW224" s="1889">
        <f t="shared" si="154"/>
        <v>0</v>
      </c>
      <c r="AX224" s="188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89">
        <f t="shared" si="153"/>
        <v>0</v>
      </c>
      <c r="AW225" s="1889">
        <f t="shared" si="154"/>
        <v>0</v>
      </c>
      <c r="AX225" s="188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89">
        <f t="shared" si="153"/>
        <v>0</v>
      </c>
      <c r="AW226" s="1889">
        <f t="shared" si="154"/>
        <v>0</v>
      </c>
      <c r="AX226" s="188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89">
        <f t="shared" si="153"/>
        <v>0</v>
      </c>
      <c r="AW227" s="1889">
        <f t="shared" si="154"/>
        <v>0</v>
      </c>
      <c r="AX227" s="188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89">
        <f t="shared" si="153"/>
        <v>0</v>
      </c>
      <c r="AW228" s="1889">
        <f t="shared" si="154"/>
        <v>0</v>
      </c>
      <c r="AX228" s="188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89">
        <f t="shared" si="153"/>
        <v>0</v>
      </c>
      <c r="AW229" s="1889">
        <f t="shared" si="154"/>
        <v>0</v>
      </c>
      <c r="AX229" s="188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89">
        <f t="shared" si="153"/>
        <v>0</v>
      </c>
      <c r="AW230" s="1889">
        <f t="shared" si="154"/>
        <v>0</v>
      </c>
      <c r="AX230" s="188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89">
        <f t="shared" si="153"/>
        <v>0</v>
      </c>
      <c r="AW231" s="1889">
        <f t="shared" si="154"/>
        <v>0</v>
      </c>
      <c r="AX231" s="188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89">
        <f t="shared" si="153"/>
        <v>0</v>
      </c>
      <c r="AW232" s="1889">
        <f t="shared" si="154"/>
        <v>0</v>
      </c>
      <c r="AX232" s="188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89">
        <f t="shared" si="153"/>
        <v>0</v>
      </c>
      <c r="AW233" s="1889">
        <f t="shared" si="154"/>
        <v>0</v>
      </c>
      <c r="AX233" s="188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89">
        <f t="shared" si="153"/>
        <v>0</v>
      </c>
      <c r="AW234" s="1889">
        <f t="shared" si="154"/>
        <v>0</v>
      </c>
      <c r="AX234" s="188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89">
        <f t="shared" si="153"/>
        <v>0</v>
      </c>
      <c r="AW235" s="1889">
        <f t="shared" si="154"/>
        <v>0</v>
      </c>
      <c r="AX235" s="188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89">
        <f t="shared" si="153"/>
        <v>0</v>
      </c>
      <c r="AW236" s="1889">
        <f t="shared" si="154"/>
        <v>0</v>
      </c>
      <c r="AX236" s="188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89">
        <f t="shared" si="153"/>
        <v>0</v>
      </c>
      <c r="AW237" s="1889">
        <f t="shared" si="154"/>
        <v>0</v>
      </c>
      <c r="AX237" s="188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89">
        <f t="shared" si="153"/>
        <v>0</v>
      </c>
      <c r="AW238" s="1889">
        <f t="shared" si="154"/>
        <v>0</v>
      </c>
      <c r="AX238" s="188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89">
        <f t="shared" si="153"/>
        <v>0</v>
      </c>
      <c r="AW239" s="1889">
        <f t="shared" si="154"/>
        <v>0</v>
      </c>
      <c r="AX239" s="188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9">
        <f t="shared" si="153"/>
        <v>0</v>
      </c>
      <c r="AW240" s="1889">
        <f t="shared" si="154"/>
        <v>0</v>
      </c>
      <c r="AX240" s="188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9">
        <f t="shared" si="153"/>
        <v>0</v>
      </c>
      <c r="AW241" s="1889">
        <f t="shared" si="154"/>
        <v>0</v>
      </c>
      <c r="AX241" s="188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9">
        <f t="shared" si="153"/>
        <v>0</v>
      </c>
      <c r="AW242" s="1889">
        <f t="shared" si="154"/>
        <v>0</v>
      </c>
      <c r="AX242" s="188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9">
        <f t="shared" si="153"/>
        <v>0</v>
      </c>
      <c r="AW243" s="1889">
        <f t="shared" si="154"/>
        <v>0</v>
      </c>
      <c r="AX243" s="188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9">
        <f t="shared" si="153"/>
        <v>0</v>
      </c>
      <c r="AW244" s="1889">
        <f t="shared" si="154"/>
        <v>0</v>
      </c>
      <c r="AX244" s="188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9">
        <f t="shared" si="153"/>
        <v>0</v>
      </c>
      <c r="AW245" s="1889">
        <f t="shared" si="154"/>
        <v>0</v>
      </c>
      <c r="AX245" s="188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9">
        <f t="shared" si="153"/>
        <v>0</v>
      </c>
      <c r="AW246" s="1889">
        <f t="shared" si="154"/>
        <v>0</v>
      </c>
      <c r="AX246" s="188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9">
        <f t="shared" si="153"/>
        <v>0</v>
      </c>
      <c r="AW247" s="1889">
        <f t="shared" si="154"/>
        <v>0</v>
      </c>
      <c r="AX247" s="188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9">
        <f t="shared" si="153"/>
        <v>0</v>
      </c>
      <c r="AW248" s="1889">
        <f t="shared" si="154"/>
        <v>0</v>
      </c>
      <c r="AX248" s="188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9">
        <f t="shared" si="153"/>
        <v>0</v>
      </c>
      <c r="AW249" s="1889">
        <f t="shared" si="154"/>
        <v>0</v>
      </c>
      <c r="AX249" s="188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9">
        <f t="shared" si="153"/>
        <v>0</v>
      </c>
      <c r="AW250" s="1889">
        <f t="shared" si="154"/>
        <v>0</v>
      </c>
      <c r="AX250" s="188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9">
        <f t="shared" si="153"/>
        <v>0</v>
      </c>
      <c r="AW251" s="1889">
        <f t="shared" si="154"/>
        <v>0</v>
      </c>
      <c r="AX251" s="188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9">
        <f t="shared" si="153"/>
        <v>0</v>
      </c>
      <c r="AW252" s="1889">
        <f t="shared" si="154"/>
        <v>0</v>
      </c>
      <c r="AX252" s="188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9">
        <f t="shared" si="153"/>
        <v>0</v>
      </c>
      <c r="AW253" s="1889">
        <f t="shared" si="154"/>
        <v>0</v>
      </c>
      <c r="AX253" s="188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9">
        <f t="shared" si="153"/>
        <v>0</v>
      </c>
      <c r="AW254" s="1889">
        <f t="shared" si="154"/>
        <v>0</v>
      </c>
      <c r="AX254" s="188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9">
        <f t="shared" si="153"/>
        <v>0</v>
      </c>
      <c r="AW255" s="1889">
        <f t="shared" si="154"/>
        <v>0</v>
      </c>
      <c r="AX255" s="188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9">
        <f t="shared" si="153"/>
        <v>0</v>
      </c>
      <c r="AW256" s="1889">
        <f t="shared" si="154"/>
        <v>0</v>
      </c>
      <c r="AX256" s="188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9">
        <f t="shared" si="153"/>
        <v>0</v>
      </c>
      <c r="AW257" s="1889">
        <f t="shared" si="154"/>
        <v>0</v>
      </c>
      <c r="AX257" s="188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9">
        <f t="shared" si="153"/>
        <v>0</v>
      </c>
      <c r="AW258" s="1889">
        <f t="shared" si="154"/>
        <v>0</v>
      </c>
      <c r="AX258" s="188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9">
        <f t="shared" si="153"/>
        <v>0</v>
      </c>
      <c r="AW259" s="1889">
        <f t="shared" si="154"/>
        <v>0</v>
      </c>
      <c r="AX259" s="188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9">
        <f t="shared" si="153"/>
        <v>0</v>
      </c>
      <c r="AW260" s="1889">
        <f t="shared" si="154"/>
        <v>0</v>
      </c>
      <c r="AX260" s="188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9">
        <f t="shared" si="153"/>
        <v>0</v>
      </c>
      <c r="AW261" s="1889">
        <f t="shared" si="154"/>
        <v>0</v>
      </c>
      <c r="AX261" s="188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9">
        <f t="shared" si="153"/>
        <v>0</v>
      </c>
      <c r="AW262" s="1889">
        <f t="shared" si="154"/>
        <v>0</v>
      </c>
      <c r="AX262" s="188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9">
        <f t="shared" si="153"/>
        <v>0</v>
      </c>
      <c r="AW263" s="1889">
        <f t="shared" si="154"/>
        <v>0</v>
      </c>
      <c r="AX263" s="188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9">
        <f t="shared" si="153"/>
        <v>0</v>
      </c>
      <c r="AW264" s="1889">
        <f t="shared" si="154"/>
        <v>0</v>
      </c>
      <c r="AX264" s="188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9">
        <f t="shared" si="153"/>
        <v>0</v>
      </c>
      <c r="AW265" s="1889">
        <f t="shared" si="154"/>
        <v>0</v>
      </c>
      <c r="AX265" s="188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9">
        <f t="shared" si="153"/>
        <v>0</v>
      </c>
      <c r="AW266" s="1889">
        <f t="shared" si="154"/>
        <v>0</v>
      </c>
      <c r="AX266" s="188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9">
        <f t="shared" si="153"/>
        <v>0</v>
      </c>
      <c r="AW267" s="1889">
        <f t="shared" si="154"/>
        <v>0</v>
      </c>
      <c r="AX267" s="188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9">
        <f t="shared" si="153"/>
        <v>0</v>
      </c>
      <c r="AW268" s="1889">
        <f t="shared" si="154"/>
        <v>0</v>
      </c>
      <c r="AX268" s="188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9">
        <f t="shared" si="153"/>
        <v>0</v>
      </c>
      <c r="AW269" s="1889">
        <f t="shared" si="154"/>
        <v>0</v>
      </c>
      <c r="AX269" s="188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9">
        <f t="shared" si="153"/>
        <v>0</v>
      </c>
      <c r="AW270" s="1889">
        <f t="shared" si="154"/>
        <v>0</v>
      </c>
      <c r="AX270" s="188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9">
        <f t="shared" si="153"/>
        <v>0</v>
      </c>
      <c r="AW271" s="1889">
        <f t="shared" si="154"/>
        <v>0</v>
      </c>
      <c r="AX271" s="188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9">
        <f t="shared" si="153"/>
        <v>0</v>
      </c>
      <c r="AW272" s="1889">
        <f t="shared" si="154"/>
        <v>0</v>
      </c>
      <c r="AX272" s="188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9">
        <f t="shared" si="153"/>
        <v>0</v>
      </c>
      <c r="AW273" s="1889">
        <f t="shared" si="154"/>
        <v>0</v>
      </c>
      <c r="AX273" s="188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9">
        <f t="shared" si="153"/>
        <v>0</v>
      </c>
      <c r="AW274" s="1889">
        <f t="shared" si="154"/>
        <v>0</v>
      </c>
      <c r="AX274" s="188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9">
        <f t="shared" si="153"/>
        <v>0</v>
      </c>
      <c r="AW275" s="1889">
        <f t="shared" si="154"/>
        <v>0</v>
      </c>
      <c r="AX275" s="188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9">
        <f t="shared" si="153"/>
        <v>0</v>
      </c>
      <c r="AW276" s="1889">
        <f t="shared" si="154"/>
        <v>0</v>
      </c>
      <c r="AX276" s="188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9">
        <f t="shared" si="153"/>
        <v>0</v>
      </c>
      <c r="AW277" s="1889">
        <f t="shared" si="154"/>
        <v>0</v>
      </c>
      <c r="AX277" s="188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9">
        <f t="shared" si="153"/>
        <v>0</v>
      </c>
      <c r="AW278" s="1889">
        <f t="shared" si="154"/>
        <v>0</v>
      </c>
      <c r="AX278" s="188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9">
        <f t="shared" si="153"/>
        <v>0</v>
      </c>
      <c r="AW279" s="1889">
        <f t="shared" si="154"/>
        <v>0</v>
      </c>
      <c r="AX279" s="188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9">
        <f t="shared" si="153"/>
        <v>0</v>
      </c>
      <c r="AW280" s="1889">
        <f t="shared" si="154"/>
        <v>0</v>
      </c>
      <c r="AX280" s="188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9">
        <f t="shared" si="153"/>
        <v>0</v>
      </c>
      <c r="AW281" s="1889">
        <f t="shared" si="154"/>
        <v>0</v>
      </c>
      <c r="AX281" s="188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9">
        <f t="shared" si="153"/>
        <v>0</v>
      </c>
      <c r="AW282" s="1889">
        <f t="shared" si="154"/>
        <v>0</v>
      </c>
      <c r="AX282" s="188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9">
        <f t="shared" si="153"/>
        <v>0</v>
      </c>
      <c r="AW283" s="1889">
        <f t="shared" si="154"/>
        <v>0</v>
      </c>
      <c r="AX283" s="188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9">
        <f t="shared" si="153"/>
        <v>0</v>
      </c>
      <c r="AW284" s="1889">
        <f t="shared" si="154"/>
        <v>0</v>
      </c>
      <c r="AX284" s="188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9">
        <f t="shared" si="153"/>
        <v>0</v>
      </c>
      <c r="AW285" s="1889">
        <f t="shared" si="154"/>
        <v>0</v>
      </c>
      <c r="AX285" s="188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9">
        <f t="shared" si="153"/>
        <v>0</v>
      </c>
      <c r="AW286" s="1889">
        <f t="shared" si="154"/>
        <v>0</v>
      </c>
      <c r="AX286" s="188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9">
        <f t="shared" si="153"/>
        <v>0</v>
      </c>
      <c r="AW287" s="1889">
        <f t="shared" si="154"/>
        <v>0</v>
      </c>
      <c r="AX287" s="188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9">
        <f t="shared" si="153"/>
        <v>0</v>
      </c>
      <c r="AW288" s="1889">
        <f t="shared" si="154"/>
        <v>0</v>
      </c>
      <c r="AX288" s="188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9">
        <f t="shared" si="153"/>
        <v>0</v>
      </c>
      <c r="AW289" s="1889">
        <f t="shared" si="154"/>
        <v>0</v>
      </c>
      <c r="AX289" s="188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9">
        <f t="shared" si="153"/>
        <v>0</v>
      </c>
      <c r="AW290" s="1889">
        <f t="shared" si="154"/>
        <v>0</v>
      </c>
      <c r="AX290" s="188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9">
        <f t="shared" si="153"/>
        <v>0</v>
      </c>
      <c r="AW291" s="1889">
        <f t="shared" si="154"/>
        <v>0</v>
      </c>
      <c r="AX291" s="188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9">
        <f t="shared" si="153"/>
        <v>0</v>
      </c>
      <c r="AW292" s="1889">
        <f t="shared" si="154"/>
        <v>0</v>
      </c>
      <c r="AX292" s="188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9">
        <f t="shared" si="153"/>
        <v>0</v>
      </c>
      <c r="AW293" s="1889">
        <f t="shared" si="154"/>
        <v>0</v>
      </c>
      <c r="AX293" s="188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9">
        <f t="shared" si="153"/>
        <v>0</v>
      </c>
      <c r="AW294" s="1889">
        <f t="shared" si="154"/>
        <v>0</v>
      </c>
      <c r="AX294" s="188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9">
        <f t="shared" si="153"/>
        <v>0</v>
      </c>
      <c r="AW295" s="1889">
        <f t="shared" si="154"/>
        <v>0</v>
      </c>
      <c r="AX295" s="188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9">
        <f t="shared" si="153"/>
        <v>0</v>
      </c>
      <c r="AW296" s="1889">
        <f t="shared" si="154"/>
        <v>0</v>
      </c>
      <c r="AX296" s="188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6"/>
      <c r="AO297" s="92"/>
      <c r="AP297" s="92"/>
      <c r="AQ297" s="92"/>
      <c r="AR297" s="92"/>
      <c r="AS297" s="92"/>
      <c r="AT297" s="93"/>
      <c r="AU297" s="94"/>
      <c r="AV297" s="1889">
        <f t="shared" ref="AV297:AV328" si="204">A297</f>
        <v>0</v>
      </c>
      <c r="AW297" s="1889">
        <f t="shared" ref="AW297:AW328" si="205">B297</f>
        <v>0</v>
      </c>
      <c r="AX297" s="188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3"/>
      <c r="AG298" s="92"/>
      <c r="AH298" s="92"/>
      <c r="AI298" s="92"/>
      <c r="AJ298" s="92"/>
      <c r="AK298" s="92"/>
      <c r="AL298" s="1316"/>
      <c r="AM298" s="92"/>
      <c r="AN298" s="1316"/>
      <c r="AO298" s="92"/>
      <c r="AP298" s="92"/>
      <c r="AQ298" s="92"/>
      <c r="AR298" s="92"/>
      <c r="AS298" s="92"/>
      <c r="AT298" s="93"/>
      <c r="AU298" s="94"/>
      <c r="AV298" s="1889">
        <f t="shared" si="204"/>
        <v>0</v>
      </c>
      <c r="AW298" s="1889">
        <f t="shared" si="205"/>
        <v>0</v>
      </c>
      <c r="AX298" s="188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6"/>
      <c r="AM299" s="92"/>
      <c r="AN299" s="1316"/>
      <c r="AO299" s="92"/>
      <c r="AP299" s="92"/>
      <c r="AQ299" s="92"/>
      <c r="AR299" s="92"/>
      <c r="AS299" s="92"/>
      <c r="AT299" s="93"/>
      <c r="AU299" s="94"/>
      <c r="AV299" s="1889">
        <f t="shared" si="204"/>
        <v>0</v>
      </c>
      <c r="AW299" s="1889">
        <f t="shared" si="205"/>
        <v>0</v>
      </c>
      <c r="AX299" s="188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6"/>
      <c r="AO300" s="92"/>
      <c r="AP300" s="92"/>
      <c r="AQ300" s="92"/>
      <c r="AR300" s="92"/>
      <c r="AS300" s="92"/>
      <c r="AT300" s="93"/>
      <c r="AU300" s="94"/>
      <c r="AV300" s="1889">
        <f t="shared" si="204"/>
        <v>0</v>
      </c>
      <c r="AW300" s="1889">
        <f t="shared" si="205"/>
        <v>0</v>
      </c>
      <c r="AX300" s="188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89">
        <f t="shared" si="204"/>
        <v>0</v>
      </c>
      <c r="AW301" s="1889">
        <f t="shared" si="205"/>
        <v>0</v>
      </c>
      <c r="AX301" s="188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89">
        <f t="shared" si="204"/>
        <v>0</v>
      </c>
      <c r="AW302" s="1889">
        <f t="shared" si="205"/>
        <v>0</v>
      </c>
      <c r="AX302" s="188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89">
        <f t="shared" si="204"/>
        <v>0</v>
      </c>
      <c r="AW303" s="1889">
        <f t="shared" si="205"/>
        <v>0</v>
      </c>
      <c r="AX303" s="188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89">
        <f t="shared" si="204"/>
        <v>0</v>
      </c>
      <c r="AW304" s="1889">
        <f t="shared" si="205"/>
        <v>0</v>
      </c>
      <c r="AX304" s="188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89">
        <f t="shared" si="204"/>
        <v>0</v>
      </c>
      <c r="AW305" s="1889">
        <f t="shared" si="205"/>
        <v>0</v>
      </c>
      <c r="AX305" s="188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89">
        <f t="shared" si="204"/>
        <v>0</v>
      </c>
      <c r="AW306" s="1889">
        <f t="shared" si="205"/>
        <v>0</v>
      </c>
      <c r="AX306" s="188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89">
        <f t="shared" si="204"/>
        <v>0</v>
      </c>
      <c r="AW307" s="1889">
        <f t="shared" si="205"/>
        <v>0</v>
      </c>
      <c r="AX307" s="188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89">
        <f t="shared" si="204"/>
        <v>0</v>
      </c>
      <c r="AW308" s="1889">
        <f t="shared" si="205"/>
        <v>0</v>
      </c>
      <c r="AX308" s="188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89">
        <f t="shared" si="204"/>
        <v>0</v>
      </c>
      <c r="AW309" s="1889">
        <f t="shared" si="205"/>
        <v>0</v>
      </c>
      <c r="AX309" s="188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89">
        <f t="shared" si="204"/>
        <v>0</v>
      </c>
      <c r="AW310" s="1889">
        <f t="shared" si="205"/>
        <v>0</v>
      </c>
      <c r="AX310" s="188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89">
        <f t="shared" si="204"/>
        <v>0</v>
      </c>
      <c r="AW311" s="1889">
        <f t="shared" si="205"/>
        <v>0</v>
      </c>
      <c r="AX311" s="188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89">
        <f t="shared" si="204"/>
        <v>0</v>
      </c>
      <c r="AW312" s="1889">
        <f t="shared" si="205"/>
        <v>0</v>
      </c>
      <c r="AX312" s="188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89">
        <f t="shared" si="204"/>
        <v>0</v>
      </c>
      <c r="AW313" s="1889">
        <f t="shared" si="205"/>
        <v>0</v>
      </c>
      <c r="AX313" s="188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89">
        <f t="shared" si="204"/>
        <v>0</v>
      </c>
      <c r="AW314" s="1889">
        <f t="shared" si="205"/>
        <v>0</v>
      </c>
      <c r="AX314" s="188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89">
        <f t="shared" si="204"/>
        <v>0</v>
      </c>
      <c r="AW315" s="1889">
        <f t="shared" si="205"/>
        <v>0</v>
      </c>
      <c r="AX315" s="188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89">
        <f t="shared" si="204"/>
        <v>0</v>
      </c>
      <c r="AW316" s="1889">
        <f t="shared" si="205"/>
        <v>0</v>
      </c>
      <c r="AX316" s="188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89">
        <f t="shared" si="204"/>
        <v>0</v>
      </c>
      <c r="AW317" s="1889">
        <f t="shared" si="205"/>
        <v>0</v>
      </c>
      <c r="AX317" s="188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89">
        <f t="shared" si="204"/>
        <v>0</v>
      </c>
      <c r="AW318" s="1889">
        <f t="shared" si="205"/>
        <v>0</v>
      </c>
      <c r="AX318" s="188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89">
        <f t="shared" si="204"/>
        <v>0</v>
      </c>
      <c r="AW319" s="1889">
        <f t="shared" si="205"/>
        <v>0</v>
      </c>
      <c r="AX319" s="188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89">
        <f t="shared" si="204"/>
        <v>0</v>
      </c>
      <c r="AW320" s="1889">
        <f t="shared" si="205"/>
        <v>0</v>
      </c>
      <c r="AX320" s="188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89">
        <f t="shared" si="204"/>
        <v>0</v>
      </c>
      <c r="AW321" s="1889">
        <f t="shared" si="205"/>
        <v>0</v>
      </c>
      <c r="AX321" s="188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89">
        <f t="shared" si="204"/>
        <v>0</v>
      </c>
      <c r="AW322" s="1889">
        <f t="shared" si="205"/>
        <v>0</v>
      </c>
      <c r="AX322" s="188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89">
        <f t="shared" si="204"/>
        <v>0</v>
      </c>
      <c r="AW323" s="1889">
        <f t="shared" si="205"/>
        <v>0</v>
      </c>
      <c r="AX323" s="188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89">
        <f t="shared" si="204"/>
        <v>0</v>
      </c>
      <c r="AW324" s="1889">
        <f t="shared" si="205"/>
        <v>0</v>
      </c>
      <c r="AX324" s="188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89">
        <f t="shared" si="204"/>
        <v>0</v>
      </c>
      <c r="AW325" s="1889">
        <f t="shared" si="205"/>
        <v>0</v>
      </c>
      <c r="AX325" s="188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89">
        <f t="shared" si="204"/>
        <v>0</v>
      </c>
      <c r="AW326" s="1889">
        <f t="shared" si="205"/>
        <v>0</v>
      </c>
      <c r="AX326" s="188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89">
        <f t="shared" si="204"/>
        <v>0</v>
      </c>
      <c r="AW327" s="1889">
        <f t="shared" si="205"/>
        <v>0</v>
      </c>
      <c r="AX327" s="188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89">
        <f t="shared" si="204"/>
        <v>0</v>
      </c>
      <c r="AW328" s="1889">
        <f t="shared" si="205"/>
        <v>0</v>
      </c>
      <c r="AX328" s="188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89">
        <f t="shared" ref="AV329:AV360" si="233">A329</f>
        <v>0</v>
      </c>
      <c r="AW329" s="1889">
        <f t="shared" ref="AW329:AW360" si="234">B329</f>
        <v>0</v>
      </c>
      <c r="AX329" s="188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89">
        <f t="shared" si="233"/>
        <v>0</v>
      </c>
      <c r="AW330" s="1889">
        <f t="shared" si="234"/>
        <v>0</v>
      </c>
      <c r="AX330" s="188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89">
        <f t="shared" si="233"/>
        <v>0</v>
      </c>
      <c r="AW331" s="1889">
        <f t="shared" si="234"/>
        <v>0</v>
      </c>
      <c r="AX331" s="188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9">
        <f t="shared" si="233"/>
        <v>0</v>
      </c>
      <c r="AW332" s="1889">
        <f t="shared" si="234"/>
        <v>0</v>
      </c>
      <c r="AX332" s="188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9">
        <f t="shared" si="233"/>
        <v>0</v>
      </c>
      <c r="AW333" s="1889">
        <f t="shared" si="234"/>
        <v>0</v>
      </c>
      <c r="AX333" s="188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9">
        <f t="shared" si="233"/>
        <v>0</v>
      </c>
      <c r="AW334" s="1889">
        <f t="shared" si="234"/>
        <v>0</v>
      </c>
      <c r="AX334" s="188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9">
        <f t="shared" si="233"/>
        <v>0</v>
      </c>
      <c r="AW335" s="1889">
        <f t="shared" si="234"/>
        <v>0</v>
      </c>
      <c r="AX335" s="188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9">
        <f t="shared" si="233"/>
        <v>0</v>
      </c>
      <c r="AW336" s="1889">
        <f t="shared" si="234"/>
        <v>0</v>
      </c>
      <c r="AX336" s="188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9">
        <f t="shared" si="233"/>
        <v>0</v>
      </c>
      <c r="AW337" s="1889">
        <f t="shared" si="234"/>
        <v>0</v>
      </c>
      <c r="AX337" s="188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9">
        <f t="shared" si="233"/>
        <v>0</v>
      </c>
      <c r="AW338" s="1889">
        <f t="shared" si="234"/>
        <v>0</v>
      </c>
      <c r="AX338" s="188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9">
        <f t="shared" si="233"/>
        <v>0</v>
      </c>
      <c r="AW339" s="1889">
        <f t="shared" si="234"/>
        <v>0</v>
      </c>
      <c r="AX339" s="188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9">
        <f t="shared" si="233"/>
        <v>0</v>
      </c>
      <c r="AW340" s="1889">
        <f t="shared" si="234"/>
        <v>0</v>
      </c>
      <c r="AX340" s="188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9">
        <f t="shared" si="233"/>
        <v>0</v>
      </c>
      <c r="AW341" s="1889">
        <f t="shared" si="234"/>
        <v>0</v>
      </c>
      <c r="AX341" s="188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9">
        <f t="shared" si="233"/>
        <v>0</v>
      </c>
      <c r="AW342" s="1889">
        <f t="shared" si="234"/>
        <v>0</v>
      </c>
      <c r="AX342" s="188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9">
        <f t="shared" si="233"/>
        <v>0</v>
      </c>
      <c r="AW343" s="1889">
        <f t="shared" si="234"/>
        <v>0</v>
      </c>
      <c r="AX343" s="188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9">
        <f t="shared" si="233"/>
        <v>0</v>
      </c>
      <c r="AW344" s="1889">
        <f t="shared" si="234"/>
        <v>0</v>
      </c>
      <c r="AX344" s="188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9">
        <f t="shared" si="233"/>
        <v>0</v>
      </c>
      <c r="AW345" s="1889">
        <f t="shared" si="234"/>
        <v>0</v>
      </c>
      <c r="AX345" s="188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9">
        <f t="shared" si="233"/>
        <v>0</v>
      </c>
      <c r="AW346" s="1889">
        <f t="shared" si="234"/>
        <v>0</v>
      </c>
      <c r="AX346" s="188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9">
        <f t="shared" si="233"/>
        <v>0</v>
      </c>
      <c r="AW347" s="1889">
        <f t="shared" si="234"/>
        <v>0</v>
      </c>
      <c r="AX347" s="188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9">
        <f t="shared" si="233"/>
        <v>0</v>
      </c>
      <c r="AW348" s="1889">
        <f t="shared" si="234"/>
        <v>0</v>
      </c>
      <c r="AX348" s="188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9">
        <f t="shared" si="233"/>
        <v>0</v>
      </c>
      <c r="AW349" s="1889">
        <f t="shared" si="234"/>
        <v>0</v>
      </c>
      <c r="AX349" s="188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9">
        <f t="shared" si="233"/>
        <v>0</v>
      </c>
      <c r="AW350" s="1889">
        <f t="shared" si="234"/>
        <v>0</v>
      </c>
      <c r="AX350" s="188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9">
        <f t="shared" si="233"/>
        <v>0</v>
      </c>
      <c r="AW351" s="1889">
        <f t="shared" si="234"/>
        <v>0</v>
      </c>
      <c r="AX351" s="188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9">
        <f t="shared" si="233"/>
        <v>0</v>
      </c>
      <c r="AW352" s="1889">
        <f t="shared" si="234"/>
        <v>0</v>
      </c>
      <c r="AX352" s="188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9">
        <f t="shared" si="233"/>
        <v>0</v>
      </c>
      <c r="AW353" s="1889">
        <f t="shared" si="234"/>
        <v>0</v>
      </c>
      <c r="AX353" s="188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9">
        <f t="shared" si="233"/>
        <v>0</v>
      </c>
      <c r="AW354" s="1889">
        <f t="shared" si="234"/>
        <v>0</v>
      </c>
      <c r="AX354" s="188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9">
        <f t="shared" si="233"/>
        <v>0</v>
      </c>
      <c r="AW355" s="1889">
        <f t="shared" si="234"/>
        <v>0</v>
      </c>
      <c r="AX355" s="188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9">
        <f t="shared" si="233"/>
        <v>0</v>
      </c>
      <c r="AW356" s="1889">
        <f t="shared" si="234"/>
        <v>0</v>
      </c>
      <c r="AX356" s="188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9">
        <f t="shared" si="233"/>
        <v>0</v>
      </c>
      <c r="AW357" s="1889">
        <f t="shared" si="234"/>
        <v>0</v>
      </c>
      <c r="AX357" s="188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9">
        <f t="shared" si="233"/>
        <v>0</v>
      </c>
      <c r="AW358" s="1889">
        <f t="shared" si="234"/>
        <v>0</v>
      </c>
      <c r="AX358" s="188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9">
        <f t="shared" si="233"/>
        <v>0</v>
      </c>
      <c r="AW359" s="1889">
        <f t="shared" si="234"/>
        <v>0</v>
      </c>
      <c r="AX359" s="188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9">
        <f t="shared" si="233"/>
        <v>0</v>
      </c>
      <c r="AW360" s="1889">
        <f t="shared" si="234"/>
        <v>0</v>
      </c>
      <c r="AX360" s="188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9">
        <f t="shared" ref="AV361:AV388" si="262">A361</f>
        <v>0</v>
      </c>
      <c r="AW361" s="1889">
        <f t="shared" ref="AW361:AW388" si="263">B361</f>
        <v>0</v>
      </c>
      <c r="AX361" s="188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9">
        <f t="shared" si="262"/>
        <v>0</v>
      </c>
      <c r="AW362" s="1889">
        <f t="shared" si="263"/>
        <v>0</v>
      </c>
      <c r="AX362" s="188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9">
        <f t="shared" si="262"/>
        <v>0</v>
      </c>
      <c r="AW363" s="1889">
        <f t="shared" si="263"/>
        <v>0</v>
      </c>
      <c r="AX363" s="188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9">
        <f t="shared" si="262"/>
        <v>0</v>
      </c>
      <c r="AW364" s="1889">
        <f t="shared" si="263"/>
        <v>0</v>
      </c>
      <c r="AX364" s="188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9">
        <f t="shared" si="262"/>
        <v>0</v>
      </c>
      <c r="AW365" s="1889">
        <f t="shared" si="263"/>
        <v>0</v>
      </c>
      <c r="AX365" s="188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9">
        <f t="shared" si="262"/>
        <v>0</v>
      </c>
      <c r="AW366" s="1889">
        <f t="shared" si="263"/>
        <v>0</v>
      </c>
      <c r="AX366" s="188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9">
        <f t="shared" si="262"/>
        <v>0</v>
      </c>
      <c r="AW367" s="1889">
        <f t="shared" si="263"/>
        <v>0</v>
      </c>
      <c r="AX367" s="188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9">
        <f t="shared" si="262"/>
        <v>0</v>
      </c>
      <c r="AW368" s="1889">
        <f t="shared" si="263"/>
        <v>0</v>
      </c>
      <c r="AX368" s="188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9">
        <f t="shared" si="262"/>
        <v>0</v>
      </c>
      <c r="AW369" s="1889">
        <f t="shared" si="263"/>
        <v>0</v>
      </c>
      <c r="AX369" s="188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9">
        <f t="shared" si="262"/>
        <v>0</v>
      </c>
      <c r="AW370" s="1889">
        <f t="shared" si="263"/>
        <v>0</v>
      </c>
      <c r="AX370" s="188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9">
        <f t="shared" si="262"/>
        <v>0</v>
      </c>
      <c r="AW371" s="1889">
        <f t="shared" si="263"/>
        <v>0</v>
      </c>
      <c r="AX371" s="188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9">
        <f t="shared" si="262"/>
        <v>0</v>
      </c>
      <c r="AW372" s="1889">
        <f t="shared" si="263"/>
        <v>0</v>
      </c>
      <c r="AX372" s="188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9">
        <f t="shared" si="262"/>
        <v>0</v>
      </c>
      <c r="AW373" s="1889">
        <f t="shared" si="263"/>
        <v>0</v>
      </c>
      <c r="AX373" s="188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9">
        <f t="shared" si="262"/>
        <v>0</v>
      </c>
      <c r="AW374" s="1889">
        <f t="shared" si="263"/>
        <v>0</v>
      </c>
      <c r="AX374" s="188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9">
        <f t="shared" si="262"/>
        <v>0</v>
      </c>
      <c r="AW375" s="1889">
        <f t="shared" si="263"/>
        <v>0</v>
      </c>
      <c r="AX375" s="188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9">
        <f t="shared" si="262"/>
        <v>0</v>
      </c>
      <c r="AW376" s="1889">
        <f t="shared" si="263"/>
        <v>0</v>
      </c>
      <c r="AX376" s="188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9">
        <f t="shared" si="262"/>
        <v>0</v>
      </c>
      <c r="AW377" s="1889">
        <f t="shared" si="263"/>
        <v>0</v>
      </c>
      <c r="AX377" s="188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9">
        <f t="shared" si="262"/>
        <v>0</v>
      </c>
      <c r="AW378" s="1889">
        <f t="shared" si="263"/>
        <v>0</v>
      </c>
      <c r="AX378" s="188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9">
        <f t="shared" si="262"/>
        <v>0</v>
      </c>
      <c r="AW379" s="1889">
        <f t="shared" si="263"/>
        <v>0</v>
      </c>
      <c r="AX379" s="188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9">
        <f t="shared" si="262"/>
        <v>0</v>
      </c>
      <c r="AW380" s="1889">
        <f t="shared" si="263"/>
        <v>0</v>
      </c>
      <c r="AX380" s="188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9">
        <f t="shared" si="262"/>
        <v>0</v>
      </c>
      <c r="AW381" s="1889">
        <f t="shared" si="263"/>
        <v>0</v>
      </c>
      <c r="AX381" s="188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9">
        <f t="shared" si="262"/>
        <v>0</v>
      </c>
      <c r="AW382" s="1889">
        <f t="shared" si="263"/>
        <v>0</v>
      </c>
      <c r="AX382" s="188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9">
        <f t="shared" si="262"/>
        <v>0</v>
      </c>
      <c r="AW383" s="1889">
        <f t="shared" si="263"/>
        <v>0</v>
      </c>
      <c r="AX383" s="188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9">
        <f t="shared" si="262"/>
        <v>0</v>
      </c>
      <c r="AW384" s="1889">
        <f t="shared" si="263"/>
        <v>0</v>
      </c>
      <c r="AX384" s="188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9">
        <f t="shared" si="262"/>
        <v>0</v>
      </c>
      <c r="AW385" s="1889">
        <f t="shared" si="263"/>
        <v>0</v>
      </c>
      <c r="AX385" s="188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9">
        <f t="shared" si="262"/>
        <v>0</v>
      </c>
      <c r="AW386" s="1889">
        <f t="shared" si="263"/>
        <v>0</v>
      </c>
      <c r="AX386" s="188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9">
        <f t="shared" si="262"/>
        <v>0</v>
      </c>
      <c r="AW387" s="1889">
        <f t="shared" si="263"/>
        <v>0</v>
      </c>
      <c r="AX387" s="188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9">
        <f t="shared" si="262"/>
        <v>0</v>
      </c>
      <c r="AW388" s="1889">
        <f t="shared" si="263"/>
        <v>0</v>
      </c>
      <c r="AX388" s="188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6"/>
      <c r="AO389" s="92"/>
      <c r="AP389" s="92"/>
      <c r="AQ389" s="92"/>
      <c r="AR389" s="92"/>
      <c r="AS389" s="92"/>
      <c r="AT389" s="93"/>
      <c r="AU389" s="94"/>
      <c r="AV389" s="1889">
        <f t="shared" ref="AV389:AV480" si="269">A389</f>
        <v>0</v>
      </c>
      <c r="AW389" s="1889">
        <f t="shared" ref="AW389:AW480" si="270">B389</f>
        <v>0</v>
      </c>
      <c r="AX389" s="188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3"/>
      <c r="AG390" s="92"/>
      <c r="AH390" s="92"/>
      <c r="AI390" s="92"/>
      <c r="AJ390" s="92"/>
      <c r="AK390" s="92"/>
      <c r="AL390" s="1316"/>
      <c r="AM390" s="92"/>
      <c r="AN390" s="1316"/>
      <c r="AO390" s="92"/>
      <c r="AP390" s="92"/>
      <c r="AQ390" s="92"/>
      <c r="AR390" s="92"/>
      <c r="AS390" s="92"/>
      <c r="AT390" s="93"/>
      <c r="AU390" s="94"/>
      <c r="AV390" s="1889">
        <f t="shared" si="269"/>
        <v>0</v>
      </c>
      <c r="AW390" s="1889">
        <f t="shared" si="270"/>
        <v>0</v>
      </c>
      <c r="AX390" s="188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6"/>
      <c r="AM391" s="92"/>
      <c r="AN391" s="1316"/>
      <c r="AO391" s="92"/>
      <c r="AP391" s="92"/>
      <c r="AQ391" s="92"/>
      <c r="AR391" s="92"/>
      <c r="AS391" s="92"/>
      <c r="AT391" s="93"/>
      <c r="AU391" s="94"/>
      <c r="AV391" s="1889">
        <f t="shared" si="269"/>
        <v>0</v>
      </c>
      <c r="AW391" s="1889">
        <f t="shared" si="270"/>
        <v>0</v>
      </c>
      <c r="AX391" s="188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6"/>
      <c r="AO392" s="92"/>
      <c r="AP392" s="92"/>
      <c r="AQ392" s="92"/>
      <c r="AR392" s="92"/>
      <c r="AS392" s="92"/>
      <c r="AT392" s="93"/>
      <c r="AU392" s="94"/>
      <c r="AV392" s="1889">
        <f t="shared" si="269"/>
        <v>0</v>
      </c>
      <c r="AW392" s="1889">
        <f t="shared" si="270"/>
        <v>0</v>
      </c>
      <c r="AX392" s="188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89">
        <f t="shared" si="269"/>
        <v>0</v>
      </c>
      <c r="AW393" s="1889">
        <f t="shared" si="270"/>
        <v>0</v>
      </c>
      <c r="AX393" s="188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89">
        <f t="shared" si="269"/>
        <v>0</v>
      </c>
      <c r="AW394" s="1889">
        <f t="shared" si="270"/>
        <v>0</v>
      </c>
      <c r="AX394" s="188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89">
        <f t="shared" si="269"/>
        <v>0</v>
      </c>
      <c r="AW395" s="1889">
        <f t="shared" si="270"/>
        <v>0</v>
      </c>
      <c r="AX395" s="188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89">
        <f t="shared" si="269"/>
        <v>0</v>
      </c>
      <c r="AW396" s="1889">
        <f t="shared" si="270"/>
        <v>0</v>
      </c>
      <c r="AX396" s="188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89">
        <f t="shared" si="269"/>
        <v>0</v>
      </c>
      <c r="AW397" s="1889">
        <f t="shared" si="270"/>
        <v>0</v>
      </c>
      <c r="AX397" s="188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89">
        <f t="shared" si="269"/>
        <v>0</v>
      </c>
      <c r="AW398" s="1889">
        <f t="shared" si="270"/>
        <v>0</v>
      </c>
      <c r="AX398" s="188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89">
        <f t="shared" si="269"/>
        <v>0</v>
      </c>
      <c r="AW399" s="1889">
        <f t="shared" si="270"/>
        <v>0</v>
      </c>
      <c r="AX399" s="188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89">
        <f t="shared" si="269"/>
        <v>0</v>
      </c>
      <c r="AW400" s="1889">
        <f t="shared" si="270"/>
        <v>0</v>
      </c>
      <c r="AX400" s="188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89">
        <f t="shared" si="269"/>
        <v>0</v>
      </c>
      <c r="AW401" s="1889">
        <f t="shared" si="270"/>
        <v>0</v>
      </c>
      <c r="AX401" s="188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89">
        <f t="shared" si="269"/>
        <v>0</v>
      </c>
      <c r="AW402" s="1889">
        <f t="shared" si="270"/>
        <v>0</v>
      </c>
      <c r="AX402" s="188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89">
        <f t="shared" si="269"/>
        <v>0</v>
      </c>
      <c r="AW403" s="1889">
        <f t="shared" si="270"/>
        <v>0</v>
      </c>
      <c r="AX403" s="188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89">
        <f t="shared" si="269"/>
        <v>0</v>
      </c>
      <c r="AW404" s="1889">
        <f t="shared" si="270"/>
        <v>0</v>
      </c>
      <c r="AX404" s="188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89">
        <f t="shared" si="269"/>
        <v>0</v>
      </c>
      <c r="AW405" s="1889">
        <f t="shared" si="270"/>
        <v>0</v>
      </c>
      <c r="AX405" s="188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89">
        <f t="shared" si="269"/>
        <v>0</v>
      </c>
      <c r="AW406" s="1889">
        <f t="shared" si="270"/>
        <v>0</v>
      </c>
      <c r="AX406" s="188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89">
        <f t="shared" si="269"/>
        <v>0</v>
      </c>
      <c r="AW407" s="1889">
        <f t="shared" si="270"/>
        <v>0</v>
      </c>
      <c r="AX407" s="188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89">
        <f t="shared" si="269"/>
        <v>0</v>
      </c>
      <c r="AW408" s="1889">
        <f t="shared" si="270"/>
        <v>0</v>
      </c>
      <c r="AX408" s="188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89">
        <f t="shared" si="269"/>
        <v>0</v>
      </c>
      <c r="AW409" s="1889">
        <f t="shared" si="270"/>
        <v>0</v>
      </c>
      <c r="AX409" s="188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89">
        <f t="shared" si="269"/>
        <v>0</v>
      </c>
      <c r="AW410" s="1889">
        <f t="shared" si="270"/>
        <v>0</v>
      </c>
      <c r="AX410" s="188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89">
        <f t="shared" si="269"/>
        <v>0</v>
      </c>
      <c r="AW411" s="1889">
        <f t="shared" si="270"/>
        <v>0</v>
      </c>
      <c r="AX411" s="188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89">
        <f t="shared" si="269"/>
        <v>0</v>
      </c>
      <c r="AW412" s="1889">
        <f t="shared" si="270"/>
        <v>0</v>
      </c>
      <c r="AX412" s="188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89">
        <f t="shared" si="269"/>
        <v>0</v>
      </c>
      <c r="AW413" s="1889">
        <f t="shared" si="270"/>
        <v>0</v>
      </c>
      <c r="AX413" s="188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89">
        <f t="shared" si="269"/>
        <v>0</v>
      </c>
      <c r="AW414" s="1889">
        <f t="shared" si="270"/>
        <v>0</v>
      </c>
      <c r="AX414" s="188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89">
        <f t="shared" si="269"/>
        <v>0</v>
      </c>
      <c r="AW415" s="1889">
        <f t="shared" si="270"/>
        <v>0</v>
      </c>
      <c r="AX415" s="188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89">
        <f t="shared" si="269"/>
        <v>0</v>
      </c>
      <c r="AW416" s="1889">
        <f t="shared" si="270"/>
        <v>0</v>
      </c>
      <c r="AX416" s="188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89">
        <f t="shared" si="269"/>
        <v>0</v>
      </c>
      <c r="AW417" s="1889">
        <f t="shared" si="270"/>
        <v>0</v>
      </c>
      <c r="AX417" s="188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89">
        <f t="shared" si="269"/>
        <v>0</v>
      </c>
      <c r="AW418" s="1889">
        <f t="shared" si="270"/>
        <v>0</v>
      </c>
      <c r="AX418" s="188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89">
        <f t="shared" si="269"/>
        <v>0</v>
      </c>
      <c r="AW419" s="1889">
        <f t="shared" si="270"/>
        <v>0</v>
      </c>
      <c r="AX419" s="188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89">
        <f t="shared" si="269"/>
        <v>0</v>
      </c>
      <c r="AW420" s="1889">
        <f t="shared" si="270"/>
        <v>0</v>
      </c>
      <c r="AX420" s="188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89">
        <f t="shared" si="269"/>
        <v>0</v>
      </c>
      <c r="AW421" s="1889">
        <f t="shared" si="270"/>
        <v>0</v>
      </c>
      <c r="AX421" s="188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89">
        <f t="shared" si="269"/>
        <v>0</v>
      </c>
      <c r="AW422" s="1889">
        <f t="shared" si="270"/>
        <v>0</v>
      </c>
      <c r="AX422" s="188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89">
        <f t="shared" si="269"/>
        <v>0</v>
      </c>
      <c r="AW423" s="1889">
        <f t="shared" si="270"/>
        <v>0</v>
      </c>
      <c r="AX423" s="188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9">
        <f t="shared" si="269"/>
        <v>0</v>
      </c>
      <c r="AW424" s="1889">
        <f t="shared" si="270"/>
        <v>0</v>
      </c>
      <c r="AX424" s="188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9">
        <f t="shared" si="269"/>
        <v>0</v>
      </c>
      <c r="AW425" s="1889">
        <f t="shared" si="270"/>
        <v>0</v>
      </c>
      <c r="AX425" s="188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9">
        <f t="shared" si="269"/>
        <v>0</v>
      </c>
      <c r="AW426" s="1889">
        <f t="shared" si="270"/>
        <v>0</v>
      </c>
      <c r="AX426" s="188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9">
        <f t="shared" si="269"/>
        <v>0</v>
      </c>
      <c r="AW427" s="1889">
        <f t="shared" si="270"/>
        <v>0</v>
      </c>
      <c r="AX427" s="188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9">
        <f t="shared" si="269"/>
        <v>0</v>
      </c>
      <c r="AW428" s="1889">
        <f t="shared" si="270"/>
        <v>0</v>
      </c>
      <c r="AX428" s="188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9">
        <f t="shared" si="269"/>
        <v>0</v>
      </c>
      <c r="AW429" s="1889">
        <f t="shared" si="270"/>
        <v>0</v>
      </c>
      <c r="AX429" s="188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9">
        <f t="shared" si="269"/>
        <v>0</v>
      </c>
      <c r="AW430" s="1889">
        <f t="shared" si="270"/>
        <v>0</v>
      </c>
      <c r="AX430" s="188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9">
        <f t="shared" si="269"/>
        <v>0</v>
      </c>
      <c r="AW431" s="1889">
        <f t="shared" si="270"/>
        <v>0</v>
      </c>
      <c r="AX431" s="188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9">
        <f t="shared" si="269"/>
        <v>0</v>
      </c>
      <c r="AW432" s="1889">
        <f t="shared" si="270"/>
        <v>0</v>
      </c>
      <c r="AX432" s="188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9">
        <f t="shared" si="269"/>
        <v>0</v>
      </c>
      <c r="AW433" s="1889">
        <f t="shared" si="270"/>
        <v>0</v>
      </c>
      <c r="AX433" s="188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9">
        <f t="shared" si="269"/>
        <v>0</v>
      </c>
      <c r="AW434" s="1889">
        <f t="shared" si="270"/>
        <v>0</v>
      </c>
      <c r="AX434" s="188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9">
        <f t="shared" si="269"/>
        <v>0</v>
      </c>
      <c r="AW435" s="1889">
        <f t="shared" si="270"/>
        <v>0</v>
      </c>
      <c r="AX435" s="188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9">
        <f t="shared" si="269"/>
        <v>0</v>
      </c>
      <c r="AW436" s="1889">
        <f t="shared" si="270"/>
        <v>0</v>
      </c>
      <c r="AX436" s="188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9">
        <f t="shared" si="269"/>
        <v>0</v>
      </c>
      <c r="AW437" s="1889">
        <f t="shared" si="270"/>
        <v>0</v>
      </c>
      <c r="AX437" s="188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9">
        <f t="shared" si="269"/>
        <v>0</v>
      </c>
      <c r="AW438" s="1889">
        <f t="shared" si="270"/>
        <v>0</v>
      </c>
      <c r="AX438" s="188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9">
        <f t="shared" si="269"/>
        <v>0</v>
      </c>
      <c r="AW439" s="1889">
        <f t="shared" si="270"/>
        <v>0</v>
      </c>
      <c r="AX439" s="188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9">
        <f t="shared" si="269"/>
        <v>0</v>
      </c>
      <c r="AW440" s="1889">
        <f t="shared" si="270"/>
        <v>0</v>
      </c>
      <c r="AX440" s="188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9">
        <f t="shared" si="269"/>
        <v>0</v>
      </c>
      <c r="AW441" s="1889">
        <f t="shared" si="270"/>
        <v>0</v>
      </c>
      <c r="AX441" s="188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9">
        <f t="shared" si="269"/>
        <v>0</v>
      </c>
      <c r="AW442" s="1889">
        <f t="shared" si="270"/>
        <v>0</v>
      </c>
      <c r="AX442" s="188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9">
        <f t="shared" si="269"/>
        <v>0</v>
      </c>
      <c r="AW443" s="1889">
        <f t="shared" si="270"/>
        <v>0</v>
      </c>
      <c r="AX443" s="188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9">
        <f t="shared" si="269"/>
        <v>0</v>
      </c>
      <c r="AW444" s="1889">
        <f t="shared" si="270"/>
        <v>0</v>
      </c>
      <c r="AX444" s="188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9">
        <f t="shared" si="269"/>
        <v>0</v>
      </c>
      <c r="AW445" s="1889">
        <f t="shared" si="270"/>
        <v>0</v>
      </c>
      <c r="AX445" s="188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9">
        <f t="shared" si="269"/>
        <v>0</v>
      </c>
      <c r="AW446" s="1889">
        <f t="shared" si="270"/>
        <v>0</v>
      </c>
      <c r="AX446" s="188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9">
        <f t="shared" si="269"/>
        <v>0</v>
      </c>
      <c r="AW447" s="1889">
        <f t="shared" si="270"/>
        <v>0</v>
      </c>
      <c r="AX447" s="188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9">
        <f t="shared" si="269"/>
        <v>0</v>
      </c>
      <c r="AW448" s="1889">
        <f t="shared" si="270"/>
        <v>0</v>
      </c>
      <c r="AX448" s="188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9">
        <f t="shared" si="269"/>
        <v>0</v>
      </c>
      <c r="AW449" s="1889">
        <f t="shared" si="270"/>
        <v>0</v>
      </c>
      <c r="AX449" s="188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9">
        <f t="shared" si="269"/>
        <v>0</v>
      </c>
      <c r="AW450" s="1889">
        <f t="shared" si="270"/>
        <v>0</v>
      </c>
      <c r="AX450" s="188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9">
        <f t="shared" si="269"/>
        <v>0</v>
      </c>
      <c r="AW451" s="1889">
        <f t="shared" si="270"/>
        <v>0</v>
      </c>
      <c r="AX451" s="188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9">
        <f t="shared" si="269"/>
        <v>0</v>
      </c>
      <c r="AW452" s="1889">
        <f t="shared" si="270"/>
        <v>0</v>
      </c>
      <c r="AX452" s="188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9">
        <f t="shared" si="269"/>
        <v>0</v>
      </c>
      <c r="AW453" s="1889">
        <f t="shared" si="270"/>
        <v>0</v>
      </c>
      <c r="AX453" s="188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9">
        <f t="shared" si="269"/>
        <v>0</v>
      </c>
      <c r="AW454" s="1889">
        <f t="shared" si="270"/>
        <v>0</v>
      </c>
      <c r="AX454" s="188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9">
        <f t="shared" si="269"/>
        <v>0</v>
      </c>
      <c r="AW455" s="1889">
        <f t="shared" si="270"/>
        <v>0</v>
      </c>
      <c r="AX455" s="188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9">
        <f t="shared" si="269"/>
        <v>0</v>
      </c>
      <c r="AW456" s="1889">
        <f t="shared" si="270"/>
        <v>0</v>
      </c>
      <c r="AX456" s="188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9">
        <f t="shared" si="269"/>
        <v>0</v>
      </c>
      <c r="AW457" s="1889">
        <f t="shared" si="270"/>
        <v>0</v>
      </c>
      <c r="AX457" s="188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9">
        <f t="shared" si="269"/>
        <v>0</v>
      </c>
      <c r="AW458" s="1889">
        <f t="shared" si="270"/>
        <v>0</v>
      </c>
      <c r="AX458" s="188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9">
        <f t="shared" si="269"/>
        <v>0</v>
      </c>
      <c r="AW459" s="1889">
        <f t="shared" si="270"/>
        <v>0</v>
      </c>
      <c r="AX459" s="188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9">
        <f t="shared" si="269"/>
        <v>0</v>
      </c>
      <c r="AW460" s="1889">
        <f t="shared" si="270"/>
        <v>0</v>
      </c>
      <c r="AX460" s="188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9">
        <f t="shared" si="269"/>
        <v>0</v>
      </c>
      <c r="AW461" s="1889">
        <f t="shared" si="270"/>
        <v>0</v>
      </c>
      <c r="AX461" s="188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9">
        <f t="shared" si="269"/>
        <v>0</v>
      </c>
      <c r="AW462" s="1889">
        <f t="shared" si="270"/>
        <v>0</v>
      </c>
      <c r="AX462" s="188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9">
        <f t="shared" si="269"/>
        <v>0</v>
      </c>
      <c r="AW463" s="1889">
        <f t="shared" si="270"/>
        <v>0</v>
      </c>
      <c r="AX463" s="188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9">
        <f t="shared" si="269"/>
        <v>0</v>
      </c>
      <c r="AW464" s="1889">
        <f t="shared" si="270"/>
        <v>0</v>
      </c>
      <c r="AX464" s="188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9">
        <f t="shared" si="269"/>
        <v>0</v>
      </c>
      <c r="AW465" s="1889">
        <f t="shared" si="270"/>
        <v>0</v>
      </c>
      <c r="AX465" s="188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9">
        <f t="shared" si="269"/>
        <v>0</v>
      </c>
      <c r="AW466" s="1889">
        <f t="shared" si="270"/>
        <v>0</v>
      </c>
      <c r="AX466" s="188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9">
        <f t="shared" si="269"/>
        <v>0</v>
      </c>
      <c r="AW467" s="1889">
        <f t="shared" si="270"/>
        <v>0</v>
      </c>
      <c r="AX467" s="188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9">
        <f t="shared" si="269"/>
        <v>0</v>
      </c>
      <c r="AW468" s="1889">
        <f t="shared" si="270"/>
        <v>0</v>
      </c>
      <c r="AX468" s="188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9">
        <f t="shared" si="269"/>
        <v>0</v>
      </c>
      <c r="AW469" s="1889">
        <f t="shared" si="270"/>
        <v>0</v>
      </c>
      <c r="AX469" s="188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9">
        <f t="shared" si="269"/>
        <v>0</v>
      </c>
      <c r="AW470" s="1889">
        <f t="shared" si="270"/>
        <v>0</v>
      </c>
      <c r="AX470" s="188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9">
        <f t="shared" si="269"/>
        <v>0</v>
      </c>
      <c r="AW471" s="1889">
        <f t="shared" si="270"/>
        <v>0</v>
      </c>
      <c r="AX471" s="188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9">
        <f t="shared" si="269"/>
        <v>0</v>
      </c>
      <c r="AW472" s="1889">
        <f t="shared" si="270"/>
        <v>0</v>
      </c>
      <c r="AX472" s="188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9">
        <f t="shared" si="269"/>
        <v>0</v>
      </c>
      <c r="AW473" s="1889">
        <f t="shared" si="270"/>
        <v>0</v>
      </c>
      <c r="AX473" s="188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9">
        <f t="shared" si="269"/>
        <v>0</v>
      </c>
      <c r="AW474" s="1889">
        <f t="shared" si="270"/>
        <v>0</v>
      </c>
      <c r="AX474" s="188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9">
        <f t="shared" si="269"/>
        <v>0</v>
      </c>
      <c r="AW475" s="1889">
        <f t="shared" si="270"/>
        <v>0</v>
      </c>
      <c r="AX475" s="188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9">
        <f t="shared" si="269"/>
        <v>0</v>
      </c>
      <c r="AW476" s="1889">
        <f t="shared" si="270"/>
        <v>0</v>
      </c>
      <c r="AX476" s="188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9">
        <f t="shared" si="269"/>
        <v>0</v>
      </c>
      <c r="AW477" s="1889">
        <f t="shared" si="270"/>
        <v>0</v>
      </c>
      <c r="AX477" s="188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9">
        <f t="shared" si="269"/>
        <v>0</v>
      </c>
      <c r="AW478" s="1889">
        <f t="shared" si="270"/>
        <v>0</v>
      </c>
      <c r="AX478" s="188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9">
        <f t="shared" si="269"/>
        <v>0</v>
      </c>
      <c r="AW479" s="1889">
        <f t="shared" si="270"/>
        <v>0</v>
      </c>
      <c r="AX479" s="188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9">
        <f t="shared" si="269"/>
        <v>0</v>
      </c>
      <c r="AW480" s="1889">
        <f t="shared" si="270"/>
        <v>0</v>
      </c>
      <c r="AX480" s="188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3"/>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28.5">
      <c r="A3" s="3385"/>
      <c r="B3" s="3385"/>
      <c r="C3" s="3385"/>
      <c r="D3" s="3386"/>
      <c r="E3" s="33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Normal="70" zoomScaleSheetLayoutView="100" workbookViewId="0">
      <selection activeCell="L37" sqref="L37"/>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4" t="s">
        <v>202</v>
      </c>
      <c r="B1" s="1894"/>
      <c r="C1" s="1894"/>
      <c r="D1" s="1894"/>
      <c r="E1" s="1894"/>
      <c r="F1" s="1894"/>
      <c r="G1" s="1894"/>
      <c r="H1" s="1894"/>
      <c r="I1" s="1894"/>
      <c r="J1" s="1894"/>
      <c r="K1" s="1894"/>
      <c r="L1" s="1894"/>
      <c r="M1" s="1894"/>
      <c r="N1" s="1894"/>
      <c r="O1" s="1894"/>
      <c r="P1" s="1894"/>
    </row>
    <row r="2" spans="1:16" ht="15">
      <c r="A2" s="3396" t="s">
        <v>203</v>
      </c>
      <c r="B2" s="3396"/>
      <c r="C2" s="3396"/>
      <c r="D2" s="1885" t="s">
        <v>204</v>
      </c>
      <c r="E2" s="106" t="s">
        <v>205</v>
      </c>
      <c r="F2" s="3079"/>
      <c r="G2" s="1180"/>
      <c r="H2" s="1181"/>
      <c r="I2" s="1182" t="s">
        <v>849</v>
      </c>
      <c r="J2" s="3079"/>
      <c r="K2" s="3079"/>
      <c r="L2" s="3079"/>
      <c r="M2" s="3079"/>
      <c r="N2" s="3079"/>
      <c r="O2" s="3079"/>
      <c r="P2" s="3079"/>
    </row>
    <row r="3" spans="1:16" ht="15.75" thickBot="1">
      <c r="A3" s="3397" t="s">
        <v>206</v>
      </c>
      <c r="B3" s="3397"/>
      <c r="C3" s="3397"/>
      <c r="D3" s="107">
        <f>'数据-基础表'!AY6</f>
        <v>49955.92</v>
      </c>
      <c r="E3" s="107">
        <f>'数据-基础表'!AZ5</f>
        <v>157059.36000000002</v>
      </c>
      <c r="F3" s="3079"/>
      <c r="G3" s="277" t="s">
        <v>850</v>
      </c>
      <c r="H3" s="272" t="s">
        <v>851</v>
      </c>
      <c r="I3" s="1886">
        <f>ROUND('数据-基础表'!B3/'数据-基础表'!A3,2)</f>
        <v>3.14</v>
      </c>
      <c r="J3" s="3079"/>
      <c r="K3" s="3079"/>
      <c r="L3" s="3079"/>
      <c r="M3" s="3079"/>
      <c r="N3" s="3079"/>
      <c r="O3" s="3079"/>
      <c r="P3" s="3079"/>
    </row>
    <row r="4" spans="1:16" ht="15">
      <c r="A4" s="3398"/>
      <c r="B4" s="3399"/>
      <c r="C4" s="3400"/>
      <c r="D4" s="108" t="s">
        <v>204</v>
      </c>
      <c r="E4" s="109" t="s">
        <v>205</v>
      </c>
      <c r="F4" s="3079"/>
      <c r="G4" s="1183"/>
      <c r="H4" s="272" t="s">
        <v>852</v>
      </c>
      <c r="I4" s="1886">
        <f>ROUND(SUMIF('数据-基础表'!I9:AS9,"地上",'数据-基础表'!I5:AS5)/'数据-基础表'!A3,2)</f>
        <v>2.37</v>
      </c>
      <c r="J4" s="3079"/>
      <c r="K4" s="3079"/>
      <c r="L4" s="3079"/>
      <c r="M4" s="3079"/>
      <c r="N4" s="3079"/>
      <c r="O4" s="3079"/>
      <c r="P4" s="3079"/>
    </row>
    <row r="5" spans="1:16">
      <c r="A5" s="110" t="s">
        <v>207</v>
      </c>
      <c r="B5" s="3401" t="s">
        <v>230</v>
      </c>
      <c r="C5" s="3401"/>
      <c r="D5" s="111">
        <f>ROUND($D$3*E5/$E$3,2)</f>
        <v>36413.51</v>
      </c>
      <c r="E5" s="112">
        <f>SUMIF('数据-基础表'!$11:$11,"住宅",'数据-基础表'!$5:$5)</f>
        <v>114482.58</v>
      </c>
      <c r="F5" s="3079"/>
      <c r="G5" s="277" t="s">
        <v>853</v>
      </c>
      <c r="H5" s="272" t="s">
        <v>851</v>
      </c>
      <c r="I5" s="1886">
        <f>ROUND(E31/D31,2)</f>
        <v>3.14</v>
      </c>
      <c r="J5" s="3079"/>
      <c r="K5" s="3079"/>
      <c r="L5" s="3079"/>
      <c r="M5" s="3079"/>
      <c r="N5" s="3079"/>
      <c r="O5" s="3079"/>
      <c r="P5" s="3079"/>
    </row>
    <row r="6" spans="1:16" ht="15" thickBot="1">
      <c r="A6" s="113"/>
      <c r="B6" s="3401" t="s">
        <v>208</v>
      </c>
      <c r="C6" s="3401"/>
      <c r="D6" s="111">
        <f>ROUND($D$3*E6/$E$3,2)</f>
        <v>13542.41</v>
      </c>
      <c r="E6" s="112">
        <f>E3-E5</f>
        <v>42576.780000000013</v>
      </c>
      <c r="F6" s="3079"/>
      <c r="G6" s="1183"/>
      <c r="H6" s="272" t="s">
        <v>852</v>
      </c>
      <c r="I6" s="1886">
        <f>ROUND(F31/D31,2)</f>
        <v>2.37</v>
      </c>
      <c r="J6" s="3079"/>
      <c r="K6" s="3079"/>
      <c r="L6" s="3079"/>
      <c r="M6" s="3079"/>
      <c r="N6" s="3079"/>
      <c r="O6" s="3079"/>
      <c r="P6" s="3079"/>
    </row>
    <row r="7" spans="1:16" ht="15">
      <c r="A7" s="3393"/>
      <c r="B7" s="3394"/>
      <c r="C7" s="3395"/>
      <c r="D7" s="108" t="s">
        <v>204</v>
      </c>
      <c r="E7" s="114" t="s">
        <v>231</v>
      </c>
      <c r="F7" s="3079"/>
      <c r="G7" s="1138" t="s">
        <v>1636</v>
      </c>
      <c r="H7" s="1139"/>
      <c r="I7" s="3303">
        <v>2.31</v>
      </c>
      <c r="J7" s="3079"/>
      <c r="K7" s="3079"/>
      <c r="L7" s="3079"/>
      <c r="M7" s="3079"/>
      <c r="N7" s="3079"/>
      <c r="O7" s="3079"/>
      <c r="P7" s="3079"/>
    </row>
    <row r="8" spans="1:16">
      <c r="A8" s="110" t="s">
        <v>209</v>
      </c>
      <c r="B8" s="115" t="s">
        <v>210</v>
      </c>
      <c r="C8" s="111" t="s">
        <v>211</v>
      </c>
      <c r="D8" s="111">
        <f t="shared" ref="D8:D15" si="0">ROUND($D$3*E8/$E$3,2)</f>
        <v>36413.51</v>
      </c>
      <c r="E8" s="116">
        <f>SUMIF('数据-基础表'!BB10:BK10,"地上",'数据-基础表'!BB5:BK5)</f>
        <v>114482.58</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7" t="s">
        <v>2314</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3653.99</v>
      </c>
      <c r="E12" s="116">
        <f>SUMPRODUCT(('数据-基础表'!BB10:BK10="地下")*('数据-基础表'!BB11:BK11="仓储")*('数据-基础表'!BB5:BK5))</f>
        <v>11488</v>
      </c>
      <c r="F12" s="3079"/>
      <c r="G12" s="3080"/>
      <c r="H12" s="3080"/>
      <c r="I12" s="3079"/>
      <c r="J12" s="3079"/>
      <c r="K12" s="3079"/>
      <c r="L12" s="3079"/>
      <c r="M12" s="3079"/>
      <c r="N12" s="3079"/>
      <c r="O12" s="3079"/>
      <c r="P12" s="3079"/>
    </row>
    <row r="13" spans="1:16">
      <c r="A13" s="117"/>
      <c r="B13" s="118"/>
      <c r="C13" s="2207" t="s">
        <v>2321</v>
      </c>
      <c r="D13" s="111">
        <f t="shared" si="0"/>
        <v>8620.02</v>
      </c>
      <c r="E13" s="116">
        <f>SUMPRODUCT(('数据-基础表'!BB10:BK10="地下")*('数据-基础表'!BB11:BK11="车库")*('数据-基础表'!BB5:BK5))</f>
        <v>27101</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48687.520000000004</v>
      </c>
      <c r="E16" s="120">
        <f>SUM(E8:E15)</f>
        <v>153071.58000000002</v>
      </c>
      <c r="F16" s="3079"/>
      <c r="G16" s="3080"/>
      <c r="H16" s="955" t="s">
        <v>219</v>
      </c>
      <c r="I16" s="956"/>
      <c r="J16" s="1894"/>
      <c r="K16" s="3387" t="s">
        <v>2547</v>
      </c>
      <c r="L16" s="3388"/>
      <c r="M16" s="3388"/>
      <c r="N16" s="3388"/>
      <c r="O16" s="3388"/>
      <c r="P16" s="3389"/>
    </row>
    <row r="17" spans="1:19" ht="15">
      <c r="A17" s="121" t="s">
        <v>216</v>
      </c>
      <c r="B17" s="122" t="s">
        <v>217</v>
      </c>
      <c r="C17" s="2174" t="s">
        <v>2300</v>
      </c>
      <c r="D17" s="108" t="s">
        <v>204</v>
      </c>
      <c r="E17" s="124" t="s">
        <v>205</v>
      </c>
      <c r="F17" s="125"/>
      <c r="G17" s="1317"/>
      <c r="H17" s="957" t="s">
        <v>218</v>
      </c>
      <c r="I17" s="958" t="s">
        <v>2299</v>
      </c>
      <c r="J17" s="1894"/>
      <c r="K17" s="3390" t="s">
        <v>2548</v>
      </c>
      <c r="L17" s="3391"/>
      <c r="M17" s="3392"/>
      <c r="N17" s="3390" t="s">
        <v>2549</v>
      </c>
      <c r="O17" s="3391"/>
      <c r="P17" s="3392"/>
      <c r="R17" s="2175" t="s">
        <v>2298</v>
      </c>
      <c r="S17" s="142"/>
    </row>
    <row r="18" spans="1:19" ht="15">
      <c r="A18" s="117"/>
      <c r="B18" s="128"/>
      <c r="C18" s="129"/>
      <c r="D18" s="2480"/>
      <c r="E18" s="130" t="s">
        <v>220</v>
      </c>
      <c r="F18" s="131" t="s">
        <v>221</v>
      </c>
      <c r="G18" s="1318" t="s">
        <v>222</v>
      </c>
      <c r="H18" s="959" t="s">
        <v>223</v>
      </c>
      <c r="I18" s="960" t="s">
        <v>224</v>
      </c>
      <c r="J18" s="1894"/>
      <c r="K18" s="2445" t="s">
        <v>2550</v>
      </c>
      <c r="L18" s="2446" t="s">
        <v>2551</v>
      </c>
      <c r="M18" s="2447" t="s">
        <v>2552</v>
      </c>
      <c r="N18" s="2445" t="s">
        <v>2550</v>
      </c>
      <c r="O18" s="2446" t="s">
        <v>2551</v>
      </c>
      <c r="P18" s="2447" t="s">
        <v>2552</v>
      </c>
      <c r="R18" s="2176" t="s">
        <v>2296</v>
      </c>
      <c r="S18" s="2176" t="s">
        <v>2297</v>
      </c>
    </row>
    <row r="19" spans="1:19">
      <c r="A19" s="133"/>
      <c r="B19" s="115" t="s">
        <v>225</v>
      </c>
      <c r="C19" s="2734" t="s">
        <v>3023</v>
      </c>
      <c r="D19" s="111">
        <f t="shared" ref="D19:D26" si="1">ROUND($D$3*E19/$E$3,2)</f>
        <v>32483.43</v>
      </c>
      <c r="E19" s="134">
        <f t="shared" ref="E19:E26" si="2">SUM(F19:G19)</f>
        <v>102126.58</v>
      </c>
      <c r="F19" s="3081">
        <v>102126.58</v>
      </c>
      <c r="G19" s="3082"/>
      <c r="H19" s="961">
        <f>ROUND($D$3*I19/$E$3,2)</f>
        <v>1268.3900000000001</v>
      </c>
      <c r="I19" s="116">
        <f>IF($I$17="自定义",P19,M19)</f>
        <v>3987.78</v>
      </c>
      <c r="J19" s="1894"/>
      <c r="K19" s="2448">
        <f t="shared" ref="K19:K26" si="3">ROUND(E$28*E19/E$27,2)</f>
        <v>0</v>
      </c>
      <c r="L19" s="272">
        <f t="shared" ref="L19:L26" si="4">ROUND(IF(COUNTIF(C19,"*住宅*")&gt;0,E$29*E19/E$32,0),2)</f>
        <v>3987.78</v>
      </c>
      <c r="M19" s="2449">
        <f>K19+L19</f>
        <v>3987.78</v>
      </c>
      <c r="N19" s="2450"/>
      <c r="O19" s="2451"/>
      <c r="P19" s="2452">
        <f>N19+O19</f>
        <v>0</v>
      </c>
      <c r="R19" s="272">
        <f t="shared" ref="R19:S26" si="5">D19+H19</f>
        <v>33751.82</v>
      </c>
      <c r="S19" s="2177">
        <f t="shared" si="5"/>
        <v>106114.36</v>
      </c>
    </row>
    <row r="20" spans="1:19">
      <c r="A20" s="137"/>
      <c r="B20" s="115" t="s">
        <v>226</v>
      </c>
      <c r="C20" s="2734" t="s">
        <v>3025</v>
      </c>
      <c r="D20" s="111">
        <f t="shared" si="1"/>
        <v>8620.02</v>
      </c>
      <c r="E20" s="134">
        <f t="shared" si="2"/>
        <v>27101</v>
      </c>
      <c r="F20" s="3081"/>
      <c r="G20" s="3082">
        <f>'数据-基础表'!K13</f>
        <v>27101</v>
      </c>
      <c r="H20" s="961">
        <f t="shared" ref="H20:H26" si="6">ROUND($D$3*I20/$E$3,2)</f>
        <v>0</v>
      </c>
      <c r="I20" s="116">
        <f t="shared" ref="I20:I26" si="7">IF($I$17="自定义",P20,M20)</f>
        <v>0</v>
      </c>
      <c r="J20" s="1894"/>
      <c r="K20" s="2448">
        <f t="shared" si="3"/>
        <v>0</v>
      </c>
      <c r="L20" s="272">
        <f t="shared" si="4"/>
        <v>0</v>
      </c>
      <c r="M20" s="2449">
        <f t="shared" ref="M20:M26" si="8">K20+L20</f>
        <v>0</v>
      </c>
      <c r="N20" s="2450"/>
      <c r="O20" s="2451"/>
      <c r="P20" s="2452">
        <f t="shared" ref="P20:P26" si="9">N20+O20</f>
        <v>0</v>
      </c>
      <c r="R20" s="272">
        <f t="shared" si="5"/>
        <v>8620.02</v>
      </c>
      <c r="S20" s="2177">
        <f t="shared" si="5"/>
        <v>27101</v>
      </c>
    </row>
    <row r="21" spans="1:19">
      <c r="A21" s="137"/>
      <c r="B21" s="115" t="s">
        <v>226</v>
      </c>
      <c r="C21" s="2734" t="s">
        <v>3068</v>
      </c>
      <c r="D21" s="111">
        <f t="shared" si="1"/>
        <v>3653.99</v>
      </c>
      <c r="E21" s="134">
        <f t="shared" si="2"/>
        <v>11488</v>
      </c>
      <c r="F21" s="3081"/>
      <c r="G21" s="3082">
        <f>'数据-基础表'!M13</f>
        <v>11488</v>
      </c>
      <c r="H21" s="961">
        <f t="shared" si="6"/>
        <v>0</v>
      </c>
      <c r="I21" s="116">
        <f t="shared" si="7"/>
        <v>0</v>
      </c>
      <c r="J21" s="1894"/>
      <c r="K21" s="2448">
        <f t="shared" si="3"/>
        <v>0</v>
      </c>
      <c r="L21" s="272">
        <f t="shared" si="4"/>
        <v>0</v>
      </c>
      <c r="M21" s="2449">
        <f t="shared" si="8"/>
        <v>0</v>
      </c>
      <c r="N21" s="2450"/>
      <c r="O21" s="2451"/>
      <c r="P21" s="2452">
        <f t="shared" si="9"/>
        <v>0</v>
      </c>
      <c r="R21" s="272">
        <f t="shared" si="5"/>
        <v>3653.99</v>
      </c>
      <c r="S21" s="2177">
        <f t="shared" si="5"/>
        <v>11488</v>
      </c>
    </row>
    <row r="22" spans="1:19">
      <c r="A22" s="137"/>
      <c r="B22" s="115" t="s">
        <v>226</v>
      </c>
      <c r="C22" s="3296" t="s">
        <v>3135</v>
      </c>
      <c r="D22" s="111">
        <f t="shared" si="1"/>
        <v>3930.08</v>
      </c>
      <c r="E22" s="134">
        <f t="shared" si="2"/>
        <v>12356</v>
      </c>
      <c r="F22" s="3083">
        <v>12356</v>
      </c>
      <c r="G22" s="3084"/>
      <c r="H22" s="961">
        <f t="shared" si="6"/>
        <v>0</v>
      </c>
      <c r="I22" s="116">
        <f t="shared" si="7"/>
        <v>0</v>
      </c>
      <c r="J22" s="1894"/>
      <c r="K22" s="2448">
        <f t="shared" si="3"/>
        <v>0</v>
      </c>
      <c r="L22" s="272">
        <f t="shared" si="4"/>
        <v>0</v>
      </c>
      <c r="M22" s="2449">
        <f t="shared" si="8"/>
        <v>0</v>
      </c>
      <c r="N22" s="2450"/>
      <c r="O22" s="2451"/>
      <c r="P22" s="2452">
        <f t="shared" si="9"/>
        <v>0</v>
      </c>
      <c r="R22" s="272">
        <f t="shared" si="5"/>
        <v>3930.08</v>
      </c>
      <c r="S22" s="2177">
        <f t="shared" si="5"/>
        <v>12356</v>
      </c>
    </row>
    <row r="23" spans="1:19">
      <c r="A23" s="137"/>
      <c r="B23" s="115" t="s">
        <v>226</v>
      </c>
      <c r="C23" s="138"/>
      <c r="D23" s="111">
        <f>ROUND($D$3*E23/$E$3,2)</f>
        <v>0</v>
      </c>
      <c r="E23" s="134">
        <f>SUM(F23:G23)</f>
        <v>0</v>
      </c>
      <c r="F23" s="3083"/>
      <c r="G23" s="3084"/>
      <c r="H23" s="961">
        <f>ROUND($D$3*I23/$E$3,2)</f>
        <v>0</v>
      </c>
      <c r="I23" s="116">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7"/>
      <c r="B24" s="115" t="s">
        <v>226</v>
      </c>
      <c r="C24" s="138"/>
      <c r="D24" s="111">
        <f>ROUND($D$3*E24/$E$3,2)</f>
        <v>0</v>
      </c>
      <c r="E24" s="134">
        <f>SUM(F24:G24)</f>
        <v>0</v>
      </c>
      <c r="F24" s="3083"/>
      <c r="G24" s="3084"/>
      <c r="H24" s="961">
        <f>ROUND($D$3*I24/$E$3,2)</f>
        <v>0</v>
      </c>
      <c r="I24" s="116">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7"/>
      <c r="B25" s="115" t="s">
        <v>226</v>
      </c>
      <c r="C25" s="138"/>
      <c r="D25" s="111">
        <f t="shared" si="1"/>
        <v>0</v>
      </c>
      <c r="E25" s="134">
        <f t="shared" si="2"/>
        <v>0</v>
      </c>
      <c r="F25" s="3083"/>
      <c r="G25" s="3084"/>
      <c r="H25" s="110">
        <f t="shared" si="6"/>
        <v>0</v>
      </c>
      <c r="I25" s="116">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7"/>
      <c r="B26" s="115" t="s">
        <v>226</v>
      </c>
      <c r="C26" s="140"/>
      <c r="D26" s="111">
        <f t="shared" si="1"/>
        <v>0</v>
      </c>
      <c r="E26" s="134">
        <f t="shared" si="2"/>
        <v>0</v>
      </c>
      <c r="F26" s="3083"/>
      <c r="G26" s="3084"/>
      <c r="H26" s="110">
        <f t="shared" si="6"/>
        <v>0</v>
      </c>
      <c r="I26" s="116">
        <f t="shared" si="7"/>
        <v>0</v>
      </c>
      <c r="J26" s="1894"/>
      <c r="K26" s="2453">
        <f t="shared" si="3"/>
        <v>0</v>
      </c>
      <c r="L26" s="277">
        <f t="shared" si="4"/>
        <v>0</v>
      </c>
      <c r="M26" s="144">
        <f t="shared" si="8"/>
        <v>0</v>
      </c>
      <c r="N26" s="2454"/>
      <c r="O26" s="2455"/>
      <c r="P26" s="2456">
        <f t="shared" si="9"/>
        <v>0</v>
      </c>
      <c r="R26" s="272">
        <f t="shared" si="5"/>
        <v>0</v>
      </c>
      <c r="S26" s="2177">
        <f t="shared" si="5"/>
        <v>0</v>
      </c>
    </row>
    <row r="27" spans="1:19" ht="29.25" thickBot="1">
      <c r="A27" s="137"/>
      <c r="B27" s="111"/>
      <c r="C27" s="127" t="s">
        <v>215</v>
      </c>
      <c r="D27" s="134">
        <f>SUM(D19:D26)</f>
        <v>48687.519999999997</v>
      </c>
      <c r="E27" s="141">
        <f>IF(SUM(E19:E26)='数据-基础表'!BA5,SUM(E19:E26),IF(F27="地上面积有误","面积有误","地下面积有误"))</f>
        <v>153071.58000000002</v>
      </c>
      <c r="F27" s="134">
        <f>IF(SUM(F19:F26)=E8,SUM(F19:F26),"地上面积有误")</f>
        <v>114482.58</v>
      </c>
      <c r="G27" s="112">
        <f>SUM(G19:G26)</f>
        <v>38589</v>
      </c>
      <c r="H27" s="962">
        <f>SUM(H19:H26)</f>
        <v>1268.3900000000001</v>
      </c>
      <c r="I27" s="963">
        <f>SUM(I19:I26)</f>
        <v>3987.78</v>
      </c>
      <c r="J27" s="1894"/>
      <c r="K27" s="2457">
        <f>SUM(K19:K26)</f>
        <v>0</v>
      </c>
      <c r="L27" s="2458">
        <f>SUM(L19:L26)</f>
        <v>3987.78</v>
      </c>
      <c r="M27" s="2459">
        <f>SUM(M19:M26)</f>
        <v>3987.78</v>
      </c>
      <c r="N27" s="2457">
        <f t="shared" ref="N27:O27" si="10">SUM(N19:N26)</f>
        <v>0</v>
      </c>
      <c r="O27" s="2458">
        <f t="shared" si="10"/>
        <v>0</v>
      </c>
      <c r="P27" s="2460">
        <f>SUM(P19:P26)</f>
        <v>0</v>
      </c>
      <c r="R27" s="2181" t="str">
        <f>IF(SUM(R19:R26)=$D$3,SUM(R19:R26),SUM(R19:R26)&amp;"误差"&amp;ROUND(SUM(R19:R26)-$D$3,2))</f>
        <v>49955.91误差-0.01</v>
      </c>
      <c r="S27" s="272">
        <f>IF(SUM(S19:S26)=$E$3,SUM(S19:S26),SUM(S19:S26)&amp;"误差"&amp;ROUND(SUM(S19:S26)-E3,2))</f>
        <v>157059.35999999999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79"/>
      <c r="I28" s="3079"/>
      <c r="J28" s="3079"/>
      <c r="K28" s="3079"/>
      <c r="L28" s="3079"/>
      <c r="M28" s="3079"/>
      <c r="N28" s="3079"/>
      <c r="O28" s="3079"/>
      <c r="P28" s="3079"/>
    </row>
    <row r="29" spans="1:19">
      <c r="A29" s="137"/>
      <c r="B29" s="115" t="s">
        <v>227</v>
      </c>
      <c r="C29" s="2189" t="s">
        <v>2307</v>
      </c>
      <c r="D29" s="111">
        <f>ROUND($D$3*E29/$E$3,2)</f>
        <v>1268.3900000000001</v>
      </c>
      <c r="E29" s="134">
        <f>SUM(F29:G29)</f>
        <v>3987.7799999999997</v>
      </c>
      <c r="F29" s="142">
        <f>'数据-基础表'!BM5+'数据-基础表'!BO5</f>
        <v>3987.7799999999997</v>
      </c>
      <c r="G29" s="144">
        <f>'数据-基础表'!BN5+'数据-基础表'!BP5</f>
        <v>0</v>
      </c>
      <c r="H29" s="3079"/>
      <c r="I29" s="3079"/>
      <c r="J29" s="3079"/>
      <c r="K29" s="3079"/>
      <c r="L29" s="3079"/>
      <c r="M29" s="3079"/>
      <c r="N29" s="3079"/>
      <c r="O29" s="3079"/>
      <c r="P29" s="3079"/>
    </row>
    <row r="30" spans="1:19">
      <c r="A30" s="137"/>
      <c r="B30" s="111"/>
      <c r="C30" s="145" t="s">
        <v>215</v>
      </c>
      <c r="D30" s="134">
        <f>SUM(D28:D29)</f>
        <v>1268.3900000000001</v>
      </c>
      <c r="E30" s="134">
        <f>SUM(E28:E29)</f>
        <v>3987.7799999999997</v>
      </c>
      <c r="F30" s="134">
        <f>SUM(F28:F29)</f>
        <v>3987.7799999999997</v>
      </c>
      <c r="G30" s="112">
        <f>SUM(G28:G29)</f>
        <v>0</v>
      </c>
      <c r="H30" s="3079"/>
      <c r="I30" s="3079"/>
      <c r="J30" s="3079"/>
      <c r="K30" s="3079"/>
      <c r="L30" s="3079"/>
      <c r="M30" s="3079"/>
      <c r="N30" s="3079"/>
      <c r="O30" s="3079"/>
      <c r="P30" s="3079"/>
    </row>
    <row r="31" spans="1:19" ht="32.25" customHeight="1" thickBot="1">
      <c r="A31" s="1319"/>
      <c r="B31" s="1320" t="s">
        <v>229</v>
      </c>
      <c r="C31" s="2206" t="s">
        <v>2309</v>
      </c>
      <c r="D31" s="1321">
        <f>D27+D30</f>
        <v>49955.909999999996</v>
      </c>
      <c r="E31" s="1321">
        <f>E27+E30</f>
        <v>157059.36000000002</v>
      </c>
      <c r="F31" s="1322">
        <f>F27+F30</f>
        <v>118470.36</v>
      </c>
      <c r="G31" s="1323">
        <f>G27+G30</f>
        <v>38589</v>
      </c>
      <c r="H31" s="3079"/>
      <c r="I31" s="3079"/>
      <c r="J31" s="3079"/>
      <c r="K31" s="3079"/>
      <c r="L31" s="3079"/>
      <c r="M31" s="3079"/>
      <c r="N31" s="3079"/>
      <c r="O31" s="3079"/>
      <c r="P31" s="3079"/>
    </row>
    <row r="32" spans="1:19">
      <c r="A32" s="1894"/>
      <c r="B32" s="2218" t="s">
        <v>2308</v>
      </c>
      <c r="C32" s="2485"/>
      <c r="D32" s="1183"/>
      <c r="E32" s="1183">
        <f>SUMIF(C19:C26,"*住宅*",E19:E26)</f>
        <v>102126.58</v>
      </c>
      <c r="F32" s="1183"/>
      <c r="G32" s="1183"/>
      <c r="H32" s="3079"/>
      <c r="I32" s="3079"/>
      <c r="J32" s="3079"/>
      <c r="K32" s="3079"/>
      <c r="L32" s="3079"/>
      <c r="M32" s="3079"/>
      <c r="N32" s="3079"/>
      <c r="O32" s="3079"/>
      <c r="P32" s="3079"/>
    </row>
    <row r="33" spans="4:6">
      <c r="D33" s="1896"/>
    </row>
    <row r="34" spans="4:6">
      <c r="F34" s="1895">
        <f ca="1">结果表!G19*10000/'数据-汇总表'!F31</f>
        <v>5961.8287645956334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J28" sqref="J28"/>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4"/>
    <col min="42" max="42" width="13.75" style="1904" customWidth="1"/>
    <col min="43" max="83" width="13.75" style="1904"/>
    <col min="84" max="16384" width="13.75" style="1185"/>
  </cols>
  <sheetData>
    <row r="1" spans="1:83" ht="19.5" thickBot="1">
      <c r="A1" s="146" t="s">
        <v>234</v>
      </c>
      <c r="B1" s="1184"/>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8" customFormat="1" ht="15.75" thickBot="1">
      <c r="A2" s="147" t="s">
        <v>235</v>
      </c>
      <c r="B2" s="2214">
        <f>项目基本情况!D3</f>
        <v>44234</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8" customFormat="1" ht="15" thickBot="1">
      <c r="A3" s="1189"/>
      <c r="B3" s="1186"/>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4" customFormat="1" ht="54">
      <c r="A5" s="2180"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1"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2310</v>
      </c>
      <c r="AI5" s="169" t="s">
        <v>2279</v>
      </c>
      <c r="AJ5" s="169" t="s">
        <v>258</v>
      </c>
      <c r="AK5" s="157" t="s">
        <v>259</v>
      </c>
      <c r="AL5" s="157" t="s">
        <v>260</v>
      </c>
      <c r="AM5" s="170" t="s">
        <v>261</v>
      </c>
      <c r="AN5" s="2242" t="s">
        <v>2357</v>
      </c>
      <c r="AO5" s="3100"/>
      <c r="AP5" s="3085" t="s">
        <v>2974</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8" customFormat="1" ht="14.25">
      <c r="A6" s="2178" t="str">
        <f>'数据-汇总表'!C19</f>
        <v>普通住宅</v>
      </c>
      <c r="B6" s="2213" t="str">
        <f>IF(A6=0,"","经营性")</f>
        <v>经营性</v>
      </c>
      <c r="C6" s="171" t="s">
        <v>914</v>
      </c>
      <c r="D6" s="2184">
        <f>SUMIF(项目基本情况!D$15:I$15,C6,项目基本情况!D$18:I$18)</f>
        <v>70</v>
      </c>
      <c r="E6" s="2185">
        <f>IF(B6="","",SUMIF(项目基本情况!D$15:I$15,C6,项目基本情况!D$17:I$17))</f>
        <v>69724</v>
      </c>
      <c r="F6" s="172">
        <f>SUMIF(项目基本情况!D$15:I$15,C6,项目基本情况!D$19:I$19)</f>
        <v>69.83</v>
      </c>
      <c r="G6" s="173">
        <f>IF(ISERROR(ROUND(POWER(1+H6,D6-F6)*(POWER(1+H6,F6)-1)/(POWER(1+H6,D6)-1),3)),0,ROUND(POWER(1+H6,D6-F6)*(POWER(1+H6,F6)-1)/(POWER(1+H6,D6)-1),3))</f>
        <v>1</v>
      </c>
      <c r="H6" s="2735">
        <v>0.04</v>
      </c>
      <c r="I6" s="2735">
        <v>4.4999999999999998E-2</v>
      </c>
      <c r="J6" s="174">
        <v>8.5000000000000006E-2</v>
      </c>
      <c r="K6" s="177">
        <f>SUMIF('数据-汇总表'!C$19:C$33,'数据-取费表'!A6,'数据-汇总表'!E$19:E$33)</f>
        <v>102126.58</v>
      </c>
      <c r="L6" s="2736">
        <v>3500</v>
      </c>
      <c r="M6" s="175">
        <f t="shared" ref="M6:M14" si="0">ROUND(K6*L6/10000,0)</f>
        <v>35744</v>
      </c>
      <c r="N6" s="2737">
        <v>0</v>
      </c>
      <c r="O6" s="175">
        <f>IF($N$5="成新度","——",ROUND(M6*N6,0))</f>
        <v>0</v>
      </c>
      <c r="P6" s="176">
        <f>IF($N$5="成新度","——",M6-O6)</f>
        <v>35744</v>
      </c>
      <c r="Q6" s="2738">
        <v>0.15</v>
      </c>
      <c r="R6" s="177">
        <f>SUMIF('数据-汇总表'!C$19:C$33,A6,'数据-汇总表'!R$19:R$33)</f>
        <v>33751.82</v>
      </c>
      <c r="S6" s="132">
        <f>IF('数据-汇总表'!$I$17="按面积比例",SUMIF('数据-汇总表'!C$19:C$33,A6,'数据-汇总表'!K$19:K$33),SUMIF('数据-汇总表'!C$19:C$33,A6,'数据-汇总表'!N$19:N$33))</f>
        <v>0</v>
      </c>
      <c r="T6" s="2110" t="str">
        <f>IF($T$4="按面积比例",IF(ISERROR(ROUND($M$14*S6/S$16,0)),"0",ROUND($M$14*S6/S$16,0)),"需自行计算录入")</f>
        <v>0</v>
      </c>
      <c r="U6" s="178"/>
      <c r="V6" s="179"/>
      <c r="W6" s="179"/>
      <c r="X6" s="2197"/>
      <c r="Y6" s="180"/>
      <c r="Z6" s="181"/>
      <c r="AA6" s="174"/>
      <c r="AB6" s="174"/>
      <c r="AC6" s="2200"/>
      <c r="AD6" s="182"/>
      <c r="AE6" s="959">
        <f ca="1">IF(AN6="",0,SUMIF(INDIRECT("'"&amp;AN6&amp;"'"&amp;"!E:E"),$AE$5,INDIRECT("'"&amp;AN6&amp;"'"&amp;"!F:F")))</f>
        <v>0</v>
      </c>
      <c r="AF6" s="139"/>
      <c r="AG6" s="1195">
        <f>IF(AF6="",0,AE6-AF6)</f>
        <v>0</v>
      </c>
      <c r="AH6" s="139"/>
      <c r="AI6" s="185"/>
      <c r="AJ6" s="186"/>
      <c r="AK6" s="187"/>
      <c r="AL6" s="188"/>
      <c r="AM6" s="2749"/>
      <c r="AN6" s="2243"/>
      <c r="AO6" s="3089"/>
      <c r="AP6" s="1186">
        <f>ROUND(1-1/(1+H6)^F6,3)</f>
        <v>0.93500000000000005</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8" customFormat="1" ht="14.25">
      <c r="A7" s="2178" t="str">
        <f>'数据-汇总表'!C20</f>
        <v>车库</v>
      </c>
      <c r="B7" s="2213" t="str">
        <f t="shared" ref="B7:B13" si="1">IF(A7=0,"","经营性")</f>
        <v>经营性</v>
      </c>
      <c r="C7" s="171" t="s">
        <v>3050</v>
      </c>
      <c r="D7" s="2184">
        <f>SUMIF(项目基本情况!D$15:I$15,C7,项目基本情况!D$18:I$18)</f>
        <v>50</v>
      </c>
      <c r="E7" s="2185">
        <f>IF(B7="","",SUMIF(项目基本情况!D$15:I$15,C7,项目基本情况!D$17:I$17))</f>
        <v>62419</v>
      </c>
      <c r="F7" s="172">
        <f>SUMIF(项目基本情况!D$15:I$15,C7,项目基本情况!D$19:I$19)</f>
        <v>49.82</v>
      </c>
      <c r="G7" s="173">
        <f t="shared" ref="G7:G11" si="2">IF(ISERROR(ROUND(POWER(1+H7,D7-F7)*(POWER(1+H7,F7)-1)/(POWER(1+H7,D7)-1),3)),0,ROUND(POWER(1+H7,D7-F7)*(POWER(1+H7,F7)-1)/(POWER(1+H7,D7)-1),3))</f>
        <v>0.999</v>
      </c>
      <c r="H7" s="2735">
        <v>4.4999999999999998E-2</v>
      </c>
      <c r="I7" s="2735">
        <v>0.05</v>
      </c>
      <c r="J7" s="174">
        <v>8.5000000000000006E-2</v>
      </c>
      <c r="K7" s="177">
        <f>SUMIF('数据-汇总表'!C$19:C$33,'数据-取费表'!A7,'数据-汇总表'!E$19:E$33)</f>
        <v>27101</v>
      </c>
      <c r="L7" s="2736">
        <v>2500</v>
      </c>
      <c r="M7" s="175">
        <f t="shared" si="0"/>
        <v>6775</v>
      </c>
      <c r="N7" s="2737">
        <v>0</v>
      </c>
      <c r="O7" s="175">
        <f t="shared" ref="O7:O14" si="3">IF($N$5="成新度","——",ROUND(M7*N7,0))</f>
        <v>0</v>
      </c>
      <c r="P7" s="176">
        <f t="shared" ref="P7:P14" si="4">IF($N$5="成新度","——",M7-O7)</f>
        <v>6775</v>
      </c>
      <c r="Q7" s="2738">
        <v>0.05</v>
      </c>
      <c r="R7" s="177">
        <f>SUMIF('数据-汇总表'!C$19:C$33,A7,'数据-汇总表'!R$19:R$33)</f>
        <v>8620.02</v>
      </c>
      <c r="S7" s="132">
        <f>IF('数据-汇总表'!$I$17="按面积比例",SUMIF('数据-汇总表'!C$19:C$33,A7,'数据-汇总表'!K$19:K$33),SUMIF('数据-汇总表'!C$19:C$33,A7,'数据-汇总表'!N$19:N$33))</f>
        <v>0</v>
      </c>
      <c r="T7" s="2110" t="str">
        <f t="shared" ref="T7:T13" si="5">IF($T$4="按面积比例",IF(ISERROR(ROUND($M$14*S7/S$16,0)),"0",ROUND($M$14*S7/S$16,0)),"需自行计算录入")</f>
        <v>0</v>
      </c>
      <c r="U7" s="3301">
        <v>350</v>
      </c>
      <c r="V7" s="179">
        <v>0.02</v>
      </c>
      <c r="W7" s="179">
        <v>0.1</v>
      </c>
      <c r="X7" s="2197"/>
      <c r="Y7" s="180">
        <v>1</v>
      </c>
      <c r="Z7" s="181"/>
      <c r="AA7" s="174"/>
      <c r="AB7" s="174"/>
      <c r="AC7" s="2200"/>
      <c r="AD7" s="182"/>
      <c r="AE7" s="959">
        <f t="shared" ref="AE7:AE13" ca="1" si="6">IF(AN7="",0,SUMIF(INDIRECT("'"&amp;AN7&amp;"'"&amp;"!E:E"),$AE$5,INDIRECT("'"&amp;AN7&amp;"'"&amp;"!F:F")))</f>
        <v>47.82</v>
      </c>
      <c r="AF7" s="139"/>
      <c r="AG7" s="1195">
        <f t="shared" ref="AG7:AG13" si="7">IF(AF7="",0,AE7-AF7)</f>
        <v>0</v>
      </c>
      <c r="AH7" s="139">
        <v>1011</v>
      </c>
      <c r="AI7" s="185">
        <v>12</v>
      </c>
      <c r="AJ7" s="186"/>
      <c r="AK7" s="187">
        <f>AK8</f>
        <v>1.4999999999999999E-2</v>
      </c>
      <c r="AL7" s="188">
        <f>AL8</f>
        <v>1.5E-3</v>
      </c>
      <c r="AM7" s="2749">
        <f>AM8</f>
        <v>0.01</v>
      </c>
      <c r="AN7" s="2243" t="s">
        <v>3081</v>
      </c>
      <c r="AO7" s="3089"/>
      <c r="AP7" s="1186">
        <f t="shared" ref="AP7:AP13" si="8">ROUND(1-1/(1+H7)^F7,3)</f>
        <v>0.88800000000000001</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8" customFormat="1" ht="14.25">
      <c r="A8" s="2178" t="str">
        <f>'数据-汇总表'!C21</f>
        <v>储藏间</v>
      </c>
      <c r="B8" s="2213" t="str">
        <f t="shared" si="1"/>
        <v>经营性</v>
      </c>
      <c r="C8" s="171" t="s">
        <v>3065</v>
      </c>
      <c r="D8" s="2184">
        <f>SUMIF(项目基本情况!D$15:I$15,C8,项目基本情况!D$18:I$18)</f>
        <v>50</v>
      </c>
      <c r="E8" s="2185">
        <f>IF(B8="","",SUMIF(项目基本情况!D$15:I$15,C8,项目基本情况!D$17:I$17))</f>
        <v>62419</v>
      </c>
      <c r="F8" s="172">
        <f>SUMIF(项目基本情况!D$15:I$15,C8,项目基本情况!D$19:I$19)</f>
        <v>49.82</v>
      </c>
      <c r="G8" s="173">
        <f t="shared" si="2"/>
        <v>0.999</v>
      </c>
      <c r="H8" s="3304">
        <v>4.4999999999999998E-2</v>
      </c>
      <c r="I8" s="3304">
        <v>0.05</v>
      </c>
      <c r="J8" s="174">
        <f>J7</f>
        <v>8.5000000000000006E-2</v>
      </c>
      <c r="K8" s="177">
        <f>SUMIF('数据-汇总表'!C$19:C$33,'数据-取费表'!A8,'数据-汇总表'!E$19:E$33)</f>
        <v>11488</v>
      </c>
      <c r="L8" s="2736">
        <v>2500</v>
      </c>
      <c r="M8" s="175">
        <f>ROUND(K8*L8/10000,0)</f>
        <v>2872</v>
      </c>
      <c r="N8" s="2737">
        <v>0</v>
      </c>
      <c r="O8" s="175">
        <f t="shared" si="3"/>
        <v>0</v>
      </c>
      <c r="P8" s="176">
        <f t="shared" si="4"/>
        <v>2872</v>
      </c>
      <c r="Q8" s="2738">
        <v>0.05</v>
      </c>
      <c r="R8" s="177">
        <f>SUMIF('数据-汇总表'!C$19:C$33,A8,'数据-汇总表'!R$19:R$33)</f>
        <v>3653.99</v>
      </c>
      <c r="S8" s="132">
        <f>IF('数据-汇总表'!$I$17="按面积比例",SUMIF('数据-汇总表'!C$19:C$33,A8,'数据-汇总表'!K$19:K$33),SUMIF('数据-汇总表'!C$19:C$33,A8,'数据-汇总表'!N$19:N$33))</f>
        <v>0</v>
      </c>
      <c r="T8" s="2110" t="str">
        <f t="shared" si="5"/>
        <v>0</v>
      </c>
      <c r="U8" s="3301">
        <v>0.5</v>
      </c>
      <c r="V8" s="179">
        <v>0.02</v>
      </c>
      <c r="W8" s="179">
        <v>0.1</v>
      </c>
      <c r="X8" s="2197"/>
      <c r="Y8" s="180">
        <v>1</v>
      </c>
      <c r="Z8" s="181"/>
      <c r="AA8" s="174"/>
      <c r="AB8" s="174"/>
      <c r="AC8" s="2200"/>
      <c r="AD8" s="182"/>
      <c r="AE8" s="959">
        <f t="shared" ca="1" si="6"/>
        <v>47.82</v>
      </c>
      <c r="AF8" s="139"/>
      <c r="AG8" s="1195">
        <f t="shared" si="7"/>
        <v>0</v>
      </c>
      <c r="AH8" s="139"/>
      <c r="AI8" s="185">
        <v>365</v>
      </c>
      <c r="AJ8" s="186"/>
      <c r="AK8" s="187">
        <v>1.4999999999999999E-2</v>
      </c>
      <c r="AL8" s="188">
        <v>1.5E-3</v>
      </c>
      <c r="AM8" s="2241">
        <v>0.01</v>
      </c>
      <c r="AN8" s="2243" t="s">
        <v>3081</v>
      </c>
      <c r="AO8" s="3089"/>
      <c r="AP8" s="1186">
        <f t="shared" si="8"/>
        <v>0.88800000000000001</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8" customFormat="1" ht="14.25">
      <c r="A9" s="2178" t="str">
        <f>'数据-汇总表'!C22</f>
        <v>保障性住房</v>
      </c>
      <c r="B9" s="2213" t="str">
        <f t="shared" si="1"/>
        <v>经营性</v>
      </c>
      <c r="C9" s="171" t="s">
        <v>914</v>
      </c>
      <c r="D9" s="2184">
        <f>SUMIF(项目基本情况!D$15:I$15,C9,项目基本情况!D$18:I$18)</f>
        <v>70</v>
      </c>
      <c r="E9" s="2185">
        <f>IF(B9="","",SUMIF(项目基本情况!D$15:I$15,C9,项目基本情况!D$17:I$17))</f>
        <v>69724</v>
      </c>
      <c r="F9" s="172">
        <f>SUMIF(项目基本情况!D$15:I$15,C9,项目基本情况!D$19:I$19)</f>
        <v>69.83</v>
      </c>
      <c r="G9" s="173">
        <f t="shared" si="2"/>
        <v>1</v>
      </c>
      <c r="H9" s="174">
        <v>0.04</v>
      </c>
      <c r="I9" s="174">
        <v>4.4999999999999998E-2</v>
      </c>
      <c r="J9" s="174">
        <v>8.5000000000000006E-2</v>
      </c>
      <c r="K9" s="177">
        <f>SUMIF('数据-汇总表'!C$19:C$33,'数据-取费表'!A9,'数据-汇总表'!E$19:E$33)</f>
        <v>12356</v>
      </c>
      <c r="L9" s="3305">
        <v>2300</v>
      </c>
      <c r="M9" s="175">
        <f t="shared" si="0"/>
        <v>2842</v>
      </c>
      <c r="N9" s="192">
        <v>0</v>
      </c>
      <c r="O9" s="175">
        <f t="shared" si="3"/>
        <v>0</v>
      </c>
      <c r="P9" s="176">
        <f t="shared" si="4"/>
        <v>2842</v>
      </c>
      <c r="Q9" s="190">
        <v>0.03</v>
      </c>
      <c r="R9" s="177">
        <f>SUMIF('数据-汇总表'!C$19:C$33,A9,'数据-汇总表'!R$19:R$33)</f>
        <v>3930.08</v>
      </c>
      <c r="S9" s="132">
        <f>IF('数据-汇总表'!$I$17="按面积比例",SUMIF('数据-汇总表'!C$19:C$33,A9,'数据-汇总表'!K$19:K$33),SUMIF('数据-汇总表'!C$19:C$33,A9,'数据-汇总表'!N$19:N$33))</f>
        <v>0</v>
      </c>
      <c r="T9" s="2110" t="str">
        <f t="shared" si="5"/>
        <v>0</v>
      </c>
      <c r="U9" s="178"/>
      <c r="V9" s="179"/>
      <c r="W9" s="179"/>
      <c r="X9" s="2197"/>
      <c r="Y9" s="180"/>
      <c r="Z9" s="181"/>
      <c r="AA9" s="174"/>
      <c r="AB9" s="174"/>
      <c r="AC9" s="2200"/>
      <c r="AD9" s="182"/>
      <c r="AE9" s="959">
        <f t="shared" ca="1" si="6"/>
        <v>0</v>
      </c>
      <c r="AF9" s="139"/>
      <c r="AG9" s="1195">
        <f t="shared" si="7"/>
        <v>0</v>
      </c>
      <c r="AH9" s="139"/>
      <c r="AI9" s="185"/>
      <c r="AJ9" s="186"/>
      <c r="AK9" s="187"/>
      <c r="AL9" s="188"/>
      <c r="AM9" s="2241"/>
      <c r="AN9" s="2243"/>
      <c r="AO9" s="3089"/>
      <c r="AP9" s="1186">
        <f t="shared" si="8"/>
        <v>0.93500000000000005</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8" customFormat="1" ht="14.25">
      <c r="A10" s="2178">
        <f>'数据-汇总表'!C23</f>
        <v>0</v>
      </c>
      <c r="B10" s="2213" t="str">
        <f t="shared" si="1"/>
        <v/>
      </c>
      <c r="C10" s="171"/>
      <c r="D10" s="2184">
        <f>SUMIF(项目基本情况!D$15:I$15,C10,项目基本情况!D$18:I$18)</f>
        <v>0</v>
      </c>
      <c r="E10" s="218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0" t="str">
        <f t="shared" si="5"/>
        <v>0</v>
      </c>
      <c r="U10" s="178"/>
      <c r="V10" s="179"/>
      <c r="W10" s="179"/>
      <c r="X10" s="2197"/>
      <c r="Y10" s="180"/>
      <c r="Z10" s="181"/>
      <c r="AA10" s="174"/>
      <c r="AB10" s="174"/>
      <c r="AC10" s="2200"/>
      <c r="AD10" s="182"/>
      <c r="AE10" s="959">
        <f t="shared" ca="1" si="6"/>
        <v>0</v>
      </c>
      <c r="AF10" s="139"/>
      <c r="AG10" s="1195">
        <f t="shared" si="7"/>
        <v>0</v>
      </c>
      <c r="AH10" s="139"/>
      <c r="AI10" s="185"/>
      <c r="AJ10" s="186"/>
      <c r="AK10" s="187"/>
      <c r="AL10" s="188"/>
      <c r="AM10" s="2241"/>
      <c r="AN10" s="2243"/>
      <c r="AO10" s="3089"/>
      <c r="AP10" s="1186">
        <f t="shared" si="8"/>
        <v>0</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8" customFormat="1" ht="14.25">
      <c r="A11" s="2178">
        <f>'数据-汇总表'!C24</f>
        <v>0</v>
      </c>
      <c r="B11" s="2213" t="str">
        <f t="shared" si="1"/>
        <v/>
      </c>
      <c r="C11" s="171"/>
      <c r="D11" s="2184">
        <f>SUMIF(项目基本情况!D$15:I$15,C11,项目基本情况!D$18:I$18)</f>
        <v>0</v>
      </c>
      <c r="E11" s="218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0" t="str">
        <f t="shared" si="5"/>
        <v>0</v>
      </c>
      <c r="U11" s="183"/>
      <c r="V11" s="174"/>
      <c r="W11" s="174"/>
      <c r="X11" s="2200"/>
      <c r="Y11" s="180"/>
      <c r="Z11" s="193"/>
      <c r="AA11" s="174"/>
      <c r="AB11" s="174"/>
      <c r="AC11" s="2200"/>
      <c r="AD11" s="182"/>
      <c r="AE11" s="959">
        <f t="shared" ca="1" si="6"/>
        <v>0</v>
      </c>
      <c r="AF11" s="139"/>
      <c r="AG11" s="1195">
        <f t="shared" si="7"/>
        <v>0</v>
      </c>
      <c r="AH11" s="139"/>
      <c r="AI11" s="185"/>
      <c r="AJ11" s="186"/>
      <c r="AK11" s="194"/>
      <c r="AL11" s="195"/>
      <c r="AM11" s="1729"/>
      <c r="AN11" s="2243"/>
      <c r="AO11" s="3089"/>
      <c r="AP11" s="1186">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8" customFormat="1" ht="14.25">
      <c r="A12" s="2178">
        <f>'数据-汇总表'!C25</f>
        <v>0</v>
      </c>
      <c r="B12" s="2213" t="str">
        <f t="shared" si="1"/>
        <v/>
      </c>
      <c r="C12" s="171"/>
      <c r="D12" s="2184">
        <f>SUMIF(项目基本情况!D$15:I$15,C12,项目基本情况!D$18:I$18)</f>
        <v>0</v>
      </c>
      <c r="E12" s="218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0" t="str">
        <f t="shared" si="5"/>
        <v>0</v>
      </c>
      <c r="U12" s="183"/>
      <c r="V12" s="174"/>
      <c r="W12" s="174"/>
      <c r="X12" s="2200"/>
      <c r="Y12" s="180"/>
      <c r="Z12" s="193"/>
      <c r="AA12" s="174"/>
      <c r="AB12" s="174"/>
      <c r="AC12" s="2200"/>
      <c r="AD12" s="182"/>
      <c r="AE12" s="959">
        <f t="shared" ca="1" si="6"/>
        <v>0</v>
      </c>
      <c r="AF12" s="139"/>
      <c r="AG12" s="1195">
        <f t="shared" si="7"/>
        <v>0</v>
      </c>
      <c r="AH12" s="139"/>
      <c r="AI12" s="185"/>
      <c r="AJ12" s="186"/>
      <c r="AK12" s="194"/>
      <c r="AL12" s="195"/>
      <c r="AM12" s="1729"/>
      <c r="AN12" s="2243"/>
      <c r="AO12" s="3089"/>
      <c r="AP12" s="1186">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8" customFormat="1" ht="14.25">
      <c r="A13" s="2178">
        <f>'数据-汇总表'!C26</f>
        <v>0</v>
      </c>
      <c r="B13" s="2213" t="str">
        <f t="shared" si="1"/>
        <v/>
      </c>
      <c r="C13" s="171"/>
      <c r="D13" s="2184">
        <f>SUMIF(项目基本情况!D$15:I$15,C13,项目基本情况!D$18:I$18)</f>
        <v>0</v>
      </c>
      <c r="E13" s="218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0" t="str">
        <f t="shared" si="5"/>
        <v>0</v>
      </c>
      <c r="U13" s="178"/>
      <c r="V13" s="179"/>
      <c r="W13" s="179"/>
      <c r="X13" s="2197"/>
      <c r="Y13" s="180"/>
      <c r="Z13" s="181"/>
      <c r="AA13" s="174"/>
      <c r="AB13" s="174"/>
      <c r="AC13" s="2200"/>
      <c r="AD13" s="182"/>
      <c r="AE13" s="959">
        <f t="shared" ca="1" si="6"/>
        <v>0</v>
      </c>
      <c r="AF13" s="139"/>
      <c r="AG13" s="1195">
        <f t="shared" si="7"/>
        <v>0</v>
      </c>
      <c r="AH13" s="139"/>
      <c r="AI13" s="185"/>
      <c r="AJ13" s="186"/>
      <c r="AK13" s="187"/>
      <c r="AL13" s="188"/>
      <c r="AM13" s="2241"/>
      <c r="AN13" s="2243"/>
      <c r="AO13" s="3089"/>
      <c r="AP13" s="1186">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8" customFormat="1" ht="14.25">
      <c r="A14" s="2179" t="s">
        <v>2301</v>
      </c>
      <c r="B14" s="2182" t="s">
        <v>1670</v>
      </c>
      <c r="C14" s="2183" t="s">
        <v>2301</v>
      </c>
      <c r="D14" s="2184"/>
      <c r="E14" s="2185"/>
      <c r="F14" s="172"/>
      <c r="G14" s="173"/>
      <c r="H14" s="2186"/>
      <c r="I14" s="2186"/>
      <c r="J14" s="2186"/>
      <c r="K14" s="177">
        <f>SUMIF('数据-汇总表'!C$19:C$33,'数据-取费表'!A14,'数据-汇总表'!E$19:E$33)</f>
        <v>0</v>
      </c>
      <c r="L14" s="191">
        <v>2500</v>
      </c>
      <c r="M14" s="175">
        <f t="shared" si="0"/>
        <v>0</v>
      </c>
      <c r="N14" s="192">
        <v>0</v>
      </c>
      <c r="O14" s="175">
        <f t="shared" si="3"/>
        <v>0</v>
      </c>
      <c r="P14" s="176">
        <f t="shared" si="4"/>
        <v>0</v>
      </c>
      <c r="Q14" s="2194"/>
      <c r="R14" s="177"/>
      <c r="S14" s="132"/>
      <c r="T14" s="2193"/>
      <c r="U14" s="961"/>
      <c r="V14" s="2196"/>
      <c r="W14" s="2196"/>
      <c r="X14" s="2197"/>
      <c r="Y14" s="2198"/>
      <c r="Z14" s="135"/>
      <c r="AA14" s="2199"/>
      <c r="AB14" s="2199"/>
      <c r="AC14" s="2200"/>
      <c r="AD14" s="2197"/>
      <c r="AE14" s="959"/>
      <c r="AF14" s="2172"/>
      <c r="AG14" s="1195"/>
      <c r="AH14" s="2172"/>
      <c r="AI14" s="1503"/>
      <c r="AJ14" s="1503"/>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8" customFormat="1" ht="27">
      <c r="A15" s="2188" t="s">
        <v>2303</v>
      </c>
      <c r="B15" s="2182" t="s">
        <v>1670</v>
      </c>
      <c r="C15" s="2183" t="s">
        <v>2302</v>
      </c>
      <c r="D15" s="2184"/>
      <c r="E15" s="2185"/>
      <c r="F15" s="172"/>
      <c r="G15" s="173"/>
      <c r="H15" s="2186"/>
      <c r="I15" s="2186"/>
      <c r="J15" s="2186"/>
      <c r="K15" s="177">
        <f>SUMIF('数据-汇总表'!C$19:C$33,'数据-取费表'!A15,'数据-汇总表'!E$19:E$33)</f>
        <v>3987.7799999999997</v>
      </c>
      <c r="L15" s="2192"/>
      <c r="M15" s="175"/>
      <c r="N15" s="2195"/>
      <c r="O15" s="175"/>
      <c r="P15" s="176"/>
      <c r="Q15" s="2194"/>
      <c r="R15" s="177"/>
      <c r="S15" s="132"/>
      <c r="T15" s="2193"/>
      <c r="U15" s="961"/>
      <c r="V15" s="2196"/>
      <c r="W15" s="2196"/>
      <c r="X15" s="2197"/>
      <c r="Y15" s="2198"/>
      <c r="Z15" s="135"/>
      <c r="AA15" s="2199"/>
      <c r="AB15" s="2199"/>
      <c r="AC15" s="2200"/>
      <c r="AD15" s="2197"/>
      <c r="AE15" s="959"/>
      <c r="AF15" s="2172"/>
      <c r="AG15" s="1195"/>
      <c r="AH15" s="2172"/>
      <c r="AI15" s="1503"/>
      <c r="AJ15" s="1503"/>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8"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157059.36000000002</v>
      </c>
      <c r="L16" s="204">
        <f>ROUND(M16*10000/SUM(K6:K14),0)</f>
        <v>3151</v>
      </c>
      <c r="M16" s="204">
        <f>SUM(M6:M14)</f>
        <v>48233</v>
      </c>
      <c r="N16" s="205">
        <f>ROUND(SUMPRODUCT(M6:M14,N6:N14)/M16,3)</f>
        <v>0</v>
      </c>
      <c r="O16" s="204">
        <f>SUM(O6:O14)</f>
        <v>0</v>
      </c>
      <c r="P16" s="204">
        <f>SUM(P6:P14)</f>
        <v>48233</v>
      </c>
      <c r="Q16" s="206">
        <f>ROUND(SUMPRODUCT(Q6:Q13,K6:K13)/SUMPRODUCT((Q6:Q13&gt;0)*(K6:K13)),2)</f>
        <v>0.12</v>
      </c>
      <c r="R16" s="2187">
        <f>SUM(R6:R13)</f>
        <v>49955.909999999996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0.92300000000000004</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2987</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v>
      </c>
      <c r="C20" s="3101" t="s">
        <v>2322</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2324</v>
      </c>
      <c r="B27" s="225">
        <v>128</v>
      </c>
      <c r="C27" s="3102" t="s">
        <v>2988</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7" customFormat="1" ht="27.75">
      <c r="A28" s="226" t="s">
        <v>2325</v>
      </c>
      <c r="B28" s="227">
        <v>108</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7" customFormat="1" ht="28.5" thickBot="1">
      <c r="A29" s="229" t="s">
        <v>2323</v>
      </c>
      <c r="B29" s="230"/>
      <c r="C29" s="3103" t="s">
        <v>2326</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7" customFormat="1" ht="27">
      <c r="A31" s="226" t="s">
        <v>274</v>
      </c>
      <c r="B31" s="228">
        <f>B30-B32</f>
        <v>200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7" customFormat="1" ht="27.75" thickBot="1">
      <c r="A32" s="235" t="s">
        <v>275</v>
      </c>
      <c r="B32" s="3306">
        <v>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7" customFormat="1" ht="14.25">
      <c r="A33" s="224" t="s">
        <v>278</v>
      </c>
      <c r="B33" s="1327">
        <v>0.03</v>
      </c>
      <c r="C33" s="3104" t="s">
        <v>2975</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6" t="s">
        <v>279</v>
      </c>
      <c r="B34" s="3309">
        <v>0.03</v>
      </c>
      <c r="C34" s="3104" t="s">
        <v>2976</v>
      </c>
      <c r="D34" s="3105" t="s">
        <v>2984</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f>B30</f>
        <v>200</v>
      </c>
      <c r="C35" s="3104" t="s">
        <v>2977</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2978</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2979</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2979</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2437</v>
      </c>
      <c r="B39" s="789">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8" t="s">
        <v>2438</v>
      </c>
      <c r="B40" s="2330">
        <f ca="1">存贷款利率!E2</f>
        <v>4.7500000000000001E-2</v>
      </c>
      <c r="C40" s="3104" t="s">
        <v>2980</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3307">
        <v>7.0000000000000007E-2</v>
      </c>
      <c r="C44" s="3104" t="s">
        <v>2985</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2981</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2982</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0" t="s">
        <v>288</v>
      </c>
      <c r="B47" s="241">
        <v>0</v>
      </c>
      <c r="C47" s="3102" t="s">
        <v>2989</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2" t="s">
        <v>289</v>
      </c>
      <c r="B48" s="243">
        <v>0.04</v>
      </c>
      <c r="C48" s="3107" t="s">
        <v>2981</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2983</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4" t="s">
        <v>291</v>
      </c>
      <c r="B50" s="245">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6">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4" t="s">
        <v>293</v>
      </c>
      <c r="B52" s="247">
        <f>SUMIF(A54:A63,B53,B54:B63)</f>
        <v>30</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8" t="s">
        <v>1087</v>
      </c>
      <c r="C53" s="3097" t="s">
        <v>2871</v>
      </c>
      <c r="D53" s="3108" t="s">
        <v>2986</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2872</v>
      </c>
      <c r="B54" s="184">
        <v>30</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2873</v>
      </c>
      <c r="B55" s="184">
        <v>15</v>
      </c>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2874</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2875</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2876</v>
      </c>
      <c r="B58" s="184"/>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2877</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2878</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2879</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2880</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2881</v>
      </c>
      <c r="B63" s="249"/>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50"/>
      <c r="D64" s="1905"/>
      <c r="K64" s="57"/>
      <c r="L64" s="57"/>
    </row>
    <row r="65" spans="1:12" s="1904" customFormat="1">
      <c r="A65" s="250"/>
      <c r="D65" s="1905"/>
      <c r="K65" s="57"/>
      <c r="L65" s="57"/>
    </row>
    <row r="66" spans="1:12" s="1904" customFormat="1">
      <c r="A66" s="250"/>
      <c r="D66" s="1905"/>
      <c r="K66" s="57"/>
      <c r="L66" s="57"/>
    </row>
    <row r="67" spans="1:12" s="1904" customFormat="1">
      <c r="A67" s="250"/>
      <c r="D67" s="1905"/>
      <c r="K67" s="57"/>
      <c r="L67" s="57"/>
    </row>
    <row r="68" spans="1:12" s="1904" customFormat="1">
      <c r="A68" s="250"/>
      <c r="D68" s="1905"/>
      <c r="K68" s="57"/>
      <c r="L68" s="57"/>
    </row>
    <row r="69" spans="1:12" s="1904" customFormat="1">
      <c r="A69" s="250"/>
      <c r="D69" s="1905"/>
      <c r="K69" s="57"/>
      <c r="L69" s="57"/>
    </row>
    <row r="70" spans="1:12" s="1904" customFormat="1">
      <c r="A70" s="250"/>
      <c r="D70" s="1905"/>
      <c r="K70" s="57"/>
      <c r="L70" s="57"/>
    </row>
    <row r="71" spans="1:12" s="1904" customFormat="1">
      <c r="A71" s="250"/>
      <c r="D71" s="1905"/>
      <c r="K71" s="57"/>
      <c r="L71" s="57"/>
    </row>
    <row r="72" spans="1:12" s="1904" customFormat="1">
      <c r="A72" s="250"/>
      <c r="D72" s="1905"/>
      <c r="K72" s="57"/>
      <c r="L72" s="57"/>
    </row>
    <row r="73" spans="1:12" s="1904" customFormat="1">
      <c r="A73" s="250"/>
      <c r="D73" s="1905"/>
      <c r="K73" s="57"/>
      <c r="L73" s="57"/>
    </row>
    <row r="74" spans="1:12" s="1904" customFormat="1">
      <c r="A74" s="250"/>
      <c r="D74" s="1905"/>
      <c r="K74" s="57"/>
      <c r="L74" s="57"/>
    </row>
    <row r="75" spans="1:12" s="1904" customFormat="1">
      <c r="A75" s="250"/>
      <c r="D75" s="1905"/>
      <c r="K75" s="57"/>
      <c r="L75" s="57"/>
    </row>
    <row r="76" spans="1:12" s="1904" customFormat="1">
      <c r="A76" s="250"/>
      <c r="D76" s="1905"/>
      <c r="K76" s="57"/>
      <c r="L76" s="57"/>
    </row>
    <row r="77" spans="1:12" s="1904" customFormat="1">
      <c r="A77" s="250"/>
      <c r="D77" s="1905"/>
      <c r="K77" s="57"/>
      <c r="L77" s="57"/>
    </row>
    <row r="78" spans="1:12" s="1904" customFormat="1">
      <c r="A78" s="250"/>
      <c r="D78" s="1905"/>
      <c r="K78" s="57"/>
      <c r="L78" s="57"/>
    </row>
    <row r="79" spans="1:12" s="1904" customFormat="1">
      <c r="A79" s="250"/>
      <c r="D79" s="1905"/>
      <c r="K79" s="57"/>
      <c r="L79" s="57"/>
    </row>
    <row r="80" spans="1:12" s="1904" customFormat="1">
      <c r="A80" s="250"/>
      <c r="D80" s="1905"/>
      <c r="K80" s="57"/>
      <c r="L80" s="57"/>
    </row>
    <row r="81" spans="1:12" s="1904" customFormat="1">
      <c r="A81" s="250"/>
      <c r="D81" s="1905"/>
      <c r="K81" s="57"/>
      <c r="L81" s="57"/>
    </row>
    <row r="82" spans="1:12" s="1904" customFormat="1">
      <c r="A82" s="250"/>
      <c r="D82" s="1905"/>
      <c r="K82" s="57"/>
      <c r="L82" s="57"/>
    </row>
    <row r="83" spans="1:12" s="1904" customFormat="1">
      <c r="A83" s="250"/>
      <c r="D83" s="1905"/>
      <c r="K83" s="57"/>
      <c r="L83" s="57"/>
    </row>
    <row r="84" spans="1:12" s="1904" customFormat="1">
      <c r="A84" s="250"/>
      <c r="D84" s="1905"/>
      <c r="K84" s="57"/>
      <c r="L84" s="57"/>
    </row>
    <row r="85" spans="1:12" s="1904" customFormat="1">
      <c r="A85" s="250"/>
      <c r="D85" s="1905"/>
      <c r="K85" s="57"/>
      <c r="L85" s="57"/>
    </row>
    <row r="86" spans="1:12" s="1904" customFormat="1">
      <c r="A86" s="250"/>
      <c r="D86" s="1905"/>
      <c r="K86" s="57"/>
      <c r="L86" s="57"/>
    </row>
    <row r="87" spans="1:12" s="1904" customFormat="1">
      <c r="A87" s="250"/>
      <c r="D87" s="1905"/>
      <c r="K87" s="57"/>
      <c r="L87" s="57"/>
    </row>
    <row r="88" spans="1:12" s="1904" customFormat="1">
      <c r="A88" s="250"/>
      <c r="D88" s="1905"/>
      <c r="K88" s="57"/>
      <c r="L88" s="57"/>
    </row>
    <row r="89" spans="1:12" s="1904" customFormat="1">
      <c r="A89" s="250"/>
      <c r="D89" s="1905"/>
      <c r="K89" s="57"/>
      <c r="L89" s="57"/>
    </row>
    <row r="90" spans="1:12" s="1904" customFormat="1">
      <c r="A90" s="250"/>
      <c r="D90" s="1905"/>
      <c r="K90" s="57"/>
      <c r="L90" s="57"/>
    </row>
    <row r="91" spans="1:12" s="1904" customFormat="1">
      <c r="A91" s="250"/>
      <c r="D91" s="1905"/>
      <c r="K91" s="57"/>
      <c r="L91" s="57"/>
    </row>
    <row r="92" spans="1:12" s="1904" customFormat="1">
      <c r="A92" s="250"/>
      <c r="D92" s="1905"/>
      <c r="K92" s="57"/>
      <c r="L92" s="57"/>
    </row>
    <row r="93" spans="1:12" s="1904" customFormat="1">
      <c r="A93" s="250"/>
      <c r="D93" s="1905"/>
      <c r="K93" s="57"/>
      <c r="L93" s="57"/>
    </row>
    <row r="94" spans="1:12" s="1904" customFormat="1">
      <c r="A94" s="250"/>
      <c r="D94" s="1905"/>
      <c r="K94" s="57"/>
      <c r="L94" s="57"/>
    </row>
    <row r="95" spans="1:12" s="1904" customFormat="1">
      <c r="A95" s="250"/>
      <c r="D95" s="1905"/>
      <c r="K95" s="57"/>
      <c r="L95" s="57"/>
    </row>
    <row r="96" spans="1:12" s="1904" customFormat="1">
      <c r="A96" s="250"/>
      <c r="D96" s="1905"/>
      <c r="K96" s="57"/>
      <c r="L96" s="57"/>
    </row>
    <row r="97" spans="1:12" s="1904" customFormat="1">
      <c r="A97" s="250"/>
      <c r="D97" s="1905"/>
      <c r="K97" s="57"/>
      <c r="L97" s="57"/>
    </row>
    <row r="98" spans="1:12" s="1904" customFormat="1">
      <c r="A98" s="250"/>
      <c r="D98" s="1905"/>
      <c r="K98" s="57"/>
      <c r="L98" s="57"/>
    </row>
    <row r="99" spans="1:12" s="1904" customFormat="1">
      <c r="A99" s="250"/>
      <c r="D99" s="1905"/>
      <c r="K99" s="57"/>
      <c r="L99" s="57"/>
    </row>
    <row r="100" spans="1:12" s="1904" customFormat="1">
      <c r="A100" s="250"/>
      <c r="D100" s="1905"/>
      <c r="K100" s="57"/>
      <c r="L100" s="57"/>
    </row>
    <row r="101" spans="1:12" s="1904" customFormat="1">
      <c r="A101" s="250"/>
      <c r="D101" s="1905"/>
      <c r="K101" s="57"/>
      <c r="L101" s="57"/>
    </row>
    <row r="102" spans="1:12" s="1904" customFormat="1">
      <c r="A102" s="250"/>
      <c r="D102" s="1905"/>
      <c r="K102" s="57"/>
      <c r="L102" s="57"/>
    </row>
    <row r="103" spans="1:12" s="1904" customFormat="1">
      <c r="A103" s="250"/>
      <c r="D103" s="1905"/>
      <c r="K103" s="57"/>
      <c r="L103" s="57"/>
    </row>
    <row r="104" spans="1:12" s="1904" customFormat="1">
      <c r="A104" s="250"/>
      <c r="D104" s="1905"/>
      <c r="K104" s="57"/>
      <c r="L104" s="57"/>
    </row>
    <row r="105" spans="1:12" s="1904" customFormat="1">
      <c r="A105" s="250"/>
      <c r="D105" s="1905"/>
      <c r="K105" s="57"/>
      <c r="L105" s="57"/>
    </row>
    <row r="106" spans="1:12" s="1904" customFormat="1">
      <c r="A106" s="250"/>
      <c r="D106" s="1905"/>
      <c r="K106" s="57"/>
      <c r="L106" s="57"/>
    </row>
    <row r="107" spans="1:12" s="1904" customFormat="1">
      <c r="A107" s="250"/>
      <c r="D107" s="1905"/>
      <c r="K107" s="57"/>
      <c r="L107" s="57"/>
    </row>
    <row r="108" spans="1:12" s="1904" customFormat="1">
      <c r="A108" s="250"/>
      <c r="D108" s="1905"/>
      <c r="K108" s="57"/>
      <c r="L108" s="57"/>
    </row>
    <row r="109" spans="1:12" s="1904" customFormat="1">
      <c r="A109" s="250"/>
      <c r="D109" s="1905"/>
      <c r="K109" s="57"/>
      <c r="L109" s="57"/>
    </row>
    <row r="110" spans="1:12" s="1904" customFormat="1">
      <c r="A110" s="250"/>
      <c r="D110" s="1905"/>
      <c r="K110" s="57"/>
      <c r="L110" s="57"/>
    </row>
    <row r="111" spans="1:12" s="1904" customFormat="1">
      <c r="A111" s="250"/>
      <c r="D111" s="1905"/>
      <c r="K111" s="57"/>
      <c r="L111" s="57"/>
    </row>
    <row r="112" spans="1:12" s="1904" customFormat="1">
      <c r="A112" s="250"/>
      <c r="D112" s="1905"/>
      <c r="K112" s="57"/>
      <c r="L112" s="57"/>
    </row>
    <row r="113" spans="1:12" s="1904" customFormat="1">
      <c r="A113" s="250"/>
      <c r="D113" s="1905"/>
      <c r="K113" s="57"/>
      <c r="L113" s="57"/>
    </row>
    <row r="114" spans="1:12" s="1904" customFormat="1">
      <c r="A114" s="250"/>
      <c r="D114" s="1905"/>
      <c r="K114" s="57"/>
      <c r="L114" s="57"/>
    </row>
    <row r="115" spans="1:12" s="1904" customFormat="1">
      <c r="A115" s="250"/>
      <c r="D115" s="1905"/>
      <c r="K115" s="57"/>
      <c r="L115" s="57"/>
    </row>
    <row r="116" spans="1:12" s="1904" customFormat="1">
      <c r="A116" s="250"/>
      <c r="D116" s="1905"/>
      <c r="K116" s="57"/>
      <c r="L116" s="57"/>
    </row>
    <row r="117" spans="1:12" s="1904" customFormat="1">
      <c r="A117" s="250"/>
      <c r="D117" s="1905"/>
      <c r="K117" s="57"/>
      <c r="L117" s="57"/>
    </row>
    <row r="118" spans="1:12" s="1904" customFormat="1">
      <c r="A118" s="250"/>
      <c r="D118" s="1905"/>
      <c r="K118" s="57"/>
      <c r="L118" s="57"/>
    </row>
    <row r="119" spans="1:12" s="1904" customFormat="1">
      <c r="A119" s="250"/>
      <c r="D119" s="1905"/>
      <c r="K119" s="57"/>
      <c r="L119" s="57"/>
    </row>
    <row r="120" spans="1:12" s="1904" customFormat="1">
      <c r="A120" s="250"/>
      <c r="D120" s="1905"/>
      <c r="K120" s="57"/>
      <c r="L120" s="57"/>
    </row>
    <row r="121" spans="1:12" s="1904" customFormat="1">
      <c r="A121" s="250"/>
      <c r="D121" s="1905"/>
      <c r="K121" s="57"/>
      <c r="L121" s="57"/>
    </row>
    <row r="122" spans="1:12" s="1904" customFormat="1">
      <c r="A122" s="250"/>
      <c r="D122" s="1905"/>
      <c r="K122" s="57"/>
      <c r="L122" s="57"/>
    </row>
    <row r="123" spans="1:12" s="1904" customFormat="1">
      <c r="A123" s="250"/>
      <c r="D123" s="1905"/>
      <c r="K123" s="57"/>
      <c r="L123" s="57"/>
    </row>
    <row r="124" spans="1:12" s="1904" customFormat="1">
      <c r="A124" s="250"/>
      <c r="D124" s="1905"/>
      <c r="K124" s="57"/>
      <c r="L124" s="57"/>
    </row>
    <row r="125" spans="1:12" s="1904" customFormat="1">
      <c r="A125" s="250"/>
      <c r="D125" s="1905"/>
      <c r="K125" s="57"/>
      <c r="L125" s="57"/>
    </row>
    <row r="126" spans="1:12" s="1904" customFormat="1">
      <c r="A126" s="250"/>
      <c r="D126" s="1905"/>
      <c r="K126" s="57"/>
      <c r="L126" s="57"/>
    </row>
    <row r="127" spans="1:12" s="1904" customFormat="1">
      <c r="A127" s="250"/>
      <c r="D127" s="1905"/>
      <c r="K127" s="57"/>
      <c r="L127" s="57"/>
    </row>
    <row r="128" spans="1:12" s="1904" customFormat="1">
      <c r="A128" s="250"/>
      <c r="D128" s="1905"/>
      <c r="K128" s="57"/>
      <c r="L128" s="57"/>
    </row>
    <row r="129" spans="1:12" s="1904" customFormat="1">
      <c r="A129" s="250"/>
      <c r="D129" s="1905"/>
      <c r="K129" s="57"/>
      <c r="L129" s="57"/>
    </row>
    <row r="130" spans="1:12" s="1904" customFormat="1">
      <c r="A130" s="250"/>
      <c r="D130" s="1905"/>
      <c r="K130" s="57"/>
      <c r="L130" s="57"/>
    </row>
    <row r="131" spans="1:12" s="1904" customFormat="1">
      <c r="A131" s="250"/>
      <c r="D131" s="1905"/>
      <c r="K131" s="57"/>
      <c r="L131" s="57"/>
    </row>
    <row r="132" spans="1:12" s="1904" customFormat="1">
      <c r="A132" s="250"/>
      <c r="D132" s="1905"/>
      <c r="K132" s="57"/>
      <c r="L132" s="57"/>
    </row>
    <row r="133" spans="1:12" s="1904" customFormat="1">
      <c r="A133" s="250"/>
      <c r="D133" s="1905"/>
      <c r="K133" s="57"/>
      <c r="L133" s="57"/>
    </row>
    <row r="134" spans="1:12" s="1904" customFormat="1">
      <c r="A134" s="250"/>
      <c r="D134" s="1905"/>
      <c r="K134" s="57"/>
      <c r="L134" s="57"/>
    </row>
    <row r="135" spans="1:12" s="1904" customFormat="1">
      <c r="A135" s="250"/>
      <c r="D135" s="1905"/>
      <c r="K135" s="57"/>
      <c r="L135" s="57"/>
    </row>
    <row r="136" spans="1:12" s="1904" customFormat="1">
      <c r="A136" s="250"/>
      <c r="D136" s="1905"/>
      <c r="K136" s="57"/>
      <c r="L136" s="57"/>
    </row>
    <row r="137" spans="1:12" s="1904" customFormat="1">
      <c r="A137" s="250"/>
      <c r="D137" s="1905"/>
      <c r="K137" s="57"/>
      <c r="L137" s="57"/>
    </row>
    <row r="138" spans="1:12" s="1904" customFormat="1">
      <c r="A138" s="250"/>
      <c r="D138" s="1905"/>
      <c r="K138" s="57"/>
      <c r="L138" s="57"/>
    </row>
    <row r="139" spans="1:12" s="1904" customFormat="1">
      <c r="A139" s="250"/>
      <c r="D139" s="1905"/>
      <c r="K139" s="57"/>
      <c r="L139" s="57"/>
    </row>
    <row r="140" spans="1:12" s="1904" customFormat="1">
      <c r="A140" s="250"/>
      <c r="D140" s="1905"/>
      <c r="K140" s="57"/>
      <c r="L140" s="57"/>
    </row>
    <row r="141" spans="1:12" s="1904" customFormat="1">
      <c r="A141" s="250"/>
      <c r="D141" s="1905"/>
      <c r="K141" s="57"/>
      <c r="L141" s="57"/>
    </row>
    <row r="142" spans="1:12" s="1904" customFormat="1">
      <c r="A142" s="250"/>
      <c r="D142" s="1905"/>
      <c r="K142" s="57"/>
      <c r="L142" s="57"/>
    </row>
    <row r="143" spans="1:12" s="1904" customFormat="1">
      <c r="A143" s="250"/>
      <c r="D143" s="1905"/>
      <c r="K143" s="57"/>
      <c r="L143" s="57"/>
    </row>
    <row r="144" spans="1:12" s="1904" customFormat="1">
      <c r="A144" s="250"/>
      <c r="D144" s="1905"/>
      <c r="K144" s="57"/>
      <c r="L144" s="57"/>
    </row>
    <row r="145" spans="1:12" s="1904" customFormat="1">
      <c r="A145" s="250"/>
      <c r="D145" s="1905"/>
      <c r="K145" s="57"/>
      <c r="L145" s="57"/>
    </row>
    <row r="146" spans="1:12" s="1904" customFormat="1">
      <c r="A146" s="250"/>
      <c r="D146" s="1905"/>
      <c r="K146" s="57"/>
      <c r="L146" s="57"/>
    </row>
    <row r="147" spans="1:12" s="1904" customFormat="1">
      <c r="A147" s="250"/>
      <c r="D147" s="1905"/>
      <c r="K147" s="57"/>
      <c r="L147" s="57"/>
    </row>
    <row r="148" spans="1:12" s="1904" customFormat="1">
      <c r="A148" s="250"/>
      <c r="D148" s="1905"/>
      <c r="K148" s="57"/>
      <c r="L148" s="57"/>
    </row>
    <row r="149" spans="1:12" s="1904" customFormat="1">
      <c r="A149" s="250"/>
      <c r="D149" s="1905"/>
      <c r="K149" s="57"/>
      <c r="L149" s="57"/>
    </row>
    <row r="150" spans="1:12" s="1904" customFormat="1">
      <c r="A150" s="250"/>
      <c r="D150" s="1905"/>
      <c r="K150" s="57"/>
      <c r="L150" s="57"/>
    </row>
    <row r="151" spans="1:12" s="1904" customFormat="1">
      <c r="A151" s="250"/>
      <c r="D151" s="1905"/>
      <c r="K151" s="57"/>
      <c r="L151" s="57"/>
    </row>
    <row r="152" spans="1:12" s="1904" customFormat="1">
      <c r="A152" s="250"/>
      <c r="D152" s="1905"/>
      <c r="K152" s="57"/>
      <c r="L152" s="57"/>
    </row>
    <row r="153" spans="1:12" s="1904" customFormat="1">
      <c r="A153" s="250"/>
      <c r="D153" s="1905"/>
      <c r="K153" s="57"/>
      <c r="L153" s="57"/>
    </row>
    <row r="154" spans="1:12" s="1904" customFormat="1">
      <c r="A154" s="250"/>
      <c r="D154" s="1905"/>
      <c r="K154" s="57"/>
      <c r="L154" s="57"/>
    </row>
    <row r="155" spans="1:12" s="1904" customFormat="1">
      <c r="A155" s="250"/>
      <c r="D155" s="1905"/>
      <c r="K155" s="57"/>
      <c r="L155" s="57"/>
    </row>
    <row r="156" spans="1:12" s="1904" customFormat="1">
      <c r="A156" s="250"/>
      <c r="D156" s="1905"/>
      <c r="K156" s="57"/>
      <c r="L156" s="57"/>
    </row>
    <row r="157" spans="1:12" s="1904" customFormat="1">
      <c r="A157" s="250"/>
      <c r="D157" s="1905"/>
      <c r="K157" s="57"/>
      <c r="L157" s="57"/>
    </row>
    <row r="158" spans="1:12" s="1904" customFormat="1">
      <c r="A158" s="250"/>
      <c r="D158" s="1905"/>
      <c r="K158" s="57"/>
      <c r="L158" s="57"/>
    </row>
    <row r="159" spans="1:12" s="1904" customFormat="1">
      <c r="A159" s="250"/>
      <c r="D159" s="1905"/>
      <c r="K159" s="57"/>
      <c r="L159" s="57"/>
    </row>
    <row r="160" spans="1:12" s="1904" customFormat="1">
      <c r="A160" s="250"/>
      <c r="D160" s="1905"/>
      <c r="K160" s="57"/>
      <c r="L160" s="57"/>
    </row>
    <row r="161" spans="1:12" s="1904" customFormat="1">
      <c r="A161" s="250"/>
      <c r="D161" s="1905"/>
      <c r="K161" s="57"/>
      <c r="L161" s="57"/>
    </row>
    <row r="162" spans="1:12" s="1904" customFormat="1">
      <c r="A162" s="250"/>
      <c r="D162" s="1905"/>
      <c r="K162" s="57"/>
      <c r="L162" s="57"/>
    </row>
    <row r="163" spans="1:12" s="1904" customFormat="1">
      <c r="A163" s="250"/>
      <c r="D163" s="1905"/>
      <c r="K163" s="57"/>
      <c r="L163" s="57"/>
    </row>
    <row r="164" spans="1:12" s="1904" customFormat="1">
      <c r="A164" s="250"/>
      <c r="D164" s="1905"/>
      <c r="K164" s="57"/>
      <c r="L164" s="57"/>
    </row>
    <row r="165" spans="1:12" s="1904" customFormat="1">
      <c r="A165" s="250"/>
      <c r="D165" s="1905"/>
      <c r="K165" s="57"/>
      <c r="L165" s="57"/>
    </row>
    <row r="166" spans="1:12" s="1904" customFormat="1">
      <c r="A166" s="250"/>
      <c r="D166" s="1905"/>
      <c r="K166" s="57"/>
      <c r="L166" s="57"/>
    </row>
    <row r="167" spans="1:12" s="1904" customFormat="1">
      <c r="A167" s="250"/>
      <c r="D167" s="1905"/>
      <c r="K167" s="57"/>
      <c r="L167" s="57"/>
    </row>
    <row r="168" spans="1:12" s="1904" customFormat="1">
      <c r="A168" s="250"/>
      <c r="D168" s="1905"/>
      <c r="K168" s="57"/>
      <c r="L168" s="57"/>
    </row>
    <row r="169" spans="1:12" s="1904" customFormat="1">
      <c r="A169" s="250"/>
      <c r="D169" s="1905"/>
      <c r="K169" s="57"/>
      <c r="L169" s="57"/>
    </row>
    <row r="170" spans="1:12" s="1904" customFormat="1">
      <c r="A170" s="250"/>
      <c r="D170" s="1905"/>
      <c r="K170" s="57"/>
      <c r="L170" s="57"/>
    </row>
    <row r="171" spans="1:12" s="1904" customFormat="1">
      <c r="A171" s="250"/>
      <c r="D171" s="1905"/>
      <c r="K171" s="57"/>
      <c r="L171" s="57"/>
    </row>
    <row r="172" spans="1:12" s="1904" customFormat="1">
      <c r="A172" s="250"/>
      <c r="D172" s="1905"/>
      <c r="K172" s="57"/>
      <c r="L172" s="57"/>
    </row>
    <row r="173" spans="1:12" s="1904" customFormat="1">
      <c r="A173" s="250"/>
      <c r="D173" s="1905"/>
      <c r="K173" s="57"/>
      <c r="L173" s="57"/>
    </row>
    <row r="174" spans="1:12" s="1904" customFormat="1">
      <c r="A174" s="250"/>
      <c r="D174" s="1905"/>
      <c r="K174" s="57"/>
      <c r="L174" s="57"/>
    </row>
    <row r="175" spans="1:12" s="1904" customFormat="1">
      <c r="A175" s="250"/>
      <c r="D175" s="1905"/>
      <c r="K175" s="57"/>
      <c r="L175" s="57"/>
    </row>
    <row r="176" spans="1:12" s="1904" customFormat="1">
      <c r="A176" s="250"/>
      <c r="D176" s="1905"/>
      <c r="K176" s="57"/>
      <c r="L176" s="57"/>
    </row>
    <row r="177" spans="1:12" s="1904" customFormat="1">
      <c r="A177" s="250"/>
      <c r="D177" s="1905"/>
      <c r="K177" s="57"/>
      <c r="L177" s="57"/>
    </row>
    <row r="178" spans="1:12" s="1904" customFormat="1">
      <c r="A178" s="250"/>
      <c r="D178" s="1905"/>
      <c r="K178" s="57"/>
      <c r="L178" s="57"/>
    </row>
    <row r="179" spans="1:12" s="1904" customFormat="1">
      <c r="A179" s="250"/>
      <c r="D179" s="1905"/>
      <c r="K179" s="57"/>
      <c r="L179" s="57"/>
    </row>
    <row r="180" spans="1:12" s="1904" customFormat="1">
      <c r="A180" s="250"/>
      <c r="D180" s="1905"/>
      <c r="K180" s="57"/>
      <c r="L180" s="57"/>
    </row>
    <row r="181" spans="1:12" s="1904" customFormat="1">
      <c r="A181" s="250"/>
      <c r="D181" s="1905"/>
      <c r="K181" s="57"/>
      <c r="L181" s="57"/>
    </row>
    <row r="182" spans="1:12" s="1904" customFormat="1">
      <c r="A182" s="250"/>
      <c r="D182" s="1905"/>
      <c r="K182" s="57"/>
      <c r="L182" s="57"/>
    </row>
    <row r="183" spans="1:12" s="1904" customFormat="1">
      <c r="A183" s="250"/>
      <c r="D183" s="1905"/>
      <c r="K183" s="57"/>
      <c r="L183" s="57"/>
    </row>
    <row r="184" spans="1:12" s="1904" customFormat="1">
      <c r="A184" s="250"/>
      <c r="D184" s="1905"/>
      <c r="K184" s="57"/>
      <c r="L184" s="57"/>
    </row>
    <row r="185" spans="1:12" s="1904" customFormat="1">
      <c r="A185" s="250"/>
      <c r="D185" s="1905"/>
      <c r="K185" s="57"/>
      <c r="L185" s="57"/>
    </row>
    <row r="186" spans="1:12" s="1904" customFormat="1">
      <c r="A186" s="250"/>
      <c r="D186" s="1905"/>
      <c r="K186" s="57"/>
      <c r="L186" s="57"/>
    </row>
    <row r="187" spans="1:12" s="1904" customFormat="1">
      <c r="A187" s="250"/>
      <c r="D187" s="1905"/>
      <c r="K187" s="57"/>
      <c r="L187" s="57"/>
    </row>
    <row r="188" spans="1:12" s="1904" customFormat="1">
      <c r="A188" s="250"/>
      <c r="D188" s="1905"/>
      <c r="K188" s="57"/>
      <c r="L188" s="57"/>
    </row>
    <row r="189" spans="1:12" s="1904" customFormat="1">
      <c r="A189" s="250"/>
      <c r="D189" s="1905"/>
      <c r="K189" s="57"/>
      <c r="L189" s="57"/>
    </row>
    <row r="190" spans="1:12" s="1904" customFormat="1">
      <c r="A190" s="250"/>
      <c r="D190" s="1905"/>
      <c r="K190" s="57"/>
      <c r="L190" s="57"/>
    </row>
    <row r="191" spans="1:12" s="1904" customFormat="1">
      <c r="A191" s="250"/>
      <c r="D191" s="1905"/>
      <c r="K191" s="57"/>
      <c r="L191" s="57"/>
    </row>
    <row r="192" spans="1:12" s="1904" customFormat="1">
      <c r="A192" s="250"/>
      <c r="D192" s="1905"/>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402" t="s">
        <v>1654</v>
      </c>
      <c r="B1" s="3403"/>
      <c r="C1" s="3403"/>
      <c r="D1" s="3403"/>
      <c r="E1" s="3403"/>
      <c r="F1" s="3403"/>
      <c r="G1" s="3403"/>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2888</v>
      </c>
      <c r="D3" s="3124"/>
      <c r="E3" s="3125" t="s">
        <v>1657</v>
      </c>
      <c r="F3" s="3126" t="s">
        <v>1645</v>
      </c>
      <c r="G3" s="3127" t="s">
        <v>2887</v>
      </c>
      <c r="H3" s="3120"/>
      <c r="I3" s="3120"/>
      <c r="J3" s="3120"/>
      <c r="K3" s="3120"/>
      <c r="L3" s="3120"/>
      <c r="M3" s="3120"/>
      <c r="N3" s="3120"/>
      <c r="O3" s="3120"/>
      <c r="P3" s="3120"/>
      <c r="Q3" s="3120"/>
      <c r="R3" s="3120"/>
    </row>
    <row r="4" spans="1:18" ht="40.5">
      <c r="A4" s="3125"/>
      <c r="B4" s="3128" t="s">
        <v>1658</v>
      </c>
      <c r="C4" s="3129" t="s">
        <v>2889</v>
      </c>
      <c r="D4" s="3124"/>
      <c r="E4" s="3130"/>
      <c r="F4" s="3131" t="s">
        <v>1659</v>
      </c>
      <c r="G4" s="3132" t="s">
        <v>2884</v>
      </c>
      <c r="H4" s="3120"/>
      <c r="I4" s="3120"/>
      <c r="J4" s="3120"/>
      <c r="K4" s="3120"/>
      <c r="L4" s="3120"/>
      <c r="M4" s="3120"/>
      <c r="N4" s="3120"/>
      <c r="O4" s="3120"/>
      <c r="P4" s="3120"/>
      <c r="Q4" s="3120"/>
      <c r="R4" s="3120"/>
    </row>
    <row r="5" spans="1:18" ht="41.25">
      <c r="A5" s="3125"/>
      <c r="B5" s="3128" t="s">
        <v>1660</v>
      </c>
      <c r="C5" s="3129" t="s">
        <v>2890</v>
      </c>
      <c r="D5" s="3124"/>
      <c r="E5" s="3130"/>
      <c r="F5" s="3128" t="s">
        <v>2527</v>
      </c>
      <c r="G5" s="3132" t="s">
        <v>2885</v>
      </c>
      <c r="H5" s="3120"/>
      <c r="I5" s="3120"/>
      <c r="J5" s="3120"/>
      <c r="K5" s="3120"/>
      <c r="L5" s="3120"/>
      <c r="M5" s="3120"/>
      <c r="N5" s="3120"/>
      <c r="O5" s="3120"/>
      <c r="P5" s="3120"/>
      <c r="Q5" s="3120"/>
      <c r="R5" s="3120"/>
    </row>
    <row r="6" spans="1:18" ht="40.5">
      <c r="A6" s="3125"/>
      <c r="B6" s="3128" t="s">
        <v>1646</v>
      </c>
      <c r="C6" s="3132" t="s">
        <v>2884</v>
      </c>
      <c r="D6" s="3124"/>
      <c r="E6" s="3130"/>
      <c r="F6" s="3128" t="s">
        <v>2528</v>
      </c>
      <c r="G6" s="3132" t="s">
        <v>2882</v>
      </c>
      <c r="H6" s="3120"/>
      <c r="I6" s="3120"/>
      <c r="J6" s="3120"/>
      <c r="K6" s="3120"/>
      <c r="L6" s="3120"/>
      <c r="M6" s="3120"/>
      <c r="N6" s="3120"/>
      <c r="O6" s="3120"/>
      <c r="P6" s="3120"/>
      <c r="Q6" s="3120"/>
      <c r="R6" s="3120"/>
    </row>
    <row r="7" spans="1:18" ht="27.75" thickBot="1">
      <c r="A7" s="3125"/>
      <c r="B7" s="3128" t="s">
        <v>2527</v>
      </c>
      <c r="C7" s="3132" t="s">
        <v>2885</v>
      </c>
      <c r="D7" s="3133"/>
      <c r="E7" s="3134"/>
      <c r="F7" s="3135" t="s">
        <v>1661</v>
      </c>
      <c r="G7" s="3136" t="s">
        <v>2886</v>
      </c>
      <c r="H7" s="3120"/>
      <c r="I7" s="3120"/>
      <c r="J7" s="3120"/>
      <c r="K7" s="3120"/>
      <c r="L7" s="3120"/>
      <c r="M7" s="3120"/>
      <c r="N7" s="3120"/>
      <c r="O7" s="3120"/>
      <c r="P7" s="3120"/>
      <c r="Q7" s="3120"/>
      <c r="R7" s="3120"/>
    </row>
    <row r="8" spans="1:18">
      <c r="A8" s="3125"/>
      <c r="B8" s="3128" t="s">
        <v>2528</v>
      </c>
      <c r="C8" s="3132" t="s">
        <v>2882</v>
      </c>
      <c r="D8" s="3133"/>
      <c r="E8" s="3133"/>
      <c r="F8" s="3137"/>
      <c r="G8" s="3137"/>
      <c r="H8" s="3120"/>
      <c r="I8" s="3120"/>
      <c r="J8" s="3120"/>
      <c r="K8" s="3120"/>
      <c r="L8" s="3120"/>
      <c r="M8" s="3120"/>
      <c r="N8" s="3120"/>
      <c r="O8" s="3120"/>
      <c r="P8" s="3120"/>
      <c r="Q8" s="3120"/>
      <c r="R8" s="3120"/>
    </row>
    <row r="9" spans="1:18" ht="27">
      <c r="A9" s="3125"/>
      <c r="B9" s="3128" t="s">
        <v>1647</v>
      </c>
      <c r="C9" s="3129" t="s">
        <v>2883</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157059.36000000002</v>
      </c>
      <c r="C1" s="3191"/>
      <c r="D1" s="3191"/>
      <c r="E1" s="3191"/>
      <c r="F1" s="3191"/>
      <c r="G1" s="3192"/>
      <c r="H1" s="3192"/>
      <c r="I1" s="3192"/>
      <c r="J1" s="3192"/>
    </row>
    <row r="2" spans="1:10" ht="16.5">
      <c r="A2" s="3182" t="s">
        <v>2824</v>
      </c>
      <c r="B2" s="3182">
        <f>SUM(C14:C23)</f>
        <v>49955.92</v>
      </c>
      <c r="C2" s="3191"/>
      <c r="D2" s="3191"/>
      <c r="E2" s="3191"/>
      <c r="F2" s="3191"/>
      <c r="G2" s="3192"/>
      <c r="H2" s="3192"/>
      <c r="I2" s="3192"/>
      <c r="J2" s="3192"/>
    </row>
    <row r="3" spans="1:10" ht="16.5">
      <c r="A3" s="3182" t="s">
        <v>2825</v>
      </c>
      <c r="B3" s="3184">
        <f>项目基本情况!D3</f>
        <v>44234</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70630</v>
      </c>
      <c r="C5" s="3182">
        <f ca="1">ROUND(B5*10000/$B$1,0)</f>
        <v>4497</v>
      </c>
      <c r="D5" s="3182">
        <f ca="1">ROUND(B5*10000/$B$2,0)</f>
        <v>14138</v>
      </c>
      <c r="E5" s="3191"/>
      <c r="F5" s="3191"/>
      <c r="G5" s="3192"/>
      <c r="H5" s="3192"/>
      <c r="I5" s="3192"/>
      <c r="J5" s="3192"/>
    </row>
    <row r="6" spans="1:10" ht="16.5">
      <c r="A6" s="3182" t="s">
        <v>2831</v>
      </c>
      <c r="B6" s="3182">
        <f ca="1">SUM(G14:G23)</f>
        <v>70630</v>
      </c>
      <c r="C6" s="3182">
        <f t="shared" ref="C6:C8" ca="1" si="0">ROUND(B6*10000/$B$1,0)</f>
        <v>4497</v>
      </c>
      <c r="D6" s="3182">
        <f t="shared" ref="D6:D8" ca="1" si="1">ROUND(B6*10000/$B$2,0)</f>
        <v>14138</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SUM(I14:I23)</f>
        <v>0</v>
      </c>
      <c r="C8" s="3182">
        <f t="shared" si="0"/>
        <v>0</v>
      </c>
      <c r="D8" s="3182">
        <f t="shared" si="1"/>
        <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157059.36000000002</v>
      </c>
      <c r="C14" s="3188">
        <f>结果表!K38</f>
        <v>49955.92</v>
      </c>
      <c r="D14" s="3188">
        <f ca="1">结果表!C42</f>
        <v>70630</v>
      </c>
      <c r="E14" s="3188">
        <f ca="1">ROUND(D14*10000/B14,0)</f>
        <v>4497</v>
      </c>
      <c r="F14" s="3188">
        <f ca="1">ROUND(D14*10000/C14,0)</f>
        <v>14138</v>
      </c>
      <c r="G14" s="3188">
        <f ca="1">结果表!C44</f>
        <v>70630</v>
      </c>
      <c r="H14" s="3188" t="str">
        <f>结果表!C45</f>
        <v>——</v>
      </c>
      <c r="I14" s="3188" t="str">
        <f>结果表!C46</f>
        <v>——</v>
      </c>
      <c r="J14" s="3192"/>
    </row>
    <row r="15" spans="1:10" ht="16.5">
      <c r="A15" s="3187" t="s">
        <v>2840</v>
      </c>
      <c r="B15" s="3189"/>
      <c r="C15" s="3189"/>
      <c r="D15" s="3189"/>
      <c r="E15" s="3188" t="e">
        <f t="shared" ref="E15:E23" si="2">ROUND(D15*10000/B15,0)</f>
        <v>#DIV/0!</v>
      </c>
      <c r="F15" s="3188" t="e">
        <f t="shared" ref="F15:F23" si="3">ROUND(D15*10000/C15,0)</f>
        <v>#DIV/0!</v>
      </c>
      <c r="G15" s="2754"/>
      <c r="H15" s="2754"/>
      <c r="I15" s="3189"/>
      <c r="J15" s="3192"/>
    </row>
    <row r="16" spans="1:10" ht="16.5">
      <c r="A16" s="3187" t="s">
        <v>2841</v>
      </c>
      <c r="B16" s="3189"/>
      <c r="C16" s="3189"/>
      <c r="D16" s="3189"/>
      <c r="E16" s="3188" t="e">
        <f t="shared" si="2"/>
        <v>#DIV/0!</v>
      </c>
      <c r="F16" s="3188" t="e">
        <f t="shared" si="3"/>
        <v>#DIV/0!</v>
      </c>
      <c r="G16" s="2754"/>
      <c r="H16" s="2754"/>
      <c r="I16" s="3189"/>
      <c r="J16" s="3192"/>
    </row>
    <row r="17" spans="1:10" ht="16.5">
      <c r="A17" s="3187" t="s">
        <v>2842</v>
      </c>
      <c r="B17" s="3189"/>
      <c r="C17" s="3189"/>
      <c r="D17" s="3189"/>
      <c r="E17" s="3188" t="e">
        <f t="shared" si="2"/>
        <v>#DIV/0!</v>
      </c>
      <c r="F17" s="3188" t="e">
        <f t="shared" si="3"/>
        <v>#DIV/0!</v>
      </c>
      <c r="G17" s="2754"/>
      <c r="H17" s="2754"/>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6" zoomScale="90" zoomScaleNormal="100" zoomScaleSheetLayoutView="90" zoomScalePageLayoutView="80" workbookViewId="0">
      <selection activeCell="H29" sqref="H2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8" t="s">
        <v>2043</v>
      </c>
      <c r="B1" s="1689"/>
      <c r="C1" s="1717" t="s">
        <v>2044</v>
      </c>
      <c r="D1" s="1718" t="s">
        <v>3078</v>
      </c>
      <c r="E1" s="1717" t="s">
        <v>2045</v>
      </c>
      <c r="F1" s="1719" t="s">
        <v>3079</v>
      </c>
      <c r="G1" s="308"/>
      <c r="H1" s="308"/>
      <c r="I1" s="308"/>
      <c r="J1" s="1908"/>
      <c r="K1" s="1908"/>
      <c r="L1" s="1908"/>
      <c r="M1" s="1908"/>
      <c r="N1" s="1908"/>
      <c r="O1" s="1908"/>
      <c r="P1" s="1908"/>
      <c r="Q1" s="1908"/>
      <c r="R1" s="1908"/>
      <c r="S1" s="1908"/>
      <c r="T1" s="1908"/>
      <c r="U1" s="1908"/>
      <c r="V1" s="1908"/>
    </row>
    <row r="2" spans="1:22" ht="21.75" customHeight="1" thickBot="1">
      <c r="A2" s="3448" t="str">
        <f>项目基本情况!K2</f>
        <v>石家庄市东至祁连街、西至规划路、南至规划路、北至漓江道出让国有建设用地使用权</v>
      </c>
      <c r="B2" s="3449"/>
      <c r="C2" s="3450"/>
      <c r="D2" s="3450"/>
      <c r="E2" s="3450"/>
      <c r="F2" s="3450"/>
      <c r="G2" s="3449"/>
      <c r="H2" s="3449"/>
      <c r="I2" s="3451"/>
      <c r="J2" s="1909"/>
      <c r="K2" s="1908"/>
      <c r="L2" s="1908"/>
      <c r="M2" s="1908"/>
      <c r="N2" s="1908"/>
      <c r="O2" s="1908"/>
      <c r="P2" s="1908"/>
      <c r="Q2" s="1908"/>
      <c r="R2" s="1908"/>
      <c r="S2" s="1908"/>
      <c r="T2" s="1908"/>
      <c r="U2" s="1908"/>
      <c r="V2" s="1908"/>
    </row>
    <row r="3" spans="1:22" ht="14.25">
      <c r="A3" s="3459" t="s">
        <v>298</v>
      </c>
      <c r="B3" s="3460"/>
      <c r="C3" s="3460"/>
      <c r="D3" s="3460"/>
      <c r="E3" s="3460"/>
      <c r="F3" s="3460"/>
      <c r="G3" s="3460"/>
      <c r="H3" s="3460"/>
      <c r="I3" s="3460"/>
      <c r="J3" s="1909"/>
      <c r="K3" s="1908"/>
      <c r="L3" s="1908"/>
      <c r="M3" s="1908"/>
      <c r="N3" s="1908"/>
      <c r="O3" s="1908"/>
      <c r="P3" s="1908"/>
      <c r="Q3" s="1908"/>
      <c r="R3" s="1908"/>
      <c r="S3" s="1908"/>
      <c r="T3" s="1908"/>
      <c r="U3" s="1908"/>
      <c r="V3" s="1908"/>
    </row>
    <row r="4" spans="1:22" ht="14.25">
      <c r="A4" s="255" t="s">
        <v>299</v>
      </c>
      <c r="B4" s="256" t="s">
        <v>300</v>
      </c>
      <c r="C4" s="257" t="s">
        <v>3076</v>
      </c>
      <c r="D4" s="257" t="s">
        <v>3077</v>
      </c>
      <c r="E4" s="3423" t="s">
        <v>301</v>
      </c>
      <c r="F4" s="3465"/>
      <c r="G4" s="3465"/>
      <c r="H4" s="3465"/>
      <c r="I4" s="3424"/>
      <c r="J4" s="1909"/>
      <c r="K4" s="1908"/>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452" t="s">
        <v>302</v>
      </c>
      <c r="B5" s="3453">
        <v>25</v>
      </c>
      <c r="C5" s="3461"/>
      <c r="D5" s="3464"/>
      <c r="E5" s="258" t="s">
        <v>303</v>
      </c>
      <c r="F5" s="259"/>
      <c r="G5" s="259"/>
      <c r="H5" s="259"/>
      <c r="I5" s="260"/>
      <c r="J5" s="1909"/>
      <c r="K5" s="1908"/>
      <c r="L5" s="1908"/>
      <c r="M5" s="1908"/>
      <c r="N5" s="1908"/>
      <c r="O5" s="1908"/>
      <c r="P5" s="1908"/>
      <c r="Q5" s="1908"/>
      <c r="R5" s="1908"/>
      <c r="S5" s="1908"/>
      <c r="T5" s="1908"/>
      <c r="U5" s="1908"/>
      <c r="V5" s="1908"/>
    </row>
    <row r="6" spans="1:22" ht="14.25">
      <c r="A6" s="3452"/>
      <c r="B6" s="3453"/>
      <c r="C6" s="3462"/>
      <c r="D6" s="3464"/>
      <c r="E6" s="258" t="s">
        <v>304</v>
      </c>
      <c r="F6" s="259"/>
      <c r="G6" s="259"/>
      <c r="H6" s="259"/>
      <c r="I6" s="260"/>
      <c r="J6" s="1909"/>
      <c r="K6" s="1908"/>
      <c r="L6" s="1908"/>
      <c r="M6" s="1908"/>
      <c r="N6" s="1908"/>
      <c r="O6" s="1908"/>
      <c r="P6" s="1908"/>
      <c r="Q6" s="1908"/>
      <c r="R6" s="1908"/>
      <c r="S6" s="1908"/>
      <c r="T6" s="1908"/>
      <c r="U6" s="1908"/>
      <c r="V6" s="1908"/>
    </row>
    <row r="7" spans="1:22" ht="14.25">
      <c r="A7" s="3452"/>
      <c r="B7" s="3453"/>
      <c r="C7" s="3463"/>
      <c r="D7" s="3464"/>
      <c r="E7" s="258" t="s">
        <v>305</v>
      </c>
      <c r="F7" s="259"/>
      <c r="G7" s="259"/>
      <c r="H7" s="259"/>
      <c r="I7" s="260"/>
      <c r="J7" s="1909"/>
      <c r="K7" s="1908"/>
      <c r="L7" s="1908"/>
      <c r="M7" s="1908"/>
      <c r="N7" s="1908"/>
      <c r="O7" s="1908"/>
      <c r="P7" s="1908"/>
      <c r="Q7" s="1908"/>
      <c r="R7" s="1908"/>
      <c r="S7" s="1908"/>
      <c r="T7" s="1908"/>
      <c r="U7" s="1908"/>
      <c r="V7" s="1908"/>
    </row>
    <row r="8" spans="1:22" ht="14.25">
      <c r="A8" s="3452" t="s">
        <v>306</v>
      </c>
      <c r="B8" s="3453">
        <v>15</v>
      </c>
      <c r="C8" s="3461"/>
      <c r="D8" s="3464"/>
      <c r="E8" s="258" t="s">
        <v>307</v>
      </c>
      <c r="F8" s="259"/>
      <c r="G8" s="259"/>
      <c r="H8" s="259"/>
      <c r="I8" s="260"/>
      <c r="J8" s="1909"/>
      <c r="K8" s="1908"/>
      <c r="L8" s="1908"/>
      <c r="M8" s="1908"/>
      <c r="N8" s="1908"/>
      <c r="O8" s="1908"/>
      <c r="P8" s="1908"/>
      <c r="Q8" s="1908"/>
      <c r="R8" s="1908"/>
      <c r="S8" s="1908"/>
      <c r="T8" s="1908"/>
      <c r="U8" s="1908"/>
      <c r="V8" s="1908"/>
    </row>
    <row r="9" spans="1:22" ht="14.25">
      <c r="A9" s="3452"/>
      <c r="B9" s="3453"/>
      <c r="C9" s="3463"/>
      <c r="D9" s="3464"/>
      <c r="E9" s="258" t="s">
        <v>308</v>
      </c>
      <c r="F9" s="259"/>
      <c r="G9" s="259"/>
      <c r="H9" s="259"/>
      <c r="I9" s="260"/>
      <c r="J9" s="1909"/>
      <c r="K9" s="1908"/>
      <c r="L9" s="1908"/>
      <c r="M9" s="1908"/>
      <c r="N9" s="1908"/>
      <c r="O9" s="1908"/>
      <c r="P9" s="1908"/>
      <c r="Q9" s="1908"/>
      <c r="R9" s="1908"/>
      <c r="S9" s="1908"/>
      <c r="T9" s="1908"/>
      <c r="U9" s="1908"/>
      <c r="V9" s="1908"/>
    </row>
    <row r="10" spans="1:22" ht="14.25">
      <c r="A10" s="3452" t="s">
        <v>309</v>
      </c>
      <c r="B10" s="3453">
        <v>15</v>
      </c>
      <c r="C10" s="3461"/>
      <c r="D10" s="3464"/>
      <c r="E10" s="258" t="s">
        <v>310</v>
      </c>
      <c r="F10" s="259"/>
      <c r="G10" s="259"/>
      <c r="H10" s="259"/>
      <c r="I10" s="260"/>
      <c r="J10" s="1909"/>
      <c r="K10" s="1908"/>
      <c r="L10" s="1908"/>
      <c r="M10" s="1908"/>
      <c r="N10" s="1908"/>
      <c r="O10" s="1908"/>
      <c r="P10" s="1908"/>
      <c r="Q10" s="1908"/>
      <c r="R10" s="1908"/>
      <c r="S10" s="1908"/>
      <c r="T10" s="1908"/>
      <c r="U10" s="1908"/>
      <c r="V10" s="1908"/>
    </row>
    <row r="11" spans="1:22" ht="14.25">
      <c r="A11" s="3452"/>
      <c r="B11" s="3453"/>
      <c r="C11" s="3463"/>
      <c r="D11" s="3464"/>
      <c r="E11" s="258" t="s">
        <v>311</v>
      </c>
      <c r="F11" s="259"/>
      <c r="G11" s="259"/>
      <c r="H11" s="259"/>
      <c r="I11" s="260"/>
      <c r="J11" s="1909"/>
      <c r="K11" s="1908"/>
      <c r="L11" s="1908"/>
      <c r="M11" s="1908"/>
      <c r="N11" s="1908"/>
      <c r="O11" s="1908"/>
      <c r="P11" s="1908"/>
      <c r="Q11" s="1908"/>
      <c r="R11" s="1908"/>
      <c r="S11" s="1908"/>
      <c r="T11" s="1908"/>
      <c r="U11" s="1908"/>
      <c r="V11" s="1908"/>
    </row>
    <row r="12" spans="1:22" ht="14.25">
      <c r="A12" s="3452" t="s">
        <v>312</v>
      </c>
      <c r="B12" s="3453">
        <v>15</v>
      </c>
      <c r="C12" s="3461"/>
      <c r="D12" s="3464"/>
      <c r="E12" s="258" t="s">
        <v>313</v>
      </c>
      <c r="F12" s="259"/>
      <c r="G12" s="259"/>
      <c r="H12" s="259"/>
      <c r="I12" s="260"/>
      <c r="J12" s="1909"/>
      <c r="K12" s="1908"/>
      <c r="L12" s="1908"/>
      <c r="M12" s="1908"/>
      <c r="N12" s="1908"/>
      <c r="O12" s="1908"/>
      <c r="P12" s="1908"/>
      <c r="Q12" s="1908"/>
      <c r="R12" s="1908"/>
      <c r="S12" s="1908"/>
      <c r="T12" s="1908"/>
      <c r="U12" s="1908"/>
      <c r="V12" s="1908"/>
    </row>
    <row r="13" spans="1:22" ht="14.25">
      <c r="A13" s="3452"/>
      <c r="B13" s="3453"/>
      <c r="C13" s="3463"/>
      <c r="D13" s="3464"/>
      <c r="E13" s="258" t="s">
        <v>314</v>
      </c>
      <c r="F13" s="259"/>
      <c r="G13" s="259"/>
      <c r="H13" s="259"/>
      <c r="I13" s="260"/>
      <c r="J13" s="1909"/>
      <c r="K13" s="1908"/>
      <c r="L13" s="1908"/>
      <c r="M13" s="1908"/>
      <c r="N13" s="1908"/>
      <c r="O13" s="1908"/>
      <c r="P13" s="1908"/>
      <c r="Q13" s="1908"/>
      <c r="R13" s="1908"/>
      <c r="S13" s="1908"/>
      <c r="T13" s="1908"/>
      <c r="U13" s="1908"/>
      <c r="V13" s="1908"/>
    </row>
    <row r="14" spans="1:22" ht="14.25">
      <c r="A14" s="3452" t="s">
        <v>315</v>
      </c>
      <c r="B14" s="3453">
        <v>30</v>
      </c>
      <c r="C14" s="3461">
        <v>5</v>
      </c>
      <c r="D14" s="3464">
        <v>5</v>
      </c>
      <c r="E14" s="258" t="s">
        <v>316</v>
      </c>
      <c r="F14" s="259"/>
      <c r="G14" s="259"/>
      <c r="H14" s="259"/>
      <c r="I14" s="260"/>
      <c r="J14" s="1909"/>
      <c r="K14" s="1908"/>
      <c r="L14" s="1908"/>
      <c r="M14" s="1908"/>
      <c r="N14" s="1908"/>
      <c r="O14" s="1908"/>
      <c r="P14" s="1908"/>
      <c r="Q14" s="1908"/>
      <c r="R14" s="1908"/>
      <c r="S14" s="1908"/>
      <c r="T14" s="1908"/>
      <c r="U14" s="1908"/>
      <c r="V14" s="1908"/>
    </row>
    <row r="15" spans="1:22" ht="14.25">
      <c r="A15" s="3452"/>
      <c r="B15" s="3453"/>
      <c r="C15" s="3462"/>
      <c r="D15" s="3464"/>
      <c r="E15" s="258" t="s">
        <v>317</v>
      </c>
      <c r="F15" s="259"/>
      <c r="G15" s="259"/>
      <c r="H15" s="259"/>
      <c r="I15" s="260"/>
      <c r="J15" s="1909"/>
      <c r="K15" s="1908"/>
      <c r="L15" s="1908"/>
      <c r="M15" s="1908"/>
      <c r="N15" s="1908"/>
      <c r="O15" s="1908"/>
      <c r="P15" s="1908"/>
      <c r="Q15" s="1908"/>
      <c r="R15" s="1908"/>
      <c r="S15" s="1908"/>
      <c r="T15" s="1908"/>
      <c r="U15" s="1908"/>
      <c r="V15" s="1908"/>
    </row>
    <row r="16" spans="1:22" ht="14.25">
      <c r="A16" s="3452"/>
      <c r="B16" s="3453"/>
      <c r="C16" s="3463"/>
      <c r="D16" s="3464"/>
      <c r="E16" s="258" t="s">
        <v>318</v>
      </c>
      <c r="F16" s="259"/>
      <c r="G16" s="259"/>
      <c r="H16" s="259"/>
      <c r="I16" s="260"/>
      <c r="J16" s="1909"/>
      <c r="K16" s="1908"/>
      <c r="L16" s="1908"/>
      <c r="M16" s="1908"/>
      <c r="N16" s="1908"/>
      <c r="O16" s="1908"/>
      <c r="P16" s="1908"/>
      <c r="Q16" s="1908"/>
      <c r="R16" s="1908"/>
      <c r="S16" s="1908"/>
      <c r="T16" s="1908"/>
      <c r="U16" s="1908"/>
      <c r="V16" s="1908"/>
    </row>
    <row r="17" spans="1:26" ht="15">
      <c r="A17" s="261" t="s">
        <v>319</v>
      </c>
      <c r="B17" s="142"/>
      <c r="C17" s="262">
        <f>SUM(C5:C16)</f>
        <v>5</v>
      </c>
      <c r="D17" s="262">
        <f>SUM(D5:D16)</f>
        <v>5</v>
      </c>
      <c r="E17" s="308"/>
      <c r="F17" s="308"/>
      <c r="G17" s="308"/>
      <c r="H17" s="308"/>
      <c r="I17" s="308"/>
      <c r="J17" s="1909"/>
      <c r="K17" s="1908"/>
      <c r="L17" s="1908"/>
      <c r="M17" s="1908"/>
      <c r="N17" s="1908"/>
      <c r="O17" s="1908"/>
      <c r="P17" s="1908"/>
      <c r="Q17" s="1908"/>
      <c r="R17" s="1908"/>
      <c r="S17" s="1908"/>
      <c r="T17" s="1908"/>
      <c r="U17" s="1908"/>
      <c r="V17" s="1908"/>
    </row>
    <row r="18" spans="1:26" ht="32.450000000000003" customHeight="1" thickBot="1">
      <c r="A18" s="263" t="s">
        <v>320</v>
      </c>
      <c r="B18" s="105"/>
      <c r="C18" s="264">
        <f>ROUND(C17/SUM(C17:D17),2)</f>
        <v>0.5</v>
      </c>
      <c r="D18" s="264">
        <f>1-C18</f>
        <v>0.5</v>
      </c>
      <c r="E18" s="3466" t="s">
        <v>2963</v>
      </c>
      <c r="F18" s="3467"/>
      <c r="G18" s="3467"/>
      <c r="H18" s="3467"/>
      <c r="I18" s="3467"/>
      <c r="J18" s="1908"/>
      <c r="K18" s="1908"/>
      <c r="L18" s="1908"/>
      <c r="M18" s="1908"/>
      <c r="N18" s="1908"/>
      <c r="O18" s="1908"/>
      <c r="P18" s="1908"/>
      <c r="Q18" s="1908"/>
      <c r="R18" s="1908"/>
      <c r="S18" s="1908"/>
      <c r="T18" s="1908"/>
      <c r="U18" s="1908"/>
      <c r="V18" s="1908"/>
    </row>
    <row r="19" spans="1:26" ht="15">
      <c r="A19" s="265" t="s">
        <v>321</v>
      </c>
      <c r="B19" s="266" t="s">
        <v>322</v>
      </c>
      <c r="C19" s="267">
        <f ca="1">SUMIF(INDIRECT("'"&amp;C4&amp;"'"&amp;"!A:A"),结果表!B19,INDIRECT("'"&amp;C4&amp;"'"&amp;"!B:B"))</f>
        <v>66732</v>
      </c>
      <c r="D19" s="268">
        <f ca="1">SUMIF(INDIRECT("'"&amp;D4&amp;"'"&amp;"!A:A"),结果表!B19,INDIRECT("'"&amp;D4&amp;"'"&amp;"!B:B"))</f>
        <v>74528</v>
      </c>
      <c r="E19" s="265" t="s">
        <v>323</v>
      </c>
      <c r="F19" s="266" t="s">
        <v>322</v>
      </c>
      <c r="G19" s="269">
        <f ca="1">ROUND(C19*$C$18+D19*$D$18,0)</f>
        <v>70630</v>
      </c>
      <c r="H19" s="270" t="s">
        <v>324</v>
      </c>
      <c r="I19" s="308"/>
      <c r="J19" s="1908"/>
      <c r="K19" s="1908"/>
      <c r="L19" s="1908"/>
      <c r="M19" s="1908"/>
      <c r="N19" s="1908"/>
      <c r="O19" s="1908"/>
      <c r="P19" s="1908"/>
      <c r="Q19" s="1908"/>
      <c r="R19" s="1908"/>
      <c r="S19" s="1908"/>
      <c r="T19" s="1908"/>
      <c r="U19" s="1908"/>
      <c r="V19" s="1908"/>
    </row>
    <row r="20" spans="1:26" ht="15">
      <c r="A20" s="271"/>
      <c r="B20" s="272" t="s">
        <v>325</v>
      </c>
      <c r="C20" s="273">
        <f ca="1">SUMIF(INDIRECT("'"&amp;C4&amp;"'"&amp;"!A:A"),结果表!B20,INDIRECT("'"&amp;C4&amp;"'"&amp;"!B:B"))</f>
        <v>4249</v>
      </c>
      <c r="D20" s="274">
        <f ca="1">SUMIF(INDIRECT("'"&amp;D4&amp;"'"&amp;"!A:A"),结果表!B20,INDIRECT("'"&amp;D4&amp;"'"&amp;"!B:B"))</f>
        <v>4745</v>
      </c>
      <c r="E20" s="271"/>
      <c r="F20" s="272" t="s">
        <v>325</v>
      </c>
      <c r="G20" s="275">
        <f ca="1">ROUND(C20*$C$18+D20*$D$18,0)</f>
        <v>4497</v>
      </c>
      <c r="H20" s="276" t="s">
        <v>326</v>
      </c>
      <c r="I20" s="308"/>
      <c r="J20" s="1908"/>
      <c r="K20" s="1908"/>
      <c r="L20" s="1908"/>
      <c r="M20" s="1908"/>
      <c r="N20" s="1908"/>
      <c r="O20" s="1908"/>
      <c r="P20" s="1908"/>
      <c r="Q20" s="1908"/>
      <c r="R20" s="1908"/>
      <c r="S20" s="1908"/>
      <c r="T20" s="1908"/>
      <c r="U20" s="1908"/>
      <c r="V20" s="1908"/>
    </row>
    <row r="21" spans="1:26" ht="15" customHeight="1">
      <c r="A21" s="271"/>
      <c r="B21" s="277" t="s">
        <v>327</v>
      </c>
      <c r="C21" s="278">
        <f ca="1">SUMIF(INDIRECT("'"&amp;C4&amp;"'"&amp;"!A:A"),结果表!B21,INDIRECT("'"&amp;C4&amp;"'"&amp;"!B:B"))</f>
        <v>13358</v>
      </c>
      <c r="D21" s="149">
        <f ca="1">SUMIF(INDIRECT("'"&amp;D4&amp;"'"&amp;"!A:A"),结果表!B21,INDIRECT("'"&amp;D4&amp;"'"&amp;"!B:B"))</f>
        <v>14919</v>
      </c>
      <c r="E21" s="271"/>
      <c r="F21" s="277" t="s">
        <v>327</v>
      </c>
      <c r="G21" s="279">
        <f ca="1">ROUND(C21*$C$18+D21*$D$18,0)</f>
        <v>14139</v>
      </c>
      <c r="H21" s="1204" t="s">
        <v>326</v>
      </c>
      <c r="I21" s="308"/>
      <c r="J21" s="1908"/>
      <c r="K21" s="1908"/>
      <c r="L21" s="1908"/>
      <c r="M21" s="1908"/>
      <c r="N21" s="1908"/>
      <c r="O21" s="1908"/>
      <c r="P21" s="1908"/>
      <c r="Q21" s="1908"/>
      <c r="R21" s="1908"/>
      <c r="S21" s="1908"/>
      <c r="T21" s="1908"/>
      <c r="U21" s="1908"/>
      <c r="V21" s="1908"/>
    </row>
    <row r="22" spans="1:26" ht="15.75" thickBot="1">
      <c r="A22" s="126" t="s">
        <v>328</v>
      </c>
      <c r="B22" s="1205"/>
      <c r="C22" s="1206"/>
      <c r="D22" s="280">
        <f ca="1">IF(C19&lt;D19,D19/C19-1,C19/D19-1)</f>
        <v>0.11682551099922067</v>
      </c>
      <c r="E22" s="281"/>
      <c r="F22" s="282"/>
      <c r="G22" s="283">
        <f ca="1">ROUND(G19/('数据-汇总表'!D3/666.67),0)</f>
        <v>943</v>
      </c>
      <c r="H22" s="284" t="s">
        <v>329</v>
      </c>
      <c r="I22" s="308"/>
      <c r="J22" s="1908"/>
      <c r="K22" s="1908"/>
      <c r="L22" s="1908"/>
      <c r="M22" s="1908"/>
      <c r="N22" s="1908"/>
      <c r="O22" s="1908"/>
      <c r="P22" s="1908"/>
      <c r="Q22" s="1908"/>
      <c r="R22" s="1908"/>
      <c r="S22" s="1908"/>
      <c r="T22" s="1908"/>
      <c r="U22" s="1908"/>
      <c r="V22" s="1908"/>
    </row>
    <row r="23" spans="1:26" ht="13.5" thickBot="1">
      <c r="A23" s="308"/>
      <c r="B23" s="308"/>
      <c r="C23" s="308"/>
      <c r="D23" s="308"/>
      <c r="E23" s="308"/>
      <c r="F23" s="308"/>
      <c r="G23" s="308"/>
      <c r="H23" s="308"/>
      <c r="I23" s="308"/>
      <c r="J23" s="1908"/>
      <c r="K23" s="1908"/>
      <c r="L23" s="1908"/>
      <c r="M23" s="1908"/>
      <c r="N23" s="1908"/>
      <c r="O23" s="1908"/>
      <c r="P23" s="1908"/>
      <c r="Q23" s="1908"/>
      <c r="R23" s="1908"/>
      <c r="S23" s="1908"/>
      <c r="T23" s="1908"/>
      <c r="U23" s="1908"/>
      <c r="V23" s="1908"/>
    </row>
    <row r="24" spans="1:26" ht="15" thickBot="1">
      <c r="A24" s="3425" t="s">
        <v>330</v>
      </c>
      <c r="B24" s="266" t="s">
        <v>322</v>
      </c>
      <c r="C24" s="285">
        <f>IF(B30=0,0,D30)</f>
        <v>0</v>
      </c>
      <c r="D24" s="286"/>
      <c r="E24" s="308"/>
      <c r="F24" s="308"/>
      <c r="G24" s="308"/>
      <c r="H24" s="308"/>
      <c r="I24" s="308"/>
      <c r="J24" s="1908"/>
      <c r="K24" s="1908"/>
      <c r="L24" s="1908"/>
      <c r="M24" s="1908"/>
      <c r="N24" s="1908"/>
      <c r="O24" s="1908"/>
      <c r="P24" s="1908"/>
      <c r="Q24" s="1908"/>
      <c r="R24" s="1908"/>
      <c r="S24" s="1908"/>
      <c r="T24" s="1908"/>
      <c r="U24" s="1908"/>
      <c r="V24" s="1908"/>
    </row>
    <row r="25" spans="1:26" ht="18">
      <c r="A25" s="3472"/>
      <c r="B25" s="1274" t="s">
        <v>331</v>
      </c>
      <c r="C25" s="287">
        <f>IF(B30=0,0,C30)</f>
        <v>0</v>
      </c>
      <c r="D25" s="288"/>
      <c r="E25" s="308"/>
      <c r="F25" s="308"/>
      <c r="G25" s="308"/>
      <c r="H25" s="308"/>
      <c r="I25" s="308"/>
      <c r="J25" s="1908"/>
      <c r="K25" s="1208" t="str">
        <f ca="1">项目基本情况!B16&amp;"国有建设用地使用权价格："&amp;O38&amp;"万元"</f>
        <v>出让国有建设用地使用权价格：70630万元</v>
      </c>
      <c r="L25" s="1209"/>
      <c r="M25" s="1209"/>
      <c r="N25" s="1209"/>
      <c r="O25" s="1210"/>
      <c r="P25" s="1908"/>
      <c r="Q25" s="1908"/>
      <c r="R25" s="1908"/>
      <c r="S25" s="1908"/>
      <c r="T25" s="1908"/>
      <c r="U25" s="1908"/>
      <c r="V25" s="1908"/>
    </row>
    <row r="26" spans="1:26" s="1207" customFormat="1" ht="18">
      <c r="A26" s="290" t="s">
        <v>332</v>
      </c>
      <c r="B26" s="291" t="s">
        <v>333</v>
      </c>
      <c r="C26" s="291" t="s">
        <v>334</v>
      </c>
      <c r="D26" s="292" t="s">
        <v>335</v>
      </c>
      <c r="E26" s="308"/>
      <c r="F26" s="308"/>
      <c r="G26" s="308"/>
      <c r="H26" s="308"/>
      <c r="I26" s="308"/>
      <c r="J26" s="1908"/>
      <c r="K26" s="1211" t="str">
        <f ca="1">"大写金额：人民币"&amp;NUMBERSTRING(INT(O38*10000),2)&amp;"元整"</f>
        <v>大写金额：人民币柒亿零陆佰叁拾万元整</v>
      </c>
      <c r="L26" s="1205"/>
      <c r="M26" s="1205"/>
      <c r="N26" s="1205"/>
      <c r="O26" s="1204"/>
      <c r="P26" s="1908"/>
      <c r="Q26" s="1908"/>
      <c r="R26" s="1908"/>
      <c r="S26" s="1908"/>
      <c r="T26" s="1908"/>
      <c r="U26" s="1908"/>
      <c r="V26" s="1908"/>
      <c r="W26" s="289"/>
      <c r="X26" s="289"/>
      <c r="Y26" s="289"/>
      <c r="Z26" s="289"/>
    </row>
    <row r="27" spans="1:26" ht="18">
      <c r="A27" s="290"/>
      <c r="B27" s="291"/>
      <c r="C27" s="291"/>
      <c r="D27" s="292">
        <f ca="1">G19/'数据-汇总表'!F31*10000</f>
        <v>5961.8287645956334</v>
      </c>
      <c r="E27" s="308"/>
      <c r="F27" s="308"/>
      <c r="G27" s="308"/>
      <c r="H27" s="308"/>
      <c r="I27" s="308"/>
      <c r="J27" s="1908"/>
      <c r="K27" s="1211" t="str">
        <f ca="1">"单位面积地价："&amp;M38&amp;"元/平方米"</f>
        <v>单位面积地价：14138元/平方米</v>
      </c>
      <c r="L27" s="1205"/>
      <c r="M27" s="1205"/>
      <c r="N27" s="1205"/>
      <c r="O27" s="1204"/>
      <c r="P27" s="1908"/>
      <c r="Q27" s="1908"/>
      <c r="R27" s="1908"/>
      <c r="S27" s="1908"/>
      <c r="T27" s="1908"/>
      <c r="U27" s="1908"/>
      <c r="V27" s="1908"/>
    </row>
    <row r="28" spans="1:26" ht="18.75" customHeight="1">
      <c r="A28" s="290"/>
      <c r="B28" s="291"/>
      <c r="C28" s="291"/>
      <c r="D28" s="292"/>
      <c r="E28" s="308"/>
      <c r="F28" s="308"/>
      <c r="G28" s="308"/>
      <c r="H28" s="308"/>
      <c r="I28" s="308"/>
      <c r="J28" s="1908"/>
      <c r="K28" s="1211" t="str">
        <f ca="1">"楼面地价："&amp;N38&amp;"元/平方米"</f>
        <v>楼面地价：4497元/平方米</v>
      </c>
      <c r="L28" s="1205"/>
      <c r="M28" s="1205"/>
      <c r="N28" s="1205"/>
      <c r="O28" s="1204"/>
      <c r="P28" s="1908"/>
      <c r="V28" s="1908"/>
    </row>
    <row r="29" spans="1:26" ht="18">
      <c r="A29" s="290"/>
      <c r="B29" s="291"/>
      <c r="C29" s="291"/>
      <c r="D29" s="292"/>
      <c r="E29" s="308"/>
      <c r="F29" s="308"/>
      <c r="G29" s="308"/>
      <c r="H29" s="308"/>
      <c r="I29" s="308"/>
      <c r="J29" s="1908"/>
      <c r="K29" s="1211" t="str">
        <f ca="1">IF(OR(项目基本情况!E8="抵押价格",项目基本情况!E8="已注销及未注销"),"抵押价格："&amp;O39&amp;"万元","——")</f>
        <v>抵押价格：70630万元</v>
      </c>
      <c r="L29" s="1205"/>
      <c r="M29" s="1205"/>
      <c r="N29" s="1205"/>
      <c r="O29" s="1204"/>
      <c r="P29" s="1908"/>
      <c r="V29" s="1908"/>
    </row>
    <row r="30" spans="1:26" ht="18.75" thickBot="1">
      <c r="A30" s="2797" t="s">
        <v>336</v>
      </c>
      <c r="B30" s="306"/>
      <c r="C30" s="306"/>
      <c r="D30" s="307"/>
      <c r="E30" s="3000" t="s">
        <v>2964</v>
      </c>
      <c r="F30" s="308"/>
      <c r="G30" s="308"/>
      <c r="H30" s="308"/>
      <c r="I30" s="308"/>
      <c r="J30" s="1908"/>
      <c r="K30" s="1211" t="str">
        <f ca="1">IF(K29="——","——","大写金额：人民币"&amp;NUMBERSTRING(INT(O39*10000),2)&amp;"元整")</f>
        <v>大写金额：人民币柒亿零陆佰叁拾万元整</v>
      </c>
      <c r="L30" s="1205"/>
      <c r="M30" s="1205"/>
      <c r="N30" s="1205"/>
      <c r="O30" s="1204"/>
      <c r="P30" s="1908"/>
      <c r="V30" s="1908"/>
    </row>
    <row r="31" spans="1:26" ht="24" customHeight="1" thickBot="1">
      <c r="A31" s="3468" t="s">
        <v>2965</v>
      </c>
      <c r="B31" s="3468"/>
      <c r="C31" s="3468"/>
      <c r="D31" s="3468"/>
      <c r="E31" s="3468"/>
      <c r="F31" s="3468"/>
      <c r="G31" s="3468"/>
      <c r="H31" s="3468"/>
      <c r="I31" s="3468"/>
      <c r="J31" s="1908"/>
      <c r="K31" s="2319" t="str">
        <f>IF(项目基本情况!E8="抵押价格","——","抵押担保权已注销时的抵押价格："&amp;O40&amp;"万元")</f>
        <v>——</v>
      </c>
      <c r="L31" s="2315"/>
      <c r="M31" s="2315"/>
      <c r="N31" s="2315"/>
      <c r="O31" s="2316"/>
      <c r="P31" s="1908"/>
      <c r="V31" s="1908"/>
    </row>
    <row r="32" spans="1:26" ht="19.5" thickTop="1" thickBot="1">
      <c r="A32" s="271" t="s">
        <v>337</v>
      </c>
      <c r="B32" s="3001" t="s">
        <v>1679</v>
      </c>
      <c r="C32" s="263">
        <f ca="1">G19-C24</f>
        <v>70630</v>
      </c>
      <c r="D32" s="3002" t="s">
        <v>1680</v>
      </c>
      <c r="E32" s="308"/>
      <c r="F32" s="308"/>
      <c r="G32" s="308"/>
      <c r="H32" s="308"/>
      <c r="I32" s="308"/>
      <c r="J32" s="1908"/>
      <c r="K32" s="2314" t="str">
        <f>IF(K31="——","——","大写金额：人民币"&amp;NUMBERSTRING(INT(O40*10000),2)&amp;"元整")</f>
        <v>——</v>
      </c>
      <c r="L32" s="2317"/>
      <c r="M32" s="2317"/>
      <c r="N32" s="2317"/>
      <c r="O32" s="2318"/>
      <c r="P32" s="1908"/>
      <c r="V32" s="1908"/>
    </row>
    <row r="33" spans="1:26" ht="18.75" thickBot="1">
      <c r="A33" s="295" t="s">
        <v>340</v>
      </c>
      <c r="B33" s="1330" t="s">
        <v>1681</v>
      </c>
      <c r="C33" s="261">
        <f ca="1">ROUND(C32*10000/'数据-汇总表'!E3,0)</f>
        <v>4497</v>
      </c>
      <c r="D33" s="1331" t="s">
        <v>1682</v>
      </c>
      <c r="E33" s="3425" t="s">
        <v>338</v>
      </c>
      <c r="F33" s="293" t="s">
        <v>339</v>
      </c>
      <c r="G33" s="294"/>
      <c r="H33" s="967"/>
      <c r="I33" s="1212"/>
      <c r="J33" s="1908"/>
      <c r="K33" s="1211" t="str">
        <f>IF(项目基本情况!E9="——","——","抵押净值："&amp;C46&amp;"万元")</f>
        <v>——</v>
      </c>
      <c r="L33" s="1205"/>
      <c r="M33" s="1205"/>
      <c r="N33" s="1205"/>
      <c r="O33" s="1204"/>
      <c r="P33" s="1908"/>
      <c r="V33" s="1908"/>
    </row>
    <row r="34" spans="1:26" s="1207" customFormat="1" ht="18.75" thickBot="1">
      <c r="A34" s="297"/>
      <c r="B34" s="1332" t="s">
        <v>1683</v>
      </c>
      <c r="C34" s="261">
        <f ca="1">ROUND(C32*10000/'数据-汇总表'!D3,0)</f>
        <v>14138</v>
      </c>
      <c r="D34" s="1333" t="s">
        <v>1682</v>
      </c>
      <c r="E34" s="3426"/>
      <c r="F34" s="127" t="s">
        <v>341</v>
      </c>
      <c r="G34" s="296"/>
      <c r="H34" s="105"/>
      <c r="I34" s="308"/>
      <c r="J34" s="1908"/>
      <c r="K34" s="1214" t="str">
        <f>IF(K33="——","——","大写金额：人民币"&amp;NUMBERSTRING(INT(O41*10000),2)&amp;"元整")</f>
        <v>——</v>
      </c>
      <c r="L34" s="1215"/>
      <c r="M34" s="1215"/>
      <c r="N34" s="1215"/>
      <c r="O34" s="1216"/>
      <c r="P34" s="1908"/>
      <c r="Q34" s="289"/>
      <c r="R34" s="289"/>
      <c r="S34" s="289"/>
      <c r="T34" s="289"/>
      <c r="U34" s="289"/>
      <c r="V34" s="1908"/>
      <c r="W34" s="289"/>
      <c r="X34" s="289"/>
      <c r="Y34" s="289"/>
      <c r="Z34" s="289"/>
    </row>
    <row r="35" spans="1:26" ht="15.75" thickBot="1">
      <c r="A35" s="281"/>
      <c r="B35" s="1334"/>
      <c r="C35" s="1335">
        <f ca="1">ROUND(C32/('数据-汇总表'!D3/666.67),0)</f>
        <v>943</v>
      </c>
      <c r="D35" s="1336" t="s">
        <v>1684</v>
      </c>
      <c r="E35" s="3427"/>
      <c r="F35" s="298" t="s">
        <v>342</v>
      </c>
      <c r="G35" s="969"/>
      <c r="H35" s="968" t="s">
        <v>343</v>
      </c>
      <c r="I35" s="308"/>
      <c r="J35" s="1908"/>
      <c r="K35" s="3431" t="s">
        <v>350</v>
      </c>
      <c r="L35" s="3431" t="s">
        <v>351</v>
      </c>
      <c r="M35" s="1217" t="s">
        <v>352</v>
      </c>
      <c r="N35" s="3431" t="s">
        <v>353</v>
      </c>
      <c r="O35" s="3431" t="s">
        <v>354</v>
      </c>
      <c r="P35" s="1908"/>
      <c r="V35" s="1908"/>
    </row>
    <row r="36" spans="1:26" ht="16.5" customHeight="1">
      <c r="A36" s="300" t="s">
        <v>344</v>
      </c>
      <c r="B36" s="301" t="s">
        <v>333</v>
      </c>
      <c r="C36" s="302" t="s">
        <v>345</v>
      </c>
      <c r="D36" s="302" t="s">
        <v>346</v>
      </c>
      <c r="E36" s="303" t="s">
        <v>347</v>
      </c>
      <c r="F36" s="308"/>
      <c r="G36" s="308"/>
      <c r="H36" s="308"/>
      <c r="I36" s="308"/>
      <c r="J36" s="1910"/>
      <c r="K36" s="3432"/>
      <c r="L36" s="3432"/>
      <c r="M36" s="1219" t="s">
        <v>355</v>
      </c>
      <c r="N36" s="3432"/>
      <c r="O36" s="3432"/>
      <c r="P36" s="1908"/>
      <c r="V36" s="1908"/>
    </row>
    <row r="37" spans="1:26" ht="16.5" customHeight="1" thickBot="1">
      <c r="A37" s="1213" t="s">
        <v>348</v>
      </c>
      <c r="B37" s="304"/>
      <c r="C37" s="291"/>
      <c r="D37" s="291"/>
      <c r="E37" s="292"/>
      <c r="F37" s="308"/>
      <c r="G37" s="308"/>
      <c r="H37" s="308"/>
      <c r="I37" s="308"/>
      <c r="J37" s="1910"/>
      <c r="K37" s="3433"/>
      <c r="L37" s="3433"/>
      <c r="M37" s="1220"/>
      <c r="N37" s="3433"/>
      <c r="O37" s="3433"/>
      <c r="P37" s="1908"/>
      <c r="V37" s="1908"/>
    </row>
    <row r="38" spans="1:26" ht="16.5" customHeight="1" thickBot="1">
      <c r="A38" s="1213" t="s">
        <v>349</v>
      </c>
      <c r="B38" s="304"/>
      <c r="C38" s="291"/>
      <c r="D38" s="291"/>
      <c r="E38" s="292"/>
      <c r="F38" s="308"/>
      <c r="G38" s="308"/>
      <c r="H38" s="308"/>
      <c r="I38" s="308"/>
      <c r="J38" s="1910"/>
      <c r="K38" s="1221">
        <f>'数据-汇总表'!D3</f>
        <v>49955.92</v>
      </c>
      <c r="L38" s="1222">
        <f>'数据-汇总表'!E3</f>
        <v>157059.36000000002</v>
      </c>
      <c r="M38" s="1222">
        <f ca="1">C34</f>
        <v>14138</v>
      </c>
      <c r="N38" s="1222">
        <f ca="1">C33</f>
        <v>4497</v>
      </c>
      <c r="O38" s="1223">
        <f ca="1">C32</f>
        <v>70630</v>
      </c>
      <c r="P38" s="1908"/>
      <c r="V38" s="1908"/>
    </row>
    <row r="39" spans="1:26" ht="16.5" customHeight="1" thickBot="1">
      <c r="A39" s="1218"/>
      <c r="B39" s="305"/>
      <c r="C39" s="306"/>
      <c r="D39" s="306"/>
      <c r="E39" s="307"/>
      <c r="F39" s="308"/>
      <c r="G39" s="308"/>
      <c r="H39" s="308"/>
      <c r="I39" s="308"/>
      <c r="J39" s="1910"/>
      <c r="K39" s="3444" t="str">
        <f>MID(A44,3,LEN(A44)-2)</f>
        <v>抵押价格</v>
      </c>
      <c r="L39" s="3445"/>
      <c r="M39" s="3445"/>
      <c r="N39" s="3446"/>
      <c r="O39" s="1338">
        <f ca="1">C44</f>
        <v>70630</v>
      </c>
      <c r="P39" s="1908"/>
      <c r="V39" s="1908"/>
    </row>
    <row r="40" spans="1:26" ht="19.5" thickBot="1">
      <c r="A40" s="104" t="s">
        <v>864</v>
      </c>
      <c r="B40" s="308"/>
      <c r="C40" s="308"/>
      <c r="D40" s="308"/>
      <c r="E40" s="308"/>
      <c r="F40" s="308"/>
      <c r="G40" s="308"/>
      <c r="H40" s="308"/>
      <c r="I40" s="308"/>
      <c r="J40" s="1910"/>
      <c r="K40" s="3444" t="str">
        <f t="shared" ref="K40:K41" si="0">MID(A45,3,LEN(A45)-2)</f>
        <v/>
      </c>
      <c r="L40" s="3445"/>
      <c r="M40" s="3445"/>
      <c r="N40" s="3446"/>
      <c r="O40" s="1338" t="str">
        <f>C45</f>
        <v>——</v>
      </c>
      <c r="P40" s="1908"/>
      <c r="V40" s="1908"/>
    </row>
    <row r="41" spans="1:26" ht="16.5" thickBot="1">
      <c r="A41" s="309" t="s">
        <v>356</v>
      </c>
      <c r="B41" s="310"/>
      <c r="C41" s="311" t="s">
        <v>357</v>
      </c>
      <c r="D41" s="312" t="s">
        <v>358</v>
      </c>
      <c r="E41" s="312" t="s">
        <v>359</v>
      </c>
      <c r="F41" s="313" t="s">
        <v>360</v>
      </c>
      <c r="G41" s="308"/>
      <c r="H41" s="308"/>
      <c r="I41" s="308"/>
      <c r="J41" s="1910"/>
      <c r="K41" s="3444" t="str">
        <f t="shared" si="0"/>
        <v/>
      </c>
      <c r="L41" s="3445"/>
      <c r="M41" s="3445"/>
      <c r="N41" s="3446"/>
      <c r="O41" s="1338" t="str">
        <f>C46</f>
        <v>——</v>
      </c>
      <c r="P41" s="1908"/>
      <c r="V41" s="1908"/>
    </row>
    <row r="42" spans="1:26" ht="29.25">
      <c r="A42" s="3473" t="s">
        <v>2055</v>
      </c>
      <c r="B42" s="3474"/>
      <c r="C42" s="261">
        <f ca="1">C32</f>
        <v>70630</v>
      </c>
      <c r="D42" s="314">
        <f ca="1">C33</f>
        <v>4497</v>
      </c>
      <c r="E42" s="314">
        <f ca="1">C34</f>
        <v>14138</v>
      </c>
      <c r="F42" s="315">
        <f ca="1">C35</f>
        <v>943</v>
      </c>
      <c r="G42" s="308"/>
      <c r="H42" s="308"/>
      <c r="I42" s="316"/>
      <c r="J42" s="1910"/>
      <c r="K42" s="1224" t="s">
        <v>361</v>
      </c>
      <c r="L42" s="1927" t="s">
        <v>362</v>
      </c>
      <c r="M42" s="1225" t="s">
        <v>363</v>
      </c>
      <c r="N42" s="1928" t="s">
        <v>364</v>
      </c>
      <c r="O42" s="1929" t="s">
        <v>365</v>
      </c>
      <c r="P42" s="1908"/>
      <c r="V42" s="1908"/>
    </row>
    <row r="43" spans="1:26" ht="30">
      <c r="A43" s="3483" t="s">
        <v>2710</v>
      </c>
      <c r="B43" s="3484"/>
      <c r="C43" s="261">
        <f>IF(H33="正常操作",G33+G34+G35,G34+G35)</f>
        <v>0</v>
      </c>
      <c r="D43" s="314" t="s">
        <v>43</v>
      </c>
      <c r="E43" s="314" t="s">
        <v>44</v>
      </c>
      <c r="F43" s="315" t="s">
        <v>44</v>
      </c>
      <c r="G43" s="2580" t="s">
        <v>943</v>
      </c>
      <c r="H43" s="308"/>
      <c r="I43" s="316"/>
      <c r="J43" s="1910"/>
      <c r="K43" s="1226" t="str">
        <f>C4</f>
        <v>比较法-住宅、综合</v>
      </c>
      <c r="L43" s="1227">
        <f ca="1">IF(L42="估价结果/万元",C19,C20)</f>
        <v>66732</v>
      </c>
      <c r="M43" s="1228">
        <f>C18</f>
        <v>0.5</v>
      </c>
      <c r="N43" s="1229">
        <f ca="1">IF(N42="测算结果/万元",G19,G20)</f>
        <v>70630</v>
      </c>
      <c r="O43" s="1230">
        <f ca="1">IF(O42="最终结果/万元",C32,C33)</f>
        <v>70630</v>
      </c>
      <c r="P43" s="1908"/>
      <c r="V43" s="1908"/>
    </row>
    <row r="44" spans="1:26" ht="30.75" thickBot="1">
      <c r="A44" s="3473" t="str">
        <f>IF(OR(项目基本情况!E8="抵押价格",项目基本情况!E8="已注销及未注销"),"3.抵押价格","——")</f>
        <v>3.抵押价格</v>
      </c>
      <c r="B44" s="3474"/>
      <c r="C44" s="261">
        <f ca="1">IF(A44="——","——",C42-C43)</f>
        <v>70630</v>
      </c>
      <c r="D44" s="314">
        <f ca="1">ROUND(C44*10000/'数据-汇总表'!E3,0)</f>
        <v>4497</v>
      </c>
      <c r="E44" s="314">
        <f ca="1">ROUND(C44*10000/'数据-汇总表'!D3,0)</f>
        <v>14138</v>
      </c>
      <c r="F44" s="315">
        <f ca="1">ROUND(C44/('数据-汇总表'!D3/666.67),0)</f>
        <v>943</v>
      </c>
      <c r="G44" s="308"/>
      <c r="H44" s="308"/>
      <c r="I44" s="316"/>
      <c r="J44" s="1910"/>
      <c r="K44" s="1231" t="str">
        <f>D4</f>
        <v>剩余法-待开发</v>
      </c>
      <c r="L44" s="1232">
        <f ca="1">IF(L42="估价结果/万元",D19,D20)</f>
        <v>74528</v>
      </c>
      <c r="M44" s="1233">
        <f>D18</f>
        <v>0.5</v>
      </c>
      <c r="N44" s="1234"/>
      <c r="O44" s="1235"/>
      <c r="P44" s="1908"/>
      <c r="V44" s="1908"/>
    </row>
    <row r="45" spans="1:26" ht="15">
      <c r="A45" s="3478" t="str">
        <f>IF(项目基本情况!E8="已注销及未注销","4.抵押担保权已注销时的抵押价格",IF(项目基本情况!E8="已注销","3.抵押担保权已注销时的抵押价格","——"))</f>
        <v>——</v>
      </c>
      <c r="B45" s="3479"/>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0"/>
      <c r="K45" s="1908"/>
      <c r="L45" s="1908"/>
      <c r="M45" s="1908"/>
      <c r="N45" s="1908"/>
      <c r="O45" s="1908"/>
      <c r="P45" s="1908"/>
      <c r="V45" s="1908"/>
    </row>
    <row r="46" spans="1:26" ht="15.75" thickBot="1">
      <c r="A46" s="3475" t="str">
        <f>IF(项目基本情况!E9="抵押净值",IF(A45="——","4.抵押净值","5.抵押净值"),"——")</f>
        <v>——</v>
      </c>
      <c r="B46" s="3476"/>
      <c r="C46" s="317" t="str">
        <f>IF(A46="——","——",O79)</f>
        <v>——</v>
      </c>
      <c r="D46" s="314" t="e">
        <f>ROUND(C46*10000/'数据-汇总表'!E3,0)</f>
        <v>#VALUE!</v>
      </c>
      <c r="E46" s="314" t="e">
        <f>ROUND(C46*10000/'数据-汇总表'!D3,0)</f>
        <v>#VALUE!</v>
      </c>
      <c r="F46" s="315" t="e">
        <f>ROUND(C46/('数据-汇总表'!D3/666.67),0)</f>
        <v>#VALUE!</v>
      </c>
      <c r="G46" s="308"/>
      <c r="H46" s="308"/>
      <c r="I46" s="316"/>
      <c r="J46" s="1910"/>
      <c r="K46" s="1908"/>
      <c r="L46" s="1908"/>
      <c r="M46" s="1908"/>
      <c r="N46" s="1908"/>
      <c r="O46" s="1908"/>
      <c r="P46" s="1908"/>
      <c r="Q46" s="1908"/>
      <c r="R46" s="1908"/>
      <c r="S46" s="1908"/>
      <c r="T46" s="1908"/>
      <c r="U46" s="1908"/>
      <c r="V46" s="1908"/>
    </row>
    <row r="47" spans="1:26" ht="15.75">
      <c r="A47" s="318" t="s">
        <v>366</v>
      </c>
      <c r="B47" s="1236"/>
      <c r="C47" s="319" t="s">
        <v>367</v>
      </c>
      <c r="D47" s="320"/>
      <c r="E47" s="320"/>
      <c r="F47" s="320"/>
      <c r="G47" s="321"/>
      <c r="H47" s="322"/>
      <c r="I47" s="323"/>
      <c r="J47" s="1910"/>
      <c r="K47" s="308"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4">
        <v>1</v>
      </c>
      <c r="B48" s="325"/>
      <c r="C48" s="325"/>
      <c r="D48" s="320"/>
      <c r="E48" s="320"/>
      <c r="F48" s="320"/>
      <c r="G48" s="320"/>
      <c r="H48" s="326"/>
      <c r="I48" s="327"/>
      <c r="J48" s="1910"/>
      <c r="K48" s="1908"/>
      <c r="L48" s="1908"/>
      <c r="M48" s="1908"/>
      <c r="N48" s="1908"/>
      <c r="O48" s="1908"/>
      <c r="P48" s="1908"/>
      <c r="Q48" s="1908"/>
      <c r="R48" s="1908"/>
      <c r="S48" s="1908"/>
      <c r="T48" s="1908"/>
      <c r="U48" s="1908"/>
      <c r="V48" s="1908"/>
    </row>
    <row r="49" spans="1:22" ht="12.75">
      <c r="A49" s="324">
        <v>2</v>
      </c>
      <c r="B49" s="325"/>
      <c r="C49" s="325"/>
      <c r="D49" s="320"/>
      <c r="E49" s="320"/>
      <c r="F49" s="320"/>
      <c r="G49" s="320"/>
      <c r="H49" s="326"/>
      <c r="I49" s="327"/>
      <c r="J49" s="1911"/>
      <c r="K49" s="1908"/>
      <c r="L49" s="1908"/>
      <c r="M49" s="1908"/>
      <c r="N49" s="1908"/>
      <c r="O49" s="1908"/>
      <c r="P49" s="1908"/>
      <c r="Q49" s="1908"/>
      <c r="R49" s="1908"/>
      <c r="S49" s="1908"/>
      <c r="T49" s="1908"/>
      <c r="U49" s="1908"/>
      <c r="V49" s="1908"/>
    </row>
    <row r="50" spans="1:22" ht="12.75">
      <c r="A50" s="324">
        <v>3</v>
      </c>
      <c r="B50" s="325"/>
      <c r="C50" s="325"/>
      <c r="D50" s="320"/>
      <c r="E50" s="320"/>
      <c r="F50" s="320"/>
      <c r="G50" s="320"/>
      <c r="H50" s="326"/>
      <c r="I50" s="327"/>
      <c r="J50" s="1911"/>
      <c r="K50" s="1908"/>
      <c r="L50" s="1908"/>
      <c r="M50" s="1908"/>
      <c r="N50" s="1908"/>
      <c r="O50" s="1908"/>
      <c r="P50" s="1908"/>
      <c r="Q50" s="1908"/>
      <c r="R50" s="1908"/>
      <c r="S50" s="1908"/>
      <c r="T50" s="1908"/>
      <c r="U50" s="1908"/>
      <c r="V50" s="1908"/>
    </row>
    <row r="51" spans="1:22" ht="12.75">
      <c r="A51" s="328"/>
      <c r="B51" s="329"/>
      <c r="C51" s="329"/>
      <c r="D51" s="330"/>
      <c r="E51" s="330"/>
      <c r="F51" s="330"/>
      <c r="G51" s="330"/>
      <c r="H51" s="331"/>
      <c r="I51" s="332"/>
      <c r="J51" s="1911"/>
      <c r="K51" s="1908"/>
      <c r="L51" s="1908"/>
      <c r="M51" s="1908"/>
      <c r="N51" s="1908"/>
      <c r="O51" s="1908"/>
      <c r="P51" s="1908"/>
      <c r="Q51" s="1908"/>
      <c r="R51" s="1908"/>
      <c r="S51" s="1908"/>
      <c r="T51" s="1908"/>
      <c r="U51" s="1908"/>
      <c r="V51" s="1908"/>
    </row>
    <row r="52" spans="1:22" ht="12.75">
      <c r="A52" s="325"/>
      <c r="B52" s="325"/>
      <c r="C52" s="325"/>
      <c r="D52" s="320"/>
      <c r="E52" s="320"/>
      <c r="F52" s="320"/>
      <c r="G52" s="320"/>
      <c r="H52" s="326"/>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3" t="s">
        <v>368</v>
      </c>
      <c r="G53" s="334"/>
      <c r="H53" s="334"/>
      <c r="I53" s="335" t="s">
        <v>369</v>
      </c>
      <c r="J53" s="1911"/>
      <c r="K53" s="1908"/>
      <c r="L53" s="1908"/>
      <c r="M53" s="1908"/>
      <c r="N53" s="1908"/>
      <c r="O53" s="1908"/>
      <c r="P53" s="1908"/>
      <c r="Q53" s="1908"/>
      <c r="R53" s="1908"/>
      <c r="S53" s="1908"/>
      <c r="T53" s="1908"/>
      <c r="U53" s="1908"/>
      <c r="V53" s="1908"/>
    </row>
    <row r="54" spans="1:22" ht="12.75">
      <c r="A54" s="254"/>
      <c r="B54" s="336" t="s">
        <v>370</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4"/>
      <c r="C56" s="334"/>
      <c r="D56" s="334"/>
      <c r="E56" s="334"/>
      <c r="F56" s="334"/>
      <c r="G56" s="334"/>
      <c r="H56" s="334"/>
      <c r="I56" s="335" t="s">
        <v>371</v>
      </c>
      <c r="J56" s="1911"/>
      <c r="K56" s="1908"/>
      <c r="L56" s="1908"/>
      <c r="M56" s="1908"/>
      <c r="N56" s="1908"/>
      <c r="O56" s="1908"/>
      <c r="P56" s="1908"/>
      <c r="Q56" s="1908"/>
      <c r="R56" s="1908"/>
      <c r="S56" s="1908"/>
      <c r="T56" s="1908"/>
      <c r="U56" s="1908"/>
      <c r="V56" s="1908"/>
    </row>
    <row r="57" spans="1:22" ht="12.75">
      <c r="A57" s="254"/>
      <c r="B57" s="336" t="s">
        <v>372</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6"/>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4"/>
      <c r="C59" s="334"/>
      <c r="D59" s="334"/>
      <c r="E59" s="334"/>
      <c r="F59" s="334"/>
      <c r="G59" s="334"/>
      <c r="H59" s="334"/>
      <c r="I59" s="335" t="s">
        <v>371</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6"/>
      <c r="C61" s="337"/>
      <c r="D61" s="214"/>
      <c r="E61" s="214"/>
      <c r="F61" s="250"/>
      <c r="G61" s="254"/>
      <c r="H61" s="254"/>
      <c r="I61" s="254"/>
      <c r="J61" s="1911"/>
      <c r="K61" s="1908"/>
      <c r="L61" s="1908"/>
      <c r="M61" s="1908"/>
      <c r="N61" s="1908"/>
      <c r="O61" s="1908"/>
      <c r="P61" s="1908"/>
      <c r="Q61" s="1908"/>
      <c r="R61" s="1908"/>
      <c r="S61" s="1908"/>
      <c r="T61" s="1908"/>
      <c r="U61" s="1908"/>
      <c r="V61" s="1908"/>
    </row>
    <row r="62" spans="1:22" ht="18.75">
      <c r="A62" s="1237" t="s">
        <v>373</v>
      </c>
      <c r="B62" s="1238"/>
      <c r="C62" s="1238"/>
      <c r="D62" s="1239"/>
      <c r="E62" s="1239"/>
      <c r="F62" s="1240"/>
      <c r="G62" s="1240"/>
      <c r="H62" s="1240"/>
      <c r="I62" s="1240"/>
      <c r="J62" s="1912"/>
      <c r="K62" s="1908"/>
      <c r="L62" s="1908"/>
      <c r="M62" s="1908"/>
      <c r="N62" s="1908"/>
      <c r="O62" s="1908"/>
      <c r="P62" s="1908"/>
      <c r="Q62" s="1908"/>
      <c r="R62" s="1908"/>
      <c r="S62" s="1908"/>
      <c r="T62" s="1908"/>
      <c r="U62" s="1908"/>
      <c r="V62" s="1908"/>
    </row>
    <row r="63" spans="1:22" ht="14.25" customHeight="1" thickBot="1">
      <c r="A63" s="3436" t="s">
        <v>374</v>
      </c>
      <c r="B63" s="3437"/>
      <c r="C63" s="3438"/>
      <c r="D63" s="338">
        <f ca="1">ROUND(C42*F63,0)</f>
        <v>70630</v>
      </c>
      <c r="E63" s="299" t="s">
        <v>375</v>
      </c>
      <c r="F63" s="339">
        <v>1</v>
      </c>
      <c r="G63" s="340" t="s">
        <v>376</v>
      </c>
      <c r="H63" s="308"/>
      <c r="I63" s="308"/>
      <c r="J63" s="1908"/>
      <c r="K63" s="1908"/>
      <c r="L63" s="1908"/>
      <c r="M63" s="1908"/>
      <c r="N63" s="1908"/>
      <c r="O63" s="1908"/>
      <c r="P63" s="1908"/>
      <c r="Q63" s="1908"/>
      <c r="R63" s="1908"/>
      <c r="S63" s="1908"/>
      <c r="T63" s="1908"/>
      <c r="U63" s="1908"/>
      <c r="V63" s="1908"/>
    </row>
    <row r="64" spans="1:22" ht="14.25" customHeight="1">
      <c r="A64" s="3480" t="s">
        <v>378</v>
      </c>
      <c r="B64" s="3481"/>
      <c r="C64" s="3481"/>
      <c r="D64" s="3481"/>
      <c r="E64" s="3481"/>
      <c r="F64" s="3481"/>
      <c r="G64" s="3482"/>
      <c r="H64" s="1241"/>
      <c r="I64" s="936"/>
      <c r="J64" s="1899"/>
      <c r="K64" s="1496" t="s">
        <v>377</v>
      </c>
      <c r="L64" s="11"/>
      <c r="M64" s="11"/>
      <c r="N64" s="11"/>
      <c r="O64" s="11"/>
      <c r="P64" s="308"/>
      <c r="Q64" s="1908"/>
      <c r="R64" s="1908"/>
      <c r="S64" s="1908"/>
      <c r="T64" s="1908"/>
      <c r="U64" s="1908"/>
      <c r="V64" s="1908"/>
    </row>
    <row r="65" spans="1:22" ht="12" customHeight="1">
      <c r="A65" s="341" t="s">
        <v>380</v>
      </c>
      <c r="B65" s="342"/>
      <c r="C65" s="343"/>
      <c r="D65" s="344" t="s">
        <v>381</v>
      </c>
      <c r="E65" s="53" t="s">
        <v>382</v>
      </c>
      <c r="F65" s="345" t="s">
        <v>383</v>
      </c>
      <c r="G65" s="346" t="s">
        <v>384</v>
      </c>
      <c r="H65" s="1241"/>
      <c r="I65" s="936"/>
      <c r="J65" s="1899"/>
      <c r="K65" s="1242"/>
      <c r="L65" s="1243"/>
      <c r="M65" s="1243"/>
      <c r="N65" s="1275" t="s">
        <v>379</v>
      </c>
      <c r="O65" s="1276"/>
      <c r="P65" s="1277"/>
      <c r="Q65" s="1908"/>
      <c r="R65" s="1908"/>
      <c r="S65" s="1908"/>
      <c r="T65" s="1908"/>
      <c r="U65" s="1908"/>
      <c r="V65" s="1908"/>
    </row>
    <row r="66" spans="1:22" ht="25.5">
      <c r="A66" s="3477" t="s">
        <v>386</v>
      </c>
      <c r="B66" s="3443"/>
      <c r="C66" s="3443"/>
      <c r="D66" s="258" t="b">
        <f>IF(H66="情况1",0,IF(H66="情况2",D70,IF(H66="情况3",D71,IF(H66="情况4",D72))))</f>
        <v>0</v>
      </c>
      <c r="E66" s="980" t="str">
        <f>IF(H66="情况4","(销售额-原购置价)×税（费）率","销售额×税（费）率")</f>
        <v>销售额×税（费）率</v>
      </c>
      <c r="F66" s="347">
        <f>IF(H66="情况1","免征",'数据-取费表'!B41)</f>
        <v>5.6000000000000001E-2</v>
      </c>
      <c r="G66" s="348" t="s">
        <v>387</v>
      </c>
      <c r="H66" s="189"/>
      <c r="I66" s="1241"/>
      <c r="J66" s="1914"/>
      <c r="K66" s="1244">
        <v>1</v>
      </c>
      <c r="L66" s="3404" t="s">
        <v>385</v>
      </c>
      <c r="M66" s="3405"/>
      <c r="N66" s="2309"/>
      <c r="O66" s="2310"/>
      <c r="P66" s="2311"/>
      <c r="Q66" s="1908"/>
      <c r="R66" s="1908"/>
      <c r="S66" s="1908"/>
      <c r="T66" s="1908"/>
      <c r="U66" s="1908"/>
      <c r="V66" s="1908"/>
    </row>
    <row r="67" spans="1:22" ht="25.5" customHeight="1">
      <c r="A67" s="349" t="s">
        <v>389</v>
      </c>
      <c r="B67" s="3455" t="s">
        <v>390</v>
      </c>
      <c r="C67" s="3455"/>
      <c r="D67" s="350">
        <v>0</v>
      </c>
      <c r="E67" s="41" t="s">
        <v>391</v>
      </c>
      <c r="F67" s="62" t="s">
        <v>21</v>
      </c>
      <c r="G67" s="3439"/>
      <c r="H67" s="3003" t="s">
        <v>2966</v>
      </c>
      <c r="I67" s="3005"/>
      <c r="J67" s="1915"/>
      <c r="K67" s="1887">
        <v>2</v>
      </c>
      <c r="L67" s="3409" t="s">
        <v>388</v>
      </c>
      <c r="M67" s="3409"/>
      <c r="N67" s="1278">
        <f>'数据-取费表'!B2</f>
        <v>44234</v>
      </c>
      <c r="O67" s="1278"/>
      <c r="P67" s="1278"/>
      <c r="Q67" s="1908"/>
      <c r="R67" s="1908"/>
      <c r="S67" s="1908"/>
      <c r="T67" s="1908"/>
      <c r="U67" s="1908"/>
      <c r="V67" s="1908"/>
    </row>
    <row r="68" spans="1:22" ht="25.5" customHeight="1">
      <c r="A68" s="351"/>
      <c r="B68" s="3455" t="s">
        <v>393</v>
      </c>
      <c r="C68" s="3455"/>
      <c r="D68" s="352"/>
      <c r="E68" s="77"/>
      <c r="F68" s="353"/>
      <c r="G68" s="3440"/>
      <c r="H68" s="3004" t="s">
        <v>2967</v>
      </c>
      <c r="I68" s="3005"/>
      <c r="J68" s="1915"/>
      <c r="K68" s="1887">
        <v>3</v>
      </c>
      <c r="L68" s="3409" t="s">
        <v>392</v>
      </c>
      <c r="M68" s="3409"/>
      <c r="N68" s="1246">
        <f ca="1">C42</f>
        <v>70630</v>
      </c>
      <c r="O68" s="1246"/>
      <c r="P68" s="1246"/>
      <c r="Q68" s="1908"/>
      <c r="R68" s="1908"/>
      <c r="S68" s="1908"/>
      <c r="T68" s="1908"/>
      <c r="U68" s="1908"/>
      <c r="V68" s="1908"/>
    </row>
    <row r="69" spans="1:22" ht="23.45" customHeight="1">
      <c r="A69" s="354"/>
      <c r="B69" s="3455" t="s">
        <v>394</v>
      </c>
      <c r="C69" s="3455"/>
      <c r="D69" s="355"/>
      <c r="E69" s="73"/>
      <c r="F69" s="353"/>
      <c r="G69" s="3441"/>
      <c r="H69" s="3004" t="s">
        <v>2968</v>
      </c>
      <c r="I69" s="3005"/>
      <c r="J69" s="1915"/>
      <c r="K69" s="1247">
        <v>4</v>
      </c>
      <c r="L69" s="3410" t="s">
        <v>2862</v>
      </c>
      <c r="M69" s="3411"/>
      <c r="N69" s="1248">
        <f ca="1">C44</f>
        <v>70630</v>
      </c>
      <c r="O69" s="1248"/>
      <c r="P69" s="1248"/>
      <c r="Q69" s="1908"/>
      <c r="R69" s="1908"/>
      <c r="S69" s="1908"/>
      <c r="T69" s="1908"/>
      <c r="U69" s="1908"/>
      <c r="V69" s="1908"/>
    </row>
    <row r="70" spans="1:22" ht="24" customHeight="1">
      <c r="A70" s="356" t="s">
        <v>395</v>
      </c>
      <c r="B70" s="3455" t="s">
        <v>396</v>
      </c>
      <c r="C70" s="3455"/>
      <c r="D70" s="355">
        <f ca="1">ROUND(D63*'数据-取费表'!B41/(1+'数据-取费表'!C42),0)</f>
        <v>3767</v>
      </c>
      <c r="E70" s="17" t="s">
        <v>397</v>
      </c>
      <c r="F70" s="357">
        <f>'数据-取费表'!B41</f>
        <v>5.6000000000000001E-2</v>
      </c>
      <c r="G70" s="358"/>
      <c r="H70" s="308"/>
      <c r="I70" s="1245"/>
      <c r="J70" s="1915"/>
      <c r="K70" s="2762"/>
      <c r="L70" s="2763"/>
      <c r="M70" s="2763"/>
      <c r="N70" s="2764" t="s">
        <v>2866</v>
      </c>
      <c r="O70" s="2763"/>
      <c r="P70" s="2765"/>
      <c r="Q70" s="1908"/>
      <c r="R70" s="1908"/>
      <c r="S70" s="1908"/>
      <c r="T70" s="1908"/>
      <c r="U70" s="1908"/>
      <c r="V70" s="1908"/>
    </row>
    <row r="71" spans="1:22" ht="12" customHeight="1">
      <c r="A71" s="356" t="s">
        <v>403</v>
      </c>
      <c r="B71" s="3454" t="s">
        <v>2998</v>
      </c>
      <c r="C71" s="3471"/>
      <c r="D71" s="355">
        <f ca="1">ROUND(D63*'数据-取费表'!B41/(1+'数据-取费表'!C42),0)</f>
        <v>3767</v>
      </c>
      <c r="E71" s="17" t="s">
        <v>397</v>
      </c>
      <c r="F71" s="357">
        <f>'数据-取费表'!B41</f>
        <v>5.6000000000000001E-2</v>
      </c>
      <c r="G71" s="358"/>
      <c r="H71" s="308"/>
      <c r="I71" s="1245"/>
      <c r="J71" s="1915"/>
      <c r="K71" s="2761" t="s">
        <v>398</v>
      </c>
      <c r="L71" s="3412" t="s">
        <v>399</v>
      </c>
      <c r="M71" s="3412"/>
      <c r="N71" s="2761" t="s">
        <v>400</v>
      </c>
      <c r="O71" s="2761" t="s">
        <v>401</v>
      </c>
      <c r="P71" s="2761" t="s">
        <v>402</v>
      </c>
      <c r="Q71" s="1908"/>
      <c r="R71" s="1908"/>
      <c r="S71" s="1908"/>
      <c r="T71" s="1908"/>
      <c r="U71" s="1908"/>
      <c r="V71" s="1908"/>
    </row>
    <row r="72" spans="1:22" ht="12" customHeight="1">
      <c r="A72" s="356" t="s">
        <v>405</v>
      </c>
      <c r="B72" s="3454" t="s">
        <v>2999</v>
      </c>
      <c r="C72" s="3471"/>
      <c r="D72" s="355">
        <f ca="1">C86</f>
        <v>3767</v>
      </c>
      <c r="E72" s="73" t="s">
        <v>406</v>
      </c>
      <c r="F72" s="357">
        <f>'数据-取费表'!B41</f>
        <v>5.6000000000000001E-2</v>
      </c>
      <c r="G72" s="358"/>
      <c r="H72" s="1251"/>
      <c r="I72" s="1245"/>
      <c r="J72" s="1915"/>
      <c r="K72" s="1887">
        <v>1</v>
      </c>
      <c r="L72" s="3408" t="s">
        <v>404</v>
      </c>
      <c r="M72" s="3408"/>
      <c r="N72" s="1249" t="b">
        <f>D66</f>
        <v>0</v>
      </c>
      <c r="O72" s="1770" t="str">
        <f>E66</f>
        <v>销售额×税（费）率</v>
      </c>
      <c r="P72" s="1250">
        <f>F66</f>
        <v>5.6000000000000001E-2</v>
      </c>
      <c r="Q72" s="1908"/>
      <c r="R72" s="1908"/>
      <c r="S72" s="1908"/>
      <c r="T72" s="1908"/>
      <c r="U72" s="1908"/>
      <c r="V72" s="1908"/>
    </row>
    <row r="73" spans="1:22" ht="24" customHeight="1">
      <c r="A73" s="3442" t="s">
        <v>408</v>
      </c>
      <c r="B73" s="3443"/>
      <c r="C73" s="3443"/>
      <c r="D73" s="359">
        <f ca="1">IF(H73="个人住宅",0,ROUND(D63*I73,0))</f>
        <v>35</v>
      </c>
      <c r="E73" s="17" t="s">
        <v>409</v>
      </c>
      <c r="F73" s="357" t="str">
        <f>IF(H73="正常",I73,"免征")</f>
        <v>免征</v>
      </c>
      <c r="G73" s="358"/>
      <c r="H73" s="189"/>
      <c r="I73" s="357">
        <f>'数据-取费表'!B49</f>
        <v>5.0000000000000001E-4</v>
      </c>
      <c r="J73" s="1915"/>
      <c r="K73" s="1887">
        <v>2</v>
      </c>
      <c r="L73" s="3408" t="s">
        <v>407</v>
      </c>
      <c r="M73" s="3408"/>
      <c r="N73" s="1249">
        <f t="shared" ref="N73:P74" ca="1" si="1">D73</f>
        <v>35</v>
      </c>
      <c r="O73" s="1770" t="str">
        <f t="shared" si="1"/>
        <v>销售额×税（费）率</v>
      </c>
      <c r="P73" s="1250" t="str">
        <f t="shared" si="1"/>
        <v>免征</v>
      </c>
      <c r="Q73" s="1908"/>
      <c r="R73" s="1908"/>
      <c r="S73" s="1908"/>
      <c r="T73" s="1908"/>
      <c r="U73" s="1908"/>
      <c r="V73" s="1908"/>
    </row>
    <row r="74" spans="1:22" ht="24.75">
      <c r="A74" s="3442" t="s">
        <v>411</v>
      </c>
      <c r="B74" s="3443"/>
      <c r="C74" s="3443"/>
      <c r="D74" s="359">
        <f ca="1">IF(H74="个人住宅",D75,D76)</f>
        <v>39976</v>
      </c>
      <c r="E74" s="17" t="s">
        <v>412</v>
      </c>
      <c r="F74" s="357" t="str">
        <f>IF(H74="正常",F76,"免征")</f>
        <v>免征</v>
      </c>
      <c r="G74" s="970" t="s">
        <v>413</v>
      </c>
      <c r="H74" s="360"/>
      <c r="I74" s="42"/>
      <c r="J74" s="1915"/>
      <c r="K74" s="1887">
        <v>3</v>
      </c>
      <c r="L74" s="3408" t="s">
        <v>410</v>
      </c>
      <c r="M74" s="3408"/>
      <c r="N74" s="1249">
        <f t="shared" ca="1" si="1"/>
        <v>39976</v>
      </c>
      <c r="O74" s="1770" t="str">
        <f t="shared" si="1"/>
        <v>增值额×税（费）率</v>
      </c>
      <c r="P74" s="1252" t="str">
        <f t="shared" si="1"/>
        <v>免征</v>
      </c>
      <c r="Q74" s="1908"/>
      <c r="R74" s="1908"/>
      <c r="S74" s="1908"/>
      <c r="T74" s="1908"/>
      <c r="U74" s="1908"/>
      <c r="V74" s="1908"/>
    </row>
    <row r="75" spans="1:22" ht="12.75">
      <c r="A75" s="356" t="s">
        <v>414</v>
      </c>
      <c r="B75" s="3423" t="s">
        <v>415</v>
      </c>
      <c r="C75" s="3424"/>
      <c r="D75" s="361">
        <v>0</v>
      </c>
      <c r="E75" s="41" t="s">
        <v>416</v>
      </c>
      <c r="F75" s="362"/>
      <c r="G75" s="358"/>
      <c r="H75" s="42"/>
      <c r="I75" s="42"/>
      <c r="J75" s="1915"/>
      <c r="K75" s="2755">
        <f>IF(H77="非个人房产","",4)</f>
        <v>4</v>
      </c>
      <c r="L75" s="3408" t="str">
        <f>IF(H77="非个人房产","——","个人所得税")</f>
        <v>个人所得税</v>
      </c>
      <c r="M75" s="3408"/>
      <c r="N75" s="1253">
        <f>D77</f>
        <v>0</v>
      </c>
      <c r="O75" s="1783" t="str">
        <f>E77</f>
        <v>差额计税</v>
      </c>
      <c r="P75" s="1254">
        <f>F77</f>
        <v>0.01</v>
      </c>
      <c r="Q75" s="1908"/>
      <c r="R75" s="1908"/>
      <c r="S75" s="1908"/>
      <c r="T75" s="1908"/>
      <c r="U75" s="1908"/>
      <c r="V75" s="1908"/>
    </row>
    <row r="76" spans="1:22" ht="24.75">
      <c r="A76" s="356" t="s">
        <v>395</v>
      </c>
      <c r="B76" s="3423" t="s">
        <v>418</v>
      </c>
      <c r="C76" s="3465"/>
      <c r="D76" s="359">
        <f ca="1">IF(H76="转让取得",C99,C115)</f>
        <v>39976</v>
      </c>
      <c r="E76" s="17" t="s">
        <v>419</v>
      </c>
      <c r="F76" s="53" t="s">
        <v>21</v>
      </c>
      <c r="G76" s="358"/>
      <c r="H76" s="360"/>
      <c r="I76" s="42"/>
      <c r="J76" s="1915"/>
      <c r="K76" s="2755" t="str">
        <f>IF(项目基本情况!K6="上海银行",IF(K75="",4,K75+1),"")</f>
        <v/>
      </c>
      <c r="L76" s="3419" t="str">
        <f>IF(项目基本情况!K6="上海银行","其他处置费用","")</f>
        <v/>
      </c>
      <c r="M76" s="3420"/>
      <c r="N76" s="1249" t="str">
        <f>IF(项目基本情况!K6="上海银行",N89,"")</f>
        <v/>
      </c>
      <c r="O76" s="3421" t="str">
        <f>IF(项目基本情况!K6="上海银行","包含处置中涉及的律师、诉讼、拍卖、评估等费用","")</f>
        <v/>
      </c>
      <c r="P76" s="3422"/>
      <c r="Q76" s="1908"/>
      <c r="R76" s="1908"/>
      <c r="S76" s="1908"/>
      <c r="T76" s="1908"/>
      <c r="U76" s="1908"/>
      <c r="V76" s="1908"/>
    </row>
    <row r="77" spans="1:22" ht="24.75" thickBot="1">
      <c r="A77" s="3434" t="s">
        <v>421</v>
      </c>
      <c r="B77" s="3435"/>
      <c r="C77" s="3435"/>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1" t="s">
        <v>413</v>
      </c>
      <c r="H77" s="3007"/>
      <c r="I77" s="3006" t="s">
        <v>2969</v>
      </c>
      <c r="J77" s="1915"/>
      <c r="K77" s="3430">
        <f>IF(AND(K75="",K76=""),4,IF(项目基本情况!K6="上海银行",K76+1,K75+1))</f>
        <v>5</v>
      </c>
      <c r="L77" s="3408" t="s">
        <v>2863</v>
      </c>
      <c r="M77" s="2760" t="s">
        <v>417</v>
      </c>
      <c r="N77" s="1255"/>
      <c r="O77" s="1256">
        <f ca="1">SUMIF(N72:N76,"&lt;9e307")</f>
        <v>40011</v>
      </c>
      <c r="P77" s="1257"/>
      <c r="Q77" s="2758">
        <f ca="1">O77/N69</f>
        <v>0.56648732833073767</v>
      </c>
      <c r="R77" s="1908"/>
      <c r="S77" s="1908"/>
      <c r="T77" s="1908"/>
      <c r="U77" s="1908"/>
      <c r="V77" s="1908"/>
    </row>
    <row r="78" spans="1:22" ht="12" customHeight="1">
      <c r="A78" s="1258"/>
      <c r="B78" s="308"/>
      <c r="C78" s="308"/>
      <c r="D78" s="308"/>
      <c r="E78" s="42"/>
      <c r="F78" s="42"/>
      <c r="G78" s="42"/>
      <c r="H78" s="990"/>
      <c r="I78" s="308"/>
      <c r="J78" s="1915"/>
      <c r="K78" s="3430"/>
      <c r="L78" s="3408"/>
      <c r="M78" s="2760" t="s">
        <v>420</v>
      </c>
      <c r="N78" s="1255"/>
      <c r="O78" s="1256" t="str">
        <f ca="1">NUMBERSTRING(INT(O77*10000),2)&amp;"元整"</f>
        <v>肆亿零壹拾壹万元整</v>
      </c>
      <c r="P78" s="1257"/>
      <c r="Q78" s="1908"/>
      <c r="R78" s="1908"/>
      <c r="S78" s="1908"/>
      <c r="T78" s="1908"/>
      <c r="U78" s="1908"/>
      <c r="V78" s="1908"/>
    </row>
    <row r="79" spans="1:22" ht="13.5" thickBot="1">
      <c r="A79" s="3485" t="s">
        <v>422</v>
      </c>
      <c r="B79" s="3485"/>
      <c r="C79" s="3485"/>
      <c r="D79" s="3485"/>
      <c r="E79" s="3485"/>
      <c r="F79" s="42"/>
      <c r="G79" s="42"/>
      <c r="H79" s="990"/>
      <c r="I79" s="308"/>
      <c r="J79" s="1915"/>
      <c r="K79" s="3406">
        <f>K77+1</f>
        <v>6</v>
      </c>
      <c r="L79" s="3408" t="s">
        <v>2864</v>
      </c>
      <c r="M79" s="2760" t="s">
        <v>417</v>
      </c>
      <c r="N79" s="1255"/>
      <c r="O79" s="1256">
        <f ca="1">N69-O77</f>
        <v>30619</v>
      </c>
      <c r="P79" s="1257"/>
      <c r="Q79" s="1908"/>
      <c r="R79" s="1908"/>
      <c r="S79" s="1908"/>
      <c r="T79" s="1908"/>
      <c r="U79" s="1908"/>
      <c r="V79" s="1908"/>
    </row>
    <row r="80" spans="1:22" ht="25.5">
      <c r="A80" s="3416" t="s">
        <v>423</v>
      </c>
      <c r="B80" s="3417"/>
      <c r="C80" s="981"/>
      <c r="D80" s="981" t="s">
        <v>424</v>
      </c>
      <c r="E80" s="363" t="s">
        <v>425</v>
      </c>
      <c r="F80" s="42"/>
      <c r="G80" s="42"/>
      <c r="H80" s="990"/>
      <c r="I80" s="308"/>
      <c r="J80" s="1908"/>
      <c r="K80" s="3407"/>
      <c r="L80" s="3408"/>
      <c r="M80" s="2760" t="s">
        <v>420</v>
      </c>
      <c r="N80" s="1255"/>
      <c r="O80" s="1256" t="str">
        <f ca="1">NUMBERSTRING(INT(O79*10000),2)&amp;"元整"</f>
        <v>叁亿零陆佰壹拾玖万元整</v>
      </c>
      <c r="P80" s="1257"/>
      <c r="Q80" s="1908"/>
      <c r="R80" s="1908"/>
      <c r="S80" s="1908"/>
      <c r="T80" s="1908"/>
      <c r="U80" s="1908"/>
      <c r="V80" s="1908"/>
    </row>
    <row r="81" spans="1:26" ht="13.5" thickBot="1">
      <c r="A81" s="374" t="s">
        <v>1814</v>
      </c>
      <c r="B81" s="364" t="s">
        <v>426</v>
      </c>
      <c r="C81" s="365">
        <f ca="1">ROUND((C82+C83)/(1+'数据-取费表'!C42),0)</f>
        <v>67267</v>
      </c>
      <c r="D81" s="366"/>
      <c r="E81" s="367"/>
      <c r="F81" s="42"/>
      <c r="G81" s="42"/>
      <c r="H81" s="990"/>
      <c r="I81" s="308"/>
      <c r="J81" s="1908"/>
      <c r="K81" s="2755">
        <f>K79+1</f>
        <v>7</v>
      </c>
      <c r="L81" s="3428" t="s">
        <v>2865</v>
      </c>
      <c r="M81" s="3429"/>
      <c r="N81" s="1259"/>
      <c r="O81" s="1260">
        <f ca="1">ROUND(O79*10000/'数据-汇总表'!E3,0)</f>
        <v>1950</v>
      </c>
      <c r="P81" s="1261"/>
      <c r="Q81" s="1908"/>
      <c r="R81" s="1908"/>
      <c r="S81" s="1908"/>
      <c r="T81" s="1908"/>
      <c r="U81" s="1908"/>
      <c r="V81" s="1908"/>
    </row>
    <row r="82" spans="1:26" ht="13.5" thickTop="1">
      <c r="A82" s="368" t="s">
        <v>1815</v>
      </c>
      <c r="B82" s="369" t="s">
        <v>427</v>
      </c>
      <c r="C82" s="370">
        <f ca="1">D63</f>
        <v>70630</v>
      </c>
      <c r="D82" s="371" t="s">
        <v>19</v>
      </c>
      <c r="E82" s="372"/>
      <c r="F82" s="42"/>
      <c r="G82" s="42"/>
      <c r="H82" s="990"/>
      <c r="I82" s="308"/>
      <c r="J82" s="1908"/>
      <c r="K82" s="1908"/>
      <c r="L82" s="1908"/>
      <c r="M82" s="1908"/>
      <c r="N82" s="1908"/>
      <c r="O82" s="1908"/>
      <c r="P82" s="1908"/>
      <c r="Q82" s="1908"/>
      <c r="R82" s="1908"/>
      <c r="S82" s="1908"/>
      <c r="T82" s="1908"/>
      <c r="U82" s="1908"/>
      <c r="V82" s="1908"/>
    </row>
    <row r="83" spans="1:26" ht="12.75">
      <c r="A83" s="368" t="s">
        <v>1816</v>
      </c>
      <c r="B83" s="369" t="s">
        <v>428</v>
      </c>
      <c r="C83" s="373"/>
      <c r="D83" s="371"/>
      <c r="E83" s="372"/>
      <c r="F83" s="42"/>
      <c r="G83" s="42"/>
      <c r="H83" s="990"/>
      <c r="I83" s="308"/>
      <c r="J83" s="1908"/>
      <c r="K83" s="3418" t="s">
        <v>2853</v>
      </c>
      <c r="L83" s="2766" t="s">
        <v>2854</v>
      </c>
      <c r="M83" s="2756">
        <f ca="1">IF(N69&gt;10000,N69*0.5%,IF(AND(N69&gt;1000,N69&lt;=10000),N69*1%,IF(AND(N69&gt;100,N69&lt;=1000),N69*3%,IF(AND(N69&gt;10,N69&lt;=100),N69*5%,N69*8%))))</f>
        <v>353.15000000000003</v>
      </c>
      <c r="N83" s="53">
        <f ca="1">ROUND(M83,1)</f>
        <v>353.2</v>
      </c>
      <c r="O83" s="2759"/>
      <c r="P83" s="1908"/>
      <c r="Q83" s="1908"/>
      <c r="R83" s="1908"/>
      <c r="S83" s="1908"/>
      <c r="T83" s="1908"/>
      <c r="U83" s="1908"/>
      <c r="V83" s="1908"/>
    </row>
    <row r="84" spans="1:26" ht="12.75">
      <c r="A84" s="374" t="s">
        <v>1817</v>
      </c>
      <c r="B84" s="375" t="s">
        <v>429</v>
      </c>
      <c r="C84" s="376"/>
      <c r="D84" s="377" t="s">
        <v>19</v>
      </c>
      <c r="E84" s="2784" t="s">
        <v>2907</v>
      </c>
      <c r="F84" s="42"/>
      <c r="G84" s="42"/>
      <c r="H84" s="990"/>
      <c r="I84" s="308"/>
      <c r="J84" s="1908"/>
      <c r="K84" s="3418"/>
      <c r="L84" s="2766" t="s">
        <v>2855</v>
      </c>
      <c r="M84" s="2756">
        <f ca="1">IF(N69&gt;2000,N69*0.5%,IF(AND(N69&gt;1000,N69&lt;=2000),N69*0.6%,IF(AND(N69&gt;500,N69&lt;=1000),N69*0.7%,IF(AND(N69&gt;200,N69&lt;=500),N69*0.8%,IF(AND(N69&gt;100,N69&lt;=200),N69*0.9%,IF(AND(N69&gt;50,N69&lt;=100),N69*1%,IF(AND(N69&gt;20,N69&lt;=50),N69*1.5%,IF(AND(N69&gt;10,N69&lt;=20),N69*2%,IF(AND(N69&gt;1,N69&lt;=10),N69*2.5%)))))))))</f>
        <v>353.15000000000003</v>
      </c>
      <c r="N84" s="53">
        <f t="shared" ref="N84:N85" ca="1" si="2">ROUND(M84,1)</f>
        <v>353.2</v>
      </c>
      <c r="O84" s="1908" t="s">
        <v>2856</v>
      </c>
      <c r="P84" s="1908"/>
      <c r="Q84" s="1908"/>
      <c r="R84" s="1908"/>
      <c r="S84" s="1908"/>
      <c r="T84" s="1908"/>
      <c r="U84" s="1908"/>
      <c r="V84" s="1908"/>
    </row>
    <row r="85" spans="1:26" ht="12.75">
      <c r="A85" s="374" t="s">
        <v>1818</v>
      </c>
      <c r="B85" s="375" t="s">
        <v>430</v>
      </c>
      <c r="C85" s="378">
        <f ca="1">C81-C84</f>
        <v>67267</v>
      </c>
      <c r="D85" s="371" t="s">
        <v>19</v>
      </c>
      <c r="E85" s="372"/>
      <c r="F85" s="42"/>
      <c r="G85" s="42"/>
      <c r="H85" s="990"/>
      <c r="I85" s="308"/>
      <c r="J85" s="1908"/>
      <c r="K85" s="3418"/>
      <c r="L85" s="2766" t="s">
        <v>2857</v>
      </c>
      <c r="M85" s="2756">
        <f ca="1">IF(N69&gt;1000,N69*0.1%,IF(AND(N69&gt;500,N69&lt;=1000),N69*0.5%,IF(AND(N69&gt;50,N69&lt;=500),N69*1%,IF(AND(N69&gt;1,N69&lt;=50),N69*1.5%))))</f>
        <v>70.63</v>
      </c>
      <c r="N85" s="53">
        <f t="shared" ca="1" si="2"/>
        <v>70.599999999999994</v>
      </c>
      <c r="O85" s="1908" t="s">
        <v>2856</v>
      </c>
      <c r="P85" s="1908"/>
      <c r="Q85" s="1908"/>
      <c r="R85" s="1908"/>
      <c r="S85" s="1908"/>
      <c r="T85" s="1908"/>
      <c r="U85" s="1908"/>
      <c r="V85" s="1908"/>
    </row>
    <row r="86" spans="1:26" ht="13.5" thickBot="1">
      <c r="A86" s="379" t="s">
        <v>1819</v>
      </c>
      <c r="B86" s="380" t="s">
        <v>431</v>
      </c>
      <c r="C86" s="381">
        <f ca="1">IF(C85&lt;=0,0,ROUND(C85*D86,0))</f>
        <v>3767</v>
      </c>
      <c r="D86" s="382">
        <f>'数据-取费表'!B41</f>
        <v>5.6000000000000001E-2</v>
      </c>
      <c r="E86" s="383"/>
      <c r="F86" s="42"/>
      <c r="G86" s="42"/>
      <c r="H86" s="990"/>
      <c r="I86" s="308"/>
      <c r="J86" s="1908"/>
      <c r="K86" s="3418"/>
      <c r="L86" s="2766" t="s">
        <v>2858</v>
      </c>
      <c r="M86" s="2756">
        <f ca="1">N69*0.5%</f>
        <v>353.15000000000003</v>
      </c>
      <c r="N86" s="53">
        <f ca="1">IF(M86&gt;0.5,0.5,ROUND(M86,0))</f>
        <v>0.5</v>
      </c>
      <c r="O86" s="1908" t="s">
        <v>2859</v>
      </c>
      <c r="P86" s="1908"/>
      <c r="Q86" s="1908"/>
      <c r="R86" s="1908"/>
      <c r="S86" s="1908"/>
      <c r="T86" s="1908"/>
      <c r="U86" s="1908"/>
      <c r="V86" s="1908"/>
    </row>
    <row r="87" spans="1:26" s="1207" customFormat="1" ht="14.25" customHeight="1">
      <c r="A87" s="1262"/>
      <c r="B87" s="1263"/>
      <c r="C87" s="1264"/>
      <c r="D87" s="1265"/>
      <c r="E87" s="1266"/>
      <c r="F87" s="42"/>
      <c r="G87" s="42"/>
      <c r="H87" s="990"/>
      <c r="I87" s="308"/>
      <c r="J87" s="1908"/>
      <c r="K87" s="3418"/>
      <c r="L87" s="2766" t="s">
        <v>2860</v>
      </c>
      <c r="M87" s="2756">
        <f ca="1">IF(N69&gt;=10000,(8.25+(N69-10000)*0.01%),IF(AND(N69&gt;=8000,N69&lt;10000),(7.85+(N69-8000)*0.02%),IF(AND(N69&gt;=5000,N69&lt;8000),(6.65+(N69-5000)*0.04%),IF(AND(N69&gt;=2000,N69&lt;5000),(4.25+(PN69-2000)*0.08%),IF(AND(N69&gt;=1000,N69&lt;2000),(2.75+(N69-1000)*0.15%),IF(AND(N69&gt;=100,N69&lt;1000),(0.5+(N69-100)*0.25%),IF(AND(N69&gt;0,N69&lt;100),N69*0.5%)))))))</f>
        <v>14.313000000000001</v>
      </c>
      <c r="N87" s="53">
        <f ca="1">ROUND(M87*0.9,1)</f>
        <v>12.9</v>
      </c>
      <c r="O87" s="2759"/>
      <c r="P87" s="1908"/>
      <c r="Q87" s="1908"/>
      <c r="R87" s="1908"/>
      <c r="S87" s="1908"/>
      <c r="T87" s="1908"/>
      <c r="U87" s="1908"/>
      <c r="V87" s="1908"/>
      <c r="W87" s="289"/>
      <c r="X87" s="289"/>
      <c r="Y87" s="289"/>
      <c r="Z87" s="289"/>
    </row>
    <row r="88" spans="1:26" s="1267" customFormat="1" ht="15" thickBot="1">
      <c r="A88" s="3457" t="s">
        <v>432</v>
      </c>
      <c r="B88" s="3458"/>
      <c r="C88" s="3458"/>
      <c r="D88" s="3458"/>
      <c r="E88" s="3458"/>
      <c r="F88" s="3458"/>
      <c r="G88" s="3458"/>
      <c r="H88" s="3458"/>
      <c r="I88" s="1268"/>
      <c r="J88" s="1916"/>
      <c r="K88" s="3418"/>
      <c r="L88" s="2766" t="s">
        <v>2861</v>
      </c>
      <c r="M88" s="2756">
        <f ca="1">IF(N69&gt;10000,N69*0.5%,IF(AND(N69&gt;5000,N69&lt;=10000),N69*1%,IF(AND(N69&gt;1000,N69&lt;=5000),N69*2%,IF(AND(N69&gt;200,N69&lt;=1000),N69*3%,N69*5%))))</f>
        <v>353.15000000000003</v>
      </c>
      <c r="N88" s="53">
        <f ca="1">ROUND(M88,1)</f>
        <v>353.2</v>
      </c>
      <c r="O88" s="2759"/>
      <c r="P88" s="1913"/>
      <c r="Q88" s="1913"/>
      <c r="R88" s="1913"/>
      <c r="S88" s="1913"/>
      <c r="T88" s="1913"/>
      <c r="U88" s="1913"/>
      <c r="V88" s="1913"/>
      <c r="W88" s="1917"/>
      <c r="X88" s="1917"/>
      <c r="Y88" s="1917"/>
      <c r="Z88" s="1917"/>
    </row>
    <row r="89" spans="1:26" s="1267" customFormat="1" ht="14.25">
      <c r="A89" s="3416" t="s">
        <v>423</v>
      </c>
      <c r="B89" s="3417"/>
      <c r="C89" s="981"/>
      <c r="D89" s="981" t="s">
        <v>424</v>
      </c>
      <c r="E89" s="384" t="s">
        <v>433</v>
      </c>
      <c r="F89" s="385"/>
      <c r="G89" s="385"/>
      <c r="H89" s="386"/>
      <c r="I89" s="1269"/>
      <c r="J89" s="1918"/>
      <c r="K89" s="3418"/>
      <c r="L89" s="2766" t="s">
        <v>27</v>
      </c>
      <c r="M89" s="2757"/>
      <c r="N89" s="53">
        <f ca="1">ROUND(SUM(N83:N88),0)</f>
        <v>1144</v>
      </c>
      <c r="O89" s="2767">
        <f ca="1">N89/N69</f>
        <v>1.6197083392326207E-2</v>
      </c>
      <c r="P89" s="1913"/>
      <c r="Q89" s="1913"/>
      <c r="R89" s="1913"/>
      <c r="S89" s="1913"/>
      <c r="T89" s="1913"/>
      <c r="U89" s="1913"/>
      <c r="V89" s="1913"/>
      <c r="W89" s="1917"/>
      <c r="X89" s="1917"/>
      <c r="Y89" s="1917"/>
      <c r="Z89" s="1917"/>
    </row>
    <row r="90" spans="1:26" s="1267" customFormat="1" ht="14.25">
      <c r="A90" s="374" t="s">
        <v>1814</v>
      </c>
      <c r="B90" s="375" t="s">
        <v>434</v>
      </c>
      <c r="C90" s="378">
        <f ca="1">ROUND(D63/(1+'数据-取费表'!C42),0)</f>
        <v>67267</v>
      </c>
      <c r="D90" s="371" t="s">
        <v>19</v>
      </c>
      <c r="E90" s="978"/>
      <c r="F90" s="977"/>
      <c r="G90" s="977"/>
      <c r="H90" s="387"/>
      <c r="I90" s="1269"/>
      <c r="J90" s="1918"/>
      <c r="K90" s="1913"/>
      <c r="L90" s="1913"/>
      <c r="M90" s="1913"/>
      <c r="N90" s="1913"/>
      <c r="O90" s="1913"/>
      <c r="P90" s="1913"/>
      <c r="Q90" s="1913"/>
      <c r="R90" s="1913"/>
      <c r="S90" s="1913"/>
      <c r="T90" s="1913"/>
      <c r="U90" s="1913"/>
      <c r="V90" s="1913"/>
      <c r="W90" s="1917"/>
      <c r="X90" s="1917"/>
      <c r="Y90" s="1917"/>
      <c r="Z90" s="1917"/>
    </row>
    <row r="91" spans="1:26" s="1267" customFormat="1" ht="14.25">
      <c r="A91" s="374" t="s">
        <v>1820</v>
      </c>
      <c r="B91" s="345" t="s">
        <v>435</v>
      </c>
      <c r="C91" s="378">
        <f ca="1">C92+C96</f>
        <v>404</v>
      </c>
      <c r="D91" s="371" t="s">
        <v>19</v>
      </c>
      <c r="E91" s="978"/>
      <c r="F91" s="977"/>
      <c r="G91" s="977"/>
      <c r="H91" s="387"/>
      <c r="I91" s="1269"/>
      <c r="J91" s="1918"/>
      <c r="K91" s="1913"/>
      <c r="L91" s="1913"/>
      <c r="M91" s="1913"/>
      <c r="N91" s="1913"/>
      <c r="O91" s="1913"/>
      <c r="P91" s="1913"/>
      <c r="Q91" s="1913"/>
      <c r="R91" s="1913"/>
      <c r="S91" s="1913"/>
      <c r="T91" s="1913"/>
      <c r="U91" s="1913"/>
      <c r="V91" s="1913"/>
      <c r="W91" s="1917"/>
      <c r="X91" s="1917"/>
      <c r="Y91" s="1917"/>
      <c r="Z91" s="1917"/>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18"/>
      <c r="K92" s="1913"/>
      <c r="L92" s="1913"/>
      <c r="M92" s="1913"/>
      <c r="N92" s="1913"/>
      <c r="O92" s="1913"/>
      <c r="P92" s="1913"/>
      <c r="Q92" s="1913"/>
      <c r="R92" s="1913"/>
      <c r="S92" s="1913"/>
      <c r="T92" s="1913"/>
      <c r="U92" s="1913"/>
      <c r="V92" s="1913"/>
      <c r="W92" s="1917"/>
      <c r="X92" s="1917"/>
      <c r="Y92" s="1917"/>
      <c r="Z92" s="1917"/>
    </row>
    <row r="93" spans="1:26" s="1267" customFormat="1" ht="14.25">
      <c r="A93" s="388" t="s">
        <v>1822</v>
      </c>
      <c r="B93" s="369" t="s">
        <v>437</v>
      </c>
      <c r="C93" s="389"/>
      <c r="D93" s="371" t="s">
        <v>19</v>
      </c>
      <c r="E93" s="390" t="s">
        <v>438</v>
      </c>
      <c r="F93" s="391"/>
      <c r="G93" s="390" t="s">
        <v>439</v>
      </c>
      <c r="H93" s="392">
        <v>5</v>
      </c>
      <c r="I93" s="11"/>
      <c r="J93" s="1913"/>
      <c r="K93" s="1913"/>
      <c r="L93" s="1913"/>
      <c r="M93" s="1913"/>
      <c r="N93" s="1913"/>
      <c r="O93" s="1913"/>
      <c r="P93" s="1913"/>
      <c r="Q93" s="1913"/>
      <c r="R93" s="1913"/>
      <c r="S93" s="1913"/>
      <c r="T93" s="1913"/>
      <c r="U93" s="1913"/>
      <c r="V93" s="1913"/>
      <c r="W93" s="1917"/>
      <c r="X93" s="1917"/>
      <c r="Y93" s="1917"/>
      <c r="Z93" s="1917"/>
    </row>
    <row r="94" spans="1:26" s="1267" customFormat="1" ht="24.75" customHeight="1">
      <c r="A94" s="388" t="s">
        <v>1823</v>
      </c>
      <c r="B94" s="393" t="s">
        <v>440</v>
      </c>
      <c r="C94" s="371">
        <f>IF(F93="购房发票",ROUND(C93*H93*5%,0),0)</f>
        <v>0</v>
      </c>
      <c r="D94" s="394">
        <v>0.05</v>
      </c>
      <c r="E94" s="3454" t="s">
        <v>441</v>
      </c>
      <c r="F94" s="3455"/>
      <c r="G94" s="3455"/>
      <c r="H94" s="3456"/>
      <c r="I94" s="1269"/>
      <c r="J94" s="1918"/>
      <c r="K94" s="1913"/>
      <c r="L94" s="1913"/>
      <c r="M94" s="1913"/>
      <c r="N94" s="1913"/>
      <c r="O94" s="1913"/>
      <c r="P94" s="1913"/>
      <c r="Q94" s="1913"/>
      <c r="R94" s="1913"/>
      <c r="S94" s="1913"/>
      <c r="T94" s="1913"/>
      <c r="U94" s="1913"/>
      <c r="V94" s="1913"/>
      <c r="W94" s="1917"/>
      <c r="X94" s="1917"/>
      <c r="Y94" s="1917"/>
      <c r="Z94" s="1917"/>
    </row>
    <row r="95" spans="1:26" s="1267" customFormat="1" ht="24.75" customHeight="1">
      <c r="A95" s="388" t="s">
        <v>1824</v>
      </c>
      <c r="B95" s="369" t="s">
        <v>442</v>
      </c>
      <c r="C95" s="371">
        <f>ROUND(IF(G95="个人买卖住房",0,IF(G95="2016年5月1日前购买",C93*D95,C93*D95/(1+'数据-取费表'!C42))),0)</f>
        <v>0</v>
      </c>
      <c r="D95" s="395">
        <f>'数据-取费表'!B48+'数据-取费表'!B49</f>
        <v>4.0500000000000001E-2</v>
      </c>
      <c r="E95" s="26" t="s">
        <v>443</v>
      </c>
      <c r="F95" s="396"/>
      <c r="G95" s="397"/>
      <c r="H95" s="986" t="str">
        <f>IF(G95="个人买卖住房","免征印花税"," ")</f>
        <v xml:space="preserve"> </v>
      </c>
      <c r="I95" s="1269"/>
      <c r="J95" s="1918"/>
      <c r="K95" s="1913"/>
      <c r="L95" s="1913"/>
      <c r="M95" s="1913"/>
      <c r="N95" s="1913"/>
      <c r="O95" s="1913"/>
      <c r="P95" s="1913"/>
      <c r="Q95" s="1913"/>
      <c r="R95" s="1913"/>
      <c r="S95" s="1913"/>
      <c r="T95" s="1913"/>
      <c r="U95" s="1913"/>
      <c r="V95" s="1913"/>
      <c r="W95" s="1917"/>
      <c r="X95" s="1917"/>
      <c r="Y95" s="1917"/>
      <c r="Z95" s="1917"/>
    </row>
    <row r="96" spans="1:26" s="1267" customFormat="1" ht="24.75" customHeight="1">
      <c r="A96" s="388" t="s">
        <v>1825</v>
      </c>
      <c r="B96" s="369" t="s">
        <v>444</v>
      </c>
      <c r="C96" s="398">
        <f ca="1">ROUND(D63*D96/(1+'数据-取费表'!C42),0)</f>
        <v>404</v>
      </c>
      <c r="D96" s="399">
        <f>'数据-取费表'!B43</f>
        <v>6.000000000000001E-3</v>
      </c>
      <c r="E96" s="3413" t="s">
        <v>2412</v>
      </c>
      <c r="F96" s="3414"/>
      <c r="G96" s="3414"/>
      <c r="H96" s="3415"/>
      <c r="I96" s="1270"/>
      <c r="J96" s="1919"/>
      <c r="K96" s="1913"/>
      <c r="L96" s="1913"/>
      <c r="M96" s="1913"/>
      <c r="N96" s="1913"/>
      <c r="O96" s="1913"/>
      <c r="P96" s="1913"/>
      <c r="Q96" s="1913"/>
      <c r="R96" s="1913"/>
      <c r="S96" s="1913"/>
      <c r="T96" s="1913"/>
      <c r="U96" s="1913"/>
      <c r="V96" s="1913"/>
      <c r="W96" s="1917"/>
      <c r="X96" s="1917"/>
      <c r="Y96" s="1917"/>
      <c r="Z96" s="1917"/>
    </row>
    <row r="97" spans="1:26" s="1267" customFormat="1" ht="14.25">
      <c r="A97" s="1543" t="s">
        <v>1826</v>
      </c>
      <c r="B97" s="375" t="s">
        <v>445</v>
      </c>
      <c r="C97" s="378">
        <f ca="1">C90-C91</f>
        <v>66863</v>
      </c>
      <c r="D97" s="371" t="s">
        <v>19</v>
      </c>
      <c r="E97" s="978"/>
      <c r="F97" s="977"/>
      <c r="G97" s="977"/>
      <c r="H97" s="387"/>
      <c r="I97" s="1269"/>
      <c r="J97" s="1918"/>
      <c r="K97" s="1913"/>
      <c r="L97" s="1913"/>
      <c r="M97" s="1913"/>
      <c r="N97" s="1913"/>
      <c r="O97" s="1913"/>
      <c r="P97" s="1913"/>
      <c r="Q97" s="1913"/>
      <c r="R97" s="1913"/>
      <c r="S97" s="1913"/>
      <c r="T97" s="1913"/>
      <c r="U97" s="1913"/>
      <c r="V97" s="1913"/>
      <c r="W97" s="1917"/>
      <c r="X97" s="1917"/>
      <c r="Y97" s="1917"/>
      <c r="Z97" s="1917"/>
    </row>
    <row r="98" spans="1:26" s="1267" customFormat="1" ht="24">
      <c r="A98" s="1543" t="s">
        <v>1827</v>
      </c>
      <c r="B98" s="375" t="s">
        <v>446</v>
      </c>
      <c r="C98" s="400">
        <f ca="1">IF(C97&lt;=0,0,C97/C91)</f>
        <v>165.50247524752476</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18"/>
      <c r="K98" s="1913"/>
      <c r="L98" s="1913"/>
      <c r="M98" s="1913"/>
      <c r="N98" s="1913"/>
      <c r="O98" s="1913"/>
      <c r="P98" s="1913"/>
      <c r="Q98" s="1913"/>
      <c r="R98" s="1913"/>
      <c r="S98" s="1913"/>
      <c r="T98" s="1913"/>
      <c r="U98" s="1913"/>
      <c r="V98" s="1913"/>
      <c r="W98" s="1917"/>
      <c r="X98" s="1917"/>
      <c r="Y98" s="1917"/>
      <c r="Z98" s="1917"/>
    </row>
    <row r="99" spans="1:26" s="1267" customFormat="1" ht="24.75" thickBot="1">
      <c r="A99" s="1544" t="s">
        <v>1828</v>
      </c>
      <c r="B99" s="380" t="s">
        <v>447</v>
      </c>
      <c r="C99" s="401">
        <f ca="1">ROUND(IF(C97&lt;=0,0,IF(C98&gt;=200%,C97*60%-C91*35%,IF(C98&gt;=100%,C97*50%-C91*15%,IF(C98&gt;=50%,C97*40%-C91*5%,IF(C98&lt;50%,C97*30%,0))))),0)</f>
        <v>39976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18"/>
      <c r="K99" s="1913"/>
      <c r="L99" s="1913"/>
      <c r="M99" s="1913"/>
      <c r="N99" s="1913"/>
      <c r="O99" s="1913"/>
      <c r="P99" s="1913"/>
      <c r="Q99" s="1913"/>
      <c r="R99" s="1913"/>
      <c r="S99" s="1913"/>
      <c r="T99" s="1913"/>
      <c r="U99" s="1913"/>
      <c r="V99" s="1913"/>
      <c r="W99" s="1917"/>
      <c r="X99" s="1917"/>
      <c r="Y99" s="1917"/>
      <c r="Z99" s="1917"/>
    </row>
    <row r="100" spans="1:26" s="1267" customFormat="1" ht="7.5" customHeight="1">
      <c r="A100" s="1271"/>
      <c r="B100" s="1272"/>
      <c r="C100" s="11"/>
      <c r="D100" s="11"/>
      <c r="E100" s="1272"/>
      <c r="F100" s="1272"/>
      <c r="G100" s="1272"/>
      <c r="H100" s="1273"/>
      <c r="I100" s="1270"/>
      <c r="J100" s="1919"/>
      <c r="K100" s="1913"/>
      <c r="L100" s="1913"/>
      <c r="M100" s="1913"/>
      <c r="N100" s="1913"/>
      <c r="O100" s="1913"/>
      <c r="P100" s="1913"/>
      <c r="Q100" s="1913"/>
      <c r="R100" s="1913"/>
      <c r="S100" s="1913"/>
      <c r="T100" s="1913"/>
      <c r="U100" s="1913"/>
      <c r="V100" s="1913"/>
      <c r="W100" s="1917"/>
      <c r="X100" s="1917"/>
      <c r="Y100" s="1917"/>
      <c r="Z100" s="1917"/>
    </row>
    <row r="101" spans="1:26" s="1267" customFormat="1" ht="15" thickBot="1">
      <c r="A101" s="3457" t="s">
        <v>448</v>
      </c>
      <c r="B101" s="3458"/>
      <c r="C101" s="3458"/>
      <c r="D101" s="3458"/>
      <c r="E101" s="3458"/>
      <c r="F101" s="3458"/>
      <c r="G101" s="3458"/>
      <c r="H101" s="3458"/>
      <c r="I101" s="11"/>
      <c r="J101" s="1913"/>
      <c r="K101" s="1913"/>
      <c r="L101" s="1913"/>
      <c r="M101" s="1913"/>
      <c r="N101" s="1913"/>
      <c r="O101" s="1913"/>
      <c r="P101" s="1913"/>
      <c r="Q101" s="1913"/>
      <c r="R101" s="1913"/>
      <c r="S101" s="1913"/>
      <c r="T101" s="1913"/>
      <c r="U101" s="1913"/>
      <c r="V101" s="1913"/>
      <c r="W101" s="1917"/>
      <c r="X101" s="1917"/>
      <c r="Y101" s="1917"/>
      <c r="Z101" s="1917"/>
    </row>
    <row r="102" spans="1:26" s="1267" customFormat="1" ht="14.25">
      <c r="A102" s="3416" t="s">
        <v>423</v>
      </c>
      <c r="B102" s="3417"/>
      <c r="C102" s="981"/>
      <c r="D102" s="981" t="s">
        <v>424</v>
      </c>
      <c r="E102" s="384" t="s">
        <v>433</v>
      </c>
      <c r="F102" s="385"/>
      <c r="G102" s="385"/>
      <c r="H102" s="406"/>
      <c r="I102" s="11"/>
      <c r="J102" s="1913"/>
      <c r="K102" s="1913"/>
      <c r="L102" s="1913"/>
      <c r="M102" s="1913"/>
      <c r="N102" s="1913"/>
      <c r="O102" s="1913"/>
      <c r="P102" s="1913"/>
      <c r="Q102" s="1913"/>
      <c r="R102" s="1913"/>
      <c r="S102" s="1913"/>
      <c r="T102" s="1913"/>
      <c r="U102" s="1913"/>
      <c r="V102" s="1913"/>
      <c r="W102" s="1917"/>
      <c r="X102" s="1917"/>
      <c r="Y102" s="1917"/>
      <c r="Z102" s="1917"/>
    </row>
    <row r="103" spans="1:26" s="1267" customFormat="1" ht="14.25">
      <c r="A103" s="374" t="s">
        <v>1814</v>
      </c>
      <c r="B103" s="375" t="s">
        <v>434</v>
      </c>
      <c r="C103" s="378">
        <f ca="1">ROUND(D63/(1+'数据-取费表'!C42),0)</f>
        <v>67267</v>
      </c>
      <c r="D103" s="371" t="s">
        <v>19</v>
      </c>
      <c r="E103" s="978"/>
      <c r="F103" s="977"/>
      <c r="G103" s="977"/>
      <c r="H103" s="407"/>
      <c r="I103" s="11"/>
      <c r="J103" s="1913"/>
      <c r="K103" s="1913"/>
      <c r="L103" s="1913"/>
      <c r="M103" s="1913"/>
      <c r="N103" s="1913"/>
      <c r="O103" s="1913"/>
      <c r="P103" s="1913"/>
      <c r="Q103" s="1913"/>
      <c r="R103" s="1913"/>
      <c r="S103" s="1913"/>
      <c r="T103" s="1913"/>
      <c r="U103" s="1913"/>
      <c r="V103" s="1913"/>
      <c r="W103" s="1917"/>
      <c r="X103" s="1917"/>
      <c r="Y103" s="1917"/>
      <c r="Z103" s="1917"/>
    </row>
    <row r="104" spans="1:26" s="1267" customFormat="1" ht="14.25">
      <c r="A104" s="374" t="s">
        <v>1820</v>
      </c>
      <c r="B104" s="345" t="s">
        <v>435</v>
      </c>
      <c r="C104" s="378">
        <f ca="1">IF(H106="仅含出让金",C105+C108+C109+C110+C111+C112,C105+C109+C110+C111+C112)</f>
        <v>404</v>
      </c>
      <c r="D104" s="408"/>
      <c r="E104" s="978"/>
      <c r="F104" s="977"/>
      <c r="G104" s="977"/>
      <c r="H104" s="407"/>
      <c r="I104" s="11"/>
      <c r="J104" s="1913"/>
      <c r="K104" s="1913"/>
      <c r="L104" s="1913"/>
      <c r="M104" s="1913"/>
      <c r="N104" s="1913"/>
      <c r="O104" s="1913"/>
      <c r="P104" s="1913"/>
      <c r="Q104" s="1913"/>
      <c r="R104" s="1913"/>
      <c r="S104" s="1913"/>
      <c r="T104" s="1913"/>
      <c r="U104" s="1913"/>
      <c r="V104" s="1913"/>
      <c r="W104" s="1917"/>
      <c r="X104" s="1917"/>
      <c r="Y104" s="1917"/>
      <c r="Z104" s="1917"/>
    </row>
    <row r="105" spans="1:26" s="1267" customFormat="1" ht="14.25">
      <c r="A105" s="388" t="s">
        <v>1821</v>
      </c>
      <c r="B105" s="369" t="s">
        <v>449</v>
      </c>
      <c r="C105" s="398">
        <f>C106+C107</f>
        <v>0</v>
      </c>
      <c r="D105" s="399"/>
      <c r="E105" s="972"/>
      <c r="F105" s="973"/>
      <c r="G105" s="973"/>
      <c r="H105" s="974"/>
      <c r="I105" s="11"/>
      <c r="J105" s="1913"/>
      <c r="K105" s="1913"/>
      <c r="L105" s="1913"/>
      <c r="M105" s="1913"/>
      <c r="N105" s="1913"/>
      <c r="O105" s="1913"/>
      <c r="P105" s="1913"/>
      <c r="Q105" s="1913"/>
      <c r="R105" s="1913"/>
      <c r="S105" s="1913"/>
      <c r="T105" s="1913"/>
      <c r="U105" s="1913"/>
      <c r="V105" s="1913"/>
      <c r="W105" s="1917"/>
      <c r="X105" s="1917"/>
      <c r="Y105" s="1917"/>
      <c r="Z105" s="1917"/>
    </row>
    <row r="106" spans="1:26" s="1267" customFormat="1" ht="14.25">
      <c r="A106" s="388" t="s">
        <v>1822</v>
      </c>
      <c r="B106" s="369" t="s">
        <v>450</v>
      </c>
      <c r="C106" s="409"/>
      <c r="D106" s="399"/>
      <c r="E106" s="410" t="s">
        <v>451</v>
      </c>
      <c r="F106" s="973"/>
      <c r="G106" s="411" t="s">
        <v>452</v>
      </c>
      <c r="H106" s="412"/>
      <c r="I106" s="11"/>
      <c r="J106" s="1913"/>
      <c r="K106" s="3241" t="s">
        <v>2991</v>
      </c>
      <c r="L106" s="1913"/>
      <c r="M106" s="1913"/>
      <c r="N106" s="1913"/>
      <c r="O106" s="1913"/>
      <c r="P106" s="1913"/>
      <c r="Q106" s="1913"/>
      <c r="R106" s="1913"/>
      <c r="S106" s="1913"/>
      <c r="T106" s="1913"/>
      <c r="U106" s="1913"/>
      <c r="V106" s="1913"/>
      <c r="W106" s="1917"/>
      <c r="X106" s="1917"/>
      <c r="Y106" s="1917"/>
      <c r="Z106" s="1917"/>
    </row>
    <row r="107" spans="1:26" s="1267" customFormat="1" ht="14.25">
      <c r="A107" s="388" t="s">
        <v>1823</v>
      </c>
      <c r="B107" s="369" t="s">
        <v>442</v>
      </c>
      <c r="C107" s="398">
        <f>ROUND(C106*D107,0)</f>
        <v>0</v>
      </c>
      <c r="D107" s="399">
        <f>'数据-取费表'!B48+'数据-取费表'!B49</f>
        <v>4.0500000000000001E-2</v>
      </c>
      <c r="E107" s="410" t="s">
        <v>453</v>
      </c>
      <c r="F107" s="973"/>
      <c r="G107" s="973"/>
      <c r="H107" s="974"/>
      <c r="I107" s="11"/>
      <c r="J107" s="1913"/>
      <c r="K107" s="1913"/>
      <c r="L107" s="1913"/>
      <c r="M107" s="1913"/>
      <c r="N107" s="1913"/>
      <c r="O107" s="1913"/>
      <c r="P107" s="1913"/>
      <c r="Q107" s="1913"/>
      <c r="R107" s="1913"/>
      <c r="S107" s="1913"/>
      <c r="T107" s="1913"/>
      <c r="U107" s="1913"/>
      <c r="V107" s="1913"/>
      <c r="W107" s="1917"/>
      <c r="X107" s="1917"/>
      <c r="Y107" s="1917"/>
      <c r="Z107" s="1917"/>
    </row>
    <row r="108" spans="1:26" s="1267" customFormat="1" ht="14.25">
      <c r="A108" s="388" t="s">
        <v>1825</v>
      </c>
      <c r="B108" s="369" t="s">
        <v>454</v>
      </c>
      <c r="C108" s="409"/>
      <c r="D108" s="399"/>
      <c r="E108" s="410" t="str">
        <f>IF(H106="-","土地取得成本中已包含该笔费用"," ")</f>
        <v xml:space="preserve"> </v>
      </c>
      <c r="F108" s="973"/>
      <c r="G108" s="3469" t="s">
        <v>2961</v>
      </c>
      <c r="H108" s="3470"/>
      <c r="I108" s="2856"/>
      <c r="J108" s="1913"/>
      <c r="K108" s="3241" t="s">
        <v>2992</v>
      </c>
      <c r="L108" s="1913"/>
      <c r="M108" s="1913"/>
      <c r="N108" s="1913"/>
      <c r="O108" s="1913"/>
      <c r="P108" s="1913"/>
      <c r="Q108" s="1913"/>
      <c r="R108" s="1913"/>
      <c r="S108" s="1913"/>
      <c r="T108" s="1913"/>
      <c r="U108" s="1913"/>
      <c r="V108" s="1913"/>
      <c r="W108" s="1917"/>
      <c r="X108" s="1917"/>
      <c r="Y108" s="1917"/>
      <c r="Z108" s="1917"/>
    </row>
    <row r="109" spans="1:26" s="1267" customFormat="1" ht="24" customHeight="1">
      <c r="A109" s="1545" t="s">
        <v>1829</v>
      </c>
      <c r="B109" s="369" t="s">
        <v>455</v>
      </c>
      <c r="C109" s="398">
        <f>IF(H109="——",IF(F1="现房",'剩余法-现房'!C18,0),I109)</f>
        <v>0</v>
      </c>
      <c r="D109" s="399"/>
      <c r="E109" s="3447" t="s">
        <v>456</v>
      </c>
      <c r="F109" s="3414"/>
      <c r="G109" s="3414"/>
      <c r="H109" s="1852" t="s">
        <v>943</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7" customFormat="1" ht="25.5" customHeight="1">
      <c r="A110" s="1545" t="s">
        <v>1830</v>
      </c>
      <c r="B110" s="369" t="s">
        <v>457</v>
      </c>
      <c r="C110" s="398">
        <f>ROUND((C105+C108+C109)*D110,0)</f>
        <v>0</v>
      </c>
      <c r="D110" s="3272">
        <v>0</v>
      </c>
      <c r="E110" s="3447" t="s">
        <v>458</v>
      </c>
      <c r="F110" s="3414"/>
      <c r="G110" s="3414"/>
      <c r="H110" s="3415"/>
      <c r="I110" s="11"/>
      <c r="J110" s="1913"/>
      <c r="K110" s="3242" t="s">
        <v>2993</v>
      </c>
      <c r="L110" s="1913"/>
      <c r="M110" s="1913"/>
      <c r="N110" s="1913"/>
      <c r="O110" s="1913"/>
      <c r="P110" s="1913"/>
      <c r="Q110" s="1913"/>
      <c r="R110" s="1913"/>
      <c r="S110" s="1913"/>
      <c r="T110" s="1913"/>
      <c r="U110" s="1913"/>
      <c r="V110" s="1913"/>
      <c r="W110" s="1917"/>
      <c r="X110" s="1917"/>
      <c r="Y110" s="1917"/>
      <c r="Z110" s="1917"/>
    </row>
    <row r="111" spans="1:26" s="1267" customFormat="1" ht="25.5" customHeight="1">
      <c r="A111" s="1545" t="s">
        <v>1831</v>
      </c>
      <c r="B111" s="369" t="s">
        <v>444</v>
      </c>
      <c r="C111" s="398">
        <f ca="1">ROUND(D63*D111/(1+'数据-取费表'!C42),0)</f>
        <v>404</v>
      </c>
      <c r="D111" s="399">
        <f>'数据-取费表'!B43</f>
        <v>6.000000000000001E-3</v>
      </c>
      <c r="E111" s="3413" t="s">
        <v>2412</v>
      </c>
      <c r="F111" s="3414"/>
      <c r="G111" s="3414"/>
      <c r="H111" s="3415"/>
      <c r="I111" s="11"/>
      <c r="J111" s="1913"/>
      <c r="K111" s="1913"/>
      <c r="L111" s="1913"/>
      <c r="M111" s="1913"/>
      <c r="N111" s="1913"/>
      <c r="O111" s="1913"/>
      <c r="P111" s="1913"/>
      <c r="Q111" s="1913"/>
      <c r="R111" s="1913"/>
      <c r="S111" s="1913"/>
      <c r="T111" s="1913"/>
      <c r="U111" s="1913"/>
      <c r="V111" s="1913"/>
      <c r="W111" s="1917"/>
      <c r="X111" s="1917"/>
      <c r="Y111" s="1917"/>
      <c r="Z111" s="1917"/>
    </row>
    <row r="112" spans="1:26" s="1267" customFormat="1" ht="25.5" customHeight="1">
      <c r="A112" s="1545" t="s">
        <v>1832</v>
      </c>
      <c r="B112" s="369" t="s">
        <v>459</v>
      </c>
      <c r="C112" s="398">
        <f>ROUND(C108*D112,0)</f>
        <v>0</v>
      </c>
      <c r="D112" s="399">
        <v>0.2</v>
      </c>
      <c r="E112" s="3447" t="s">
        <v>2435</v>
      </c>
      <c r="F112" s="3414"/>
      <c r="G112" s="3414"/>
      <c r="H112" s="3415"/>
      <c r="I112" s="11"/>
      <c r="J112" s="1913"/>
      <c r="K112" s="1913"/>
      <c r="L112" s="1913"/>
      <c r="M112" s="1913"/>
      <c r="N112" s="1913"/>
      <c r="O112" s="1913"/>
      <c r="P112" s="1913"/>
      <c r="Q112" s="1913"/>
      <c r="R112" s="1913"/>
      <c r="S112" s="1913"/>
      <c r="T112" s="1913"/>
      <c r="U112" s="1913"/>
      <c r="V112" s="1913"/>
      <c r="W112" s="1917"/>
      <c r="X112" s="1917"/>
      <c r="Y112" s="1917"/>
      <c r="Z112" s="1917"/>
    </row>
    <row r="113" spans="1:26" s="1267" customFormat="1" ht="14.25">
      <c r="A113" s="1543" t="s">
        <v>1826</v>
      </c>
      <c r="B113" s="375" t="s">
        <v>445</v>
      </c>
      <c r="C113" s="378">
        <f ca="1">ROUND(C103-C104,0)</f>
        <v>66863</v>
      </c>
      <c r="D113" s="371" t="s">
        <v>19</v>
      </c>
      <c r="E113" s="978"/>
      <c r="F113" s="977"/>
      <c r="G113" s="977"/>
      <c r="H113" s="407"/>
      <c r="I113" s="11"/>
      <c r="J113" s="1913"/>
      <c r="K113" s="1913"/>
      <c r="L113" s="1913"/>
      <c r="M113" s="1913"/>
      <c r="N113" s="1913"/>
      <c r="O113" s="1913"/>
      <c r="P113" s="1913"/>
      <c r="Q113" s="1913"/>
      <c r="R113" s="1913"/>
      <c r="S113" s="1913"/>
      <c r="T113" s="1913"/>
      <c r="U113" s="1913"/>
      <c r="V113" s="1913"/>
      <c r="W113" s="1917"/>
      <c r="X113" s="1917"/>
      <c r="Y113" s="1917"/>
      <c r="Z113" s="1917"/>
    </row>
    <row r="114" spans="1:26" s="1267" customFormat="1" ht="24">
      <c r="A114" s="1543" t="s">
        <v>1827</v>
      </c>
      <c r="B114" s="375" t="s">
        <v>446</v>
      </c>
      <c r="C114" s="400">
        <f ca="1">IF(C113&lt;=0,0,C113/C104)</f>
        <v>165.50247524752476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3"/>
      <c r="K114" s="1913"/>
      <c r="L114" s="1913"/>
      <c r="M114" s="1913"/>
      <c r="N114" s="1913"/>
      <c r="O114" s="1913"/>
      <c r="P114" s="1913"/>
      <c r="Q114" s="1913"/>
      <c r="R114" s="1913"/>
      <c r="S114" s="1913"/>
      <c r="T114" s="1913"/>
      <c r="U114" s="1913"/>
      <c r="V114" s="1913"/>
      <c r="W114" s="1917"/>
      <c r="X114" s="1917"/>
      <c r="Y114" s="1917"/>
      <c r="Z114" s="1917"/>
    </row>
    <row r="115" spans="1:26" s="1267" customFormat="1" ht="24.75" thickBot="1">
      <c r="A115" s="1544" t="s">
        <v>1828</v>
      </c>
      <c r="B115" s="380" t="s">
        <v>447</v>
      </c>
      <c r="C115" s="401">
        <f ca="1">ROUND(IF(C113&lt;=0,0,IF(C114&gt;=200%,C113*60%-C104*35%,IF(C114&gt;=100%,C113*50%-C104*15%,IF(C114&gt;=50%,C113*40%-C104*5%,IF(C114&lt;50%,C113*30%,0))))),0)</f>
        <v>39976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23" sqref="M2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1"/>
      <c r="Q1" s="2011"/>
      <c r="R1" s="2011"/>
      <c r="S1" s="2011"/>
      <c r="T1" s="2011"/>
      <c r="U1" s="2011"/>
      <c r="V1" s="2011"/>
      <c r="W1" s="2011"/>
      <c r="X1" s="2011"/>
      <c r="Y1" s="2011"/>
      <c r="Z1" s="2011"/>
      <c r="AA1" s="2011"/>
      <c r="AB1" s="2011"/>
      <c r="AC1" s="3209"/>
      <c r="AD1" s="1288"/>
    </row>
    <row r="2" spans="1:30" s="1289" customFormat="1" ht="28.5" customHeight="1">
      <c r="A2" s="416" t="s">
        <v>461</v>
      </c>
      <c r="B2" s="501">
        <f>F68</f>
        <v>66732</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8"/>
    </row>
    <row r="3" spans="1:30" s="1289" customFormat="1" ht="28.5" customHeight="1">
      <c r="A3" s="1328" t="s">
        <v>1675</v>
      </c>
      <c r="B3" s="503">
        <f>ROUND(B2*10000/'数据-汇总表'!E3,0)</f>
        <v>4249</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9" customFormat="1" ht="28.5" customHeight="1">
      <c r="A4" s="504" t="s">
        <v>514</v>
      </c>
      <c r="B4" s="420">
        <f>IF(B48="单位面积地价",C50,ROUND(B2*10000/'数据-汇总表'!D3,0))</f>
        <v>13358</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9" customFormat="1" ht="28.5" customHeight="1" thickBot="1">
      <c r="A5" s="422"/>
      <c r="B5" s="423">
        <f>ROUND(B2/('数据-汇总表'!D3/666.67),0)</f>
        <v>891</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508" t="s">
        <v>516</v>
      </c>
      <c r="D6" s="3509"/>
      <c r="E6" s="3508" t="s">
        <v>517</v>
      </c>
      <c r="F6" s="3509"/>
      <c r="G6" s="3508" t="s">
        <v>518</v>
      </c>
      <c r="H6" s="3509"/>
      <c r="I6" s="3508" t="s">
        <v>519</v>
      </c>
      <c r="J6" s="3509"/>
      <c r="K6" s="507" t="s">
        <v>520</v>
      </c>
      <c r="L6" s="2012"/>
      <c r="M6" s="2011"/>
      <c r="N6" s="2011"/>
      <c r="O6" s="2013"/>
      <c r="P6" s="3510" t="s">
        <v>521</v>
      </c>
      <c r="Q6" s="3511"/>
      <c r="R6" s="3496" t="s">
        <v>517</v>
      </c>
      <c r="S6" s="3497"/>
      <c r="T6" s="3496" t="s">
        <v>518</v>
      </c>
      <c r="U6" s="3497"/>
      <c r="V6" s="3516" t="s">
        <v>519</v>
      </c>
      <c r="W6" s="3516"/>
      <c r="X6" s="1499"/>
      <c r="Y6" s="3496" t="s">
        <v>521</v>
      </c>
      <c r="Z6" s="3497"/>
      <c r="AA6" s="3491" t="s">
        <v>517</v>
      </c>
      <c r="AB6" s="3492" t="s">
        <v>518</v>
      </c>
      <c r="AC6" s="3491" t="s">
        <v>519</v>
      </c>
    </row>
    <row r="7" spans="1:30" ht="20.25">
      <c r="A7" s="508"/>
      <c r="B7" s="509"/>
      <c r="C7" s="3521" t="s">
        <v>2896</v>
      </c>
      <c r="D7" s="3520"/>
      <c r="E7" s="3519" t="s">
        <v>3150</v>
      </c>
      <c r="F7" s="3520"/>
      <c r="G7" s="3519" t="s">
        <v>3189</v>
      </c>
      <c r="H7" s="3520"/>
      <c r="I7" s="3519" t="s">
        <v>3139</v>
      </c>
      <c r="J7" s="3520"/>
      <c r="K7" s="507"/>
      <c r="L7" s="2012"/>
      <c r="M7" s="2011"/>
      <c r="N7" s="2011"/>
      <c r="O7" s="2013"/>
      <c r="P7" s="3512"/>
      <c r="Q7" s="3513"/>
      <c r="R7" s="3498"/>
      <c r="S7" s="3499"/>
      <c r="T7" s="3498"/>
      <c r="U7" s="3499"/>
      <c r="V7" s="3516"/>
      <c r="W7" s="3516"/>
      <c r="X7" s="1499"/>
      <c r="Y7" s="3498"/>
      <c r="Z7" s="3499"/>
      <c r="AA7" s="3492"/>
      <c r="AB7" s="3492"/>
      <c r="AC7" s="3492"/>
    </row>
    <row r="8" spans="1:30" ht="21" thickBot="1">
      <c r="A8" s="508"/>
      <c r="B8" s="509"/>
      <c r="C8" s="3522" t="s">
        <v>2900</v>
      </c>
      <c r="D8" s="3523"/>
      <c r="E8" s="3524" t="s">
        <v>3136</v>
      </c>
      <c r="F8" s="3523"/>
      <c r="G8" s="3517" t="s">
        <v>3188</v>
      </c>
      <c r="H8" s="3518"/>
      <c r="I8" s="3517" t="s">
        <v>3140</v>
      </c>
      <c r="J8" s="3518"/>
      <c r="K8" s="507" t="s">
        <v>522</v>
      </c>
      <c r="L8" s="2012"/>
      <c r="M8" s="2011"/>
      <c r="N8" s="2011"/>
      <c r="O8" s="2013"/>
      <c r="P8" s="3514"/>
      <c r="Q8" s="3515"/>
      <c r="R8" s="3498"/>
      <c r="S8" s="3499"/>
      <c r="T8" s="3500"/>
      <c r="U8" s="3501"/>
      <c r="V8" s="3516"/>
      <c r="W8" s="3516"/>
      <c r="X8" s="1499"/>
      <c r="Y8" s="3500"/>
      <c r="Z8" s="3501"/>
      <c r="AA8" s="3493"/>
      <c r="AB8" s="3493"/>
      <c r="AC8" s="3493"/>
    </row>
    <row r="9" spans="1:30" s="1202" customFormat="1" ht="21" thickBot="1">
      <c r="A9" s="2626"/>
      <c r="B9" s="2633" t="s">
        <v>523</v>
      </c>
      <c r="C9" s="2625">
        <f>'数据-取费表'!B2</f>
        <v>44234</v>
      </c>
      <c r="D9" s="513">
        <v>100</v>
      </c>
      <c r="E9" s="514">
        <v>43882</v>
      </c>
      <c r="F9" s="515">
        <f>SUMIF(72:72,YEAR(E9)&amp;"-"&amp;INT((MONTH(E9)+2)/3),73:73)</f>
        <v>99.5</v>
      </c>
      <c r="G9" s="516">
        <v>43756</v>
      </c>
      <c r="H9" s="513">
        <f>SUMIF(72:72,YEAR(G9)&amp;"-"&amp;INT((MONTH(G9)+2)/3),73:73)</f>
        <v>99</v>
      </c>
      <c r="I9" s="516">
        <v>43823</v>
      </c>
      <c r="J9" s="513">
        <f>SUMIF(72:72,YEAR(I9)&amp;"-"&amp;INT((MONTH(I9)+2)/3),73:73)</f>
        <v>99</v>
      </c>
      <c r="K9" s="517"/>
      <c r="L9" s="2014"/>
      <c r="M9" s="2011"/>
      <c r="N9" s="2011"/>
      <c r="O9" s="2015"/>
      <c r="P9" s="3494" t="s">
        <v>524</v>
      </c>
      <c r="Q9" s="3503"/>
      <c r="R9" s="1500" t="s">
        <v>8</v>
      </c>
      <c r="S9" s="1501">
        <f t="shared" ref="S9:S17" si="0">F9</f>
        <v>99.5</v>
      </c>
      <c r="T9" s="1500" t="s">
        <v>8</v>
      </c>
      <c r="U9" s="1501">
        <f t="shared" ref="U9:U17" si="1">H9</f>
        <v>99</v>
      </c>
      <c r="V9" s="1500" t="s">
        <v>8</v>
      </c>
      <c r="W9" s="1501">
        <f t="shared" ref="W9:W17" si="2">J9</f>
        <v>99</v>
      </c>
      <c r="X9" s="1502"/>
      <c r="Y9" s="3494" t="s">
        <v>524</v>
      </c>
      <c r="Z9" s="3495"/>
      <c r="AA9" s="1503">
        <f>D9/F9</f>
        <v>1.0050251256281406</v>
      </c>
      <c r="AB9" s="1503">
        <f>D9/H9</f>
        <v>1.0101010101010102</v>
      </c>
      <c r="AC9" s="1503">
        <f>D9/J9</f>
        <v>1.0101010101010102</v>
      </c>
    </row>
    <row r="10" spans="1:30" s="1202" customFormat="1" ht="21" thickBot="1">
      <c r="A10" s="2627"/>
      <c r="B10" s="2634" t="s">
        <v>525</v>
      </c>
      <c r="C10" s="844" t="s">
        <v>526</v>
      </c>
      <c r="D10" s="513">
        <v>100</v>
      </c>
      <c r="E10" s="518" t="s">
        <v>3026</v>
      </c>
      <c r="F10" s="515">
        <f>SUMIF(75:75,E10,76:76)-SUMIF(75:75,C10,76:76)+100</f>
        <v>100</v>
      </c>
      <c r="G10" s="518" t="s">
        <v>3026</v>
      </c>
      <c r="H10" s="513">
        <f>SUMIF(75:75,G10,76:76)-SUMIF(75:75,C10,76:76)+100</f>
        <v>100</v>
      </c>
      <c r="I10" s="518" t="s">
        <v>3026</v>
      </c>
      <c r="J10" s="513">
        <f>SUMIF(75:75,I10,76:76)-SUMIF(75:75,C10,76:76)+100</f>
        <v>100</v>
      </c>
      <c r="K10" s="517"/>
      <c r="L10" s="2014"/>
      <c r="M10" s="2011"/>
      <c r="N10" s="2011"/>
      <c r="O10" s="2015"/>
      <c r="P10" s="3494" t="s">
        <v>527</v>
      </c>
      <c r="Q10" s="3495"/>
      <c r="R10" s="1500" t="s">
        <v>8</v>
      </c>
      <c r="S10" s="1501">
        <f t="shared" si="0"/>
        <v>100</v>
      </c>
      <c r="T10" s="1500" t="s">
        <v>8</v>
      </c>
      <c r="U10" s="1501">
        <f t="shared" si="1"/>
        <v>100</v>
      </c>
      <c r="V10" s="1500" t="s">
        <v>8</v>
      </c>
      <c r="W10" s="1501">
        <f t="shared" si="2"/>
        <v>100</v>
      </c>
      <c r="X10" s="1502"/>
      <c r="Y10" s="3494" t="s">
        <v>527</v>
      </c>
      <c r="Z10" s="3495"/>
      <c r="AA10" s="1503">
        <f t="shared" ref="AA10:AA47" si="3">D10/F10</f>
        <v>1</v>
      </c>
      <c r="AB10" s="1503">
        <f t="shared" ref="AB10:AB47" si="4">D10/H10</f>
        <v>1</v>
      </c>
      <c r="AC10" s="1503">
        <f t="shared" ref="AC10:AC47" si="5">D10/J10</f>
        <v>1</v>
      </c>
    </row>
    <row r="11" spans="1:30" s="1202" customFormat="1" ht="20.25">
      <c r="A11" s="2628"/>
      <c r="B11" s="2635" t="s">
        <v>2736</v>
      </c>
      <c r="C11" s="2622" t="s">
        <v>914</v>
      </c>
      <c r="D11" s="251">
        <v>100</v>
      </c>
      <c r="E11" s="2622" t="s">
        <v>914</v>
      </c>
      <c r="F11" s="251">
        <f>SUMIF(77:77,E11,78:78)-SUMIF(77:77,C11,78:78)+100</f>
        <v>100</v>
      </c>
      <c r="G11" s="2622" t="s">
        <v>914</v>
      </c>
      <c r="H11" s="251">
        <f>SUMIF(77:77,G11,78:78)-SUMIF(77:77,C11,78:78)+100</f>
        <v>100</v>
      </c>
      <c r="I11" s="2622" t="s">
        <v>914</v>
      </c>
      <c r="J11" s="251">
        <f>SUMIF(77:77,I11,78:78)-SUMIF(77:77,C11,78:78)+100</f>
        <v>100</v>
      </c>
      <c r="K11" s="517"/>
      <c r="L11" s="2014"/>
      <c r="M11" s="2011"/>
      <c r="N11" s="2011"/>
      <c r="O11" s="2016"/>
      <c r="P11" s="3502" t="s">
        <v>529</v>
      </c>
      <c r="Q11" s="1133" t="str">
        <f t="shared" ref="Q11:Q17" si="6">B11</f>
        <v>用途</v>
      </c>
      <c r="R11" s="1500" t="s">
        <v>8</v>
      </c>
      <c r="S11" s="1501">
        <f t="shared" si="0"/>
        <v>100</v>
      </c>
      <c r="T11" s="1500" t="s">
        <v>8</v>
      </c>
      <c r="U11" s="1501">
        <f t="shared" si="1"/>
        <v>100</v>
      </c>
      <c r="V11" s="1500" t="s">
        <v>8</v>
      </c>
      <c r="W11" s="1501">
        <f t="shared" si="2"/>
        <v>100</v>
      </c>
      <c r="X11" s="1502"/>
      <c r="Y11" s="3453" t="s">
        <v>530</v>
      </c>
      <c r="Z11" s="1132" t="str">
        <f t="shared" ref="Z11:Z17" si="7">Q11</f>
        <v>用途</v>
      </c>
      <c r="AA11" s="1503">
        <f t="shared" si="3"/>
        <v>1</v>
      </c>
      <c r="AB11" s="1503">
        <f t="shared" si="4"/>
        <v>1</v>
      </c>
      <c r="AC11" s="1503">
        <f t="shared" si="5"/>
        <v>1</v>
      </c>
    </row>
    <row r="12" spans="1:30" s="1291" customFormat="1" ht="27">
      <c r="A12" s="2629"/>
      <c r="B12" s="2634" t="s">
        <v>2737</v>
      </c>
      <c r="C12" s="898"/>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502"/>
      <c r="Q12" s="1133" t="str">
        <f t="shared" si="6"/>
        <v>土地使用年限（年）</v>
      </c>
      <c r="R12" s="1500" t="s">
        <v>8</v>
      </c>
      <c r="S12" s="1501">
        <f t="shared" si="0"/>
        <v>100</v>
      </c>
      <c r="T12" s="1500" t="s">
        <v>8</v>
      </c>
      <c r="U12" s="1501">
        <f t="shared" si="1"/>
        <v>100</v>
      </c>
      <c r="V12" s="1500" t="s">
        <v>8</v>
      </c>
      <c r="W12" s="1501">
        <f t="shared" si="2"/>
        <v>100</v>
      </c>
      <c r="X12" s="1502"/>
      <c r="Y12" s="3453"/>
      <c r="Z12" s="1132" t="str">
        <f t="shared" si="7"/>
        <v>土地使用年限（年）</v>
      </c>
      <c r="AA12" s="1503">
        <f t="shared" si="3"/>
        <v>1</v>
      </c>
      <c r="AB12" s="1503">
        <f t="shared" si="4"/>
        <v>1</v>
      </c>
      <c r="AC12" s="1503">
        <f t="shared" si="5"/>
        <v>1</v>
      </c>
    </row>
    <row r="13" spans="1:30" ht="20.25">
      <c r="A13" s="2630"/>
      <c r="B13" s="2634" t="s">
        <v>2738</v>
      </c>
      <c r="C13" s="527">
        <v>2.31</v>
      </c>
      <c r="D13" s="252">
        <v>100</v>
      </c>
      <c r="E13" s="526">
        <v>2.5</v>
      </c>
      <c r="F13" s="252">
        <f>LOOKUP(E13,82:82,83:83)-LOOKUP(C13,82:82,83:83)+100</f>
        <v>100</v>
      </c>
      <c r="G13" s="527">
        <v>2.5</v>
      </c>
      <c r="H13" s="252">
        <f>LOOKUP(G13,82:82,83:83)-LOOKUP(C13,82:82,83:83)+100</f>
        <v>100</v>
      </c>
      <c r="I13" s="526">
        <v>2.63</v>
      </c>
      <c r="J13" s="252">
        <f>LOOKUP(I13,82:82,83:83)-LOOKUP(C13,82:82,83:83)+100</f>
        <v>100</v>
      </c>
      <c r="K13" s="528">
        <v>2</v>
      </c>
      <c r="L13" s="2019"/>
      <c r="M13" s="2011"/>
      <c r="N13" s="2011"/>
      <c r="O13" s="2020"/>
      <c r="P13" s="3502"/>
      <c r="Q13" s="1133" t="str">
        <f t="shared" si="6"/>
        <v>容积率</v>
      </c>
      <c r="R13" s="1500" t="s">
        <v>8</v>
      </c>
      <c r="S13" s="1501">
        <f t="shared" si="0"/>
        <v>100</v>
      </c>
      <c r="T13" s="1500" t="s">
        <v>8</v>
      </c>
      <c r="U13" s="1501">
        <f t="shared" si="1"/>
        <v>100</v>
      </c>
      <c r="V13" s="1500" t="s">
        <v>8</v>
      </c>
      <c r="W13" s="1501">
        <f t="shared" si="2"/>
        <v>100</v>
      </c>
      <c r="X13" s="1502"/>
      <c r="Y13" s="3453"/>
      <c r="Z13" s="1132" t="str">
        <f t="shared" si="7"/>
        <v>容积率</v>
      </c>
      <c r="AA13" s="1503">
        <f t="shared" si="3"/>
        <v>1</v>
      </c>
      <c r="AB13" s="1503">
        <f t="shared" si="4"/>
        <v>1</v>
      </c>
      <c r="AC13" s="1503">
        <f t="shared" si="5"/>
        <v>1</v>
      </c>
    </row>
    <row r="14" spans="1:30" s="1202" customFormat="1" ht="28.5">
      <c r="A14" s="2627"/>
      <c r="B14" s="3297" t="s">
        <v>3138</v>
      </c>
      <c r="C14" s="3298">
        <v>0.1</v>
      </c>
      <c r="D14" s="531">
        <v>100</v>
      </c>
      <c r="E14" s="1324" t="s">
        <v>3137</v>
      </c>
      <c r="F14" s="252">
        <f>SUMIF(84:84,E14,85:85)-SUMIF(84:84,C14,85:85)+100</f>
        <v>105</v>
      </c>
      <c r="G14" s="1324" t="s">
        <v>3137</v>
      </c>
      <c r="H14" s="252">
        <f>SUMIF(84:84,G14,85:85)-SUMIF(84:84,C14,85:85)+100</f>
        <v>105</v>
      </c>
      <c r="I14" s="1324" t="s">
        <v>3141</v>
      </c>
      <c r="J14" s="252">
        <f>SUMIF(84:84,I14,85:85)-SUMIF(84:84,C14,85:85)+100</f>
        <v>105</v>
      </c>
      <c r="K14" s="524"/>
      <c r="L14" s="2014"/>
      <c r="M14" s="2011"/>
      <c r="N14" s="2011"/>
      <c r="O14" s="2016"/>
      <c r="P14" s="3502"/>
      <c r="Q14" s="1133" t="str">
        <f t="shared" si="6"/>
        <v>保障性住房（配建设施）占比</v>
      </c>
      <c r="R14" s="1500" t="s">
        <v>8</v>
      </c>
      <c r="S14" s="1501">
        <f t="shared" si="0"/>
        <v>105</v>
      </c>
      <c r="T14" s="1500" t="s">
        <v>8</v>
      </c>
      <c r="U14" s="1501">
        <f t="shared" si="1"/>
        <v>105</v>
      </c>
      <c r="V14" s="1500" t="s">
        <v>8</v>
      </c>
      <c r="W14" s="1501">
        <f t="shared" si="2"/>
        <v>105</v>
      </c>
      <c r="X14" s="1502"/>
      <c r="Y14" s="3453"/>
      <c r="Z14" s="1132" t="str">
        <f t="shared" si="7"/>
        <v>保障性住房（配建设施）占比</v>
      </c>
      <c r="AA14" s="1503">
        <f>D14/F14</f>
        <v>0.95238095238095233</v>
      </c>
      <c r="AB14" s="1503">
        <f>D14/H14</f>
        <v>0.95238095238095233</v>
      </c>
      <c r="AC14" s="1503">
        <f>D14/J14</f>
        <v>0.95238095238095233</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502"/>
      <c r="Q15" s="1133">
        <f t="shared" si="6"/>
        <v>111</v>
      </c>
      <c r="R15" s="1500" t="s">
        <v>8</v>
      </c>
      <c r="S15" s="1501">
        <f t="shared" si="0"/>
        <v>100</v>
      </c>
      <c r="T15" s="1500" t="s">
        <v>8</v>
      </c>
      <c r="U15" s="1501">
        <f t="shared" si="1"/>
        <v>100</v>
      </c>
      <c r="V15" s="1500" t="s">
        <v>8</v>
      </c>
      <c r="W15" s="1501">
        <f t="shared" si="2"/>
        <v>100</v>
      </c>
      <c r="X15" s="1502"/>
      <c r="Y15" s="3453"/>
      <c r="Z15" s="1132">
        <f t="shared" si="7"/>
        <v>111</v>
      </c>
      <c r="AA15" s="1503">
        <f>D15/F15</f>
        <v>1</v>
      </c>
      <c r="AB15" s="1503">
        <f>D15/H15</f>
        <v>1</v>
      </c>
      <c r="AC15" s="1503">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502"/>
      <c r="Q16" s="1133">
        <f t="shared" si="6"/>
        <v>111</v>
      </c>
      <c r="R16" s="1500" t="s">
        <v>8</v>
      </c>
      <c r="S16" s="1501">
        <f t="shared" si="0"/>
        <v>100</v>
      </c>
      <c r="T16" s="1500" t="s">
        <v>8</v>
      </c>
      <c r="U16" s="1501">
        <f t="shared" si="1"/>
        <v>100</v>
      </c>
      <c r="V16" s="1500" t="s">
        <v>8</v>
      </c>
      <c r="W16" s="1501">
        <f t="shared" si="2"/>
        <v>100</v>
      </c>
      <c r="X16" s="1502"/>
      <c r="Y16" s="3453"/>
      <c r="Z16" s="1132">
        <f t="shared" si="7"/>
        <v>111</v>
      </c>
      <c r="AA16" s="1503">
        <f>D16/F16</f>
        <v>1</v>
      </c>
      <c r="AB16" s="1503">
        <f>D16/H16</f>
        <v>1</v>
      </c>
      <c r="AC16" s="1503">
        <f>D16/J16</f>
        <v>1</v>
      </c>
    </row>
    <row r="17" spans="1:29" ht="99.75">
      <c r="A17" s="2624"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3</v>
      </c>
      <c r="L17" s="2021"/>
      <c r="M17" s="2011"/>
      <c r="N17" s="2011"/>
      <c r="O17" s="2020"/>
      <c r="P17" s="3504" t="s">
        <v>534</v>
      </c>
      <c r="Q17" s="1504" t="str">
        <f t="shared" si="6"/>
        <v>居住社区成熟度</v>
      </c>
      <c r="R17" s="1505" t="s">
        <v>8</v>
      </c>
      <c r="S17" s="1506">
        <f t="shared" si="0"/>
        <v>100</v>
      </c>
      <c r="T17" s="1505" t="s">
        <v>8</v>
      </c>
      <c r="U17" s="1506">
        <f t="shared" si="1"/>
        <v>100</v>
      </c>
      <c r="V17" s="1505" t="s">
        <v>8</v>
      </c>
      <c r="W17" s="1506">
        <f t="shared" si="2"/>
        <v>100</v>
      </c>
      <c r="X17" s="1499"/>
      <c r="Y17" s="3504" t="s">
        <v>534</v>
      </c>
      <c r="Z17" s="1507" t="str">
        <f t="shared" si="7"/>
        <v>居住社区成熟度</v>
      </c>
      <c r="AA17" s="1508">
        <f t="shared" si="3"/>
        <v>1</v>
      </c>
      <c r="AB17" s="1508">
        <f t="shared" si="4"/>
        <v>1</v>
      </c>
      <c r="AC17" s="1508">
        <f t="shared" si="5"/>
        <v>1</v>
      </c>
    </row>
    <row r="18" spans="1:29" ht="20.25">
      <c r="A18" s="525"/>
      <c r="B18" s="546"/>
      <c r="C18" s="547" t="s">
        <v>3029</v>
      </c>
      <c r="D18" s="550"/>
      <c r="E18" s="547" t="s">
        <v>3029</v>
      </c>
      <c r="F18" s="548"/>
      <c r="G18" s="547" t="s">
        <v>3029</v>
      </c>
      <c r="H18" s="552"/>
      <c r="I18" s="547" t="s">
        <v>3029</v>
      </c>
      <c r="J18" s="548"/>
      <c r="K18" s="524"/>
      <c r="L18" s="2021"/>
      <c r="M18" s="2011"/>
      <c r="N18" s="2011"/>
      <c r="O18" s="2020"/>
      <c r="P18" s="3505"/>
      <c r="Q18" s="1504"/>
      <c r="R18" s="1505"/>
      <c r="S18" s="1506"/>
      <c r="T18" s="1505"/>
      <c r="U18" s="1506"/>
      <c r="V18" s="1505"/>
      <c r="W18" s="1506"/>
      <c r="X18" s="1499"/>
      <c r="Y18" s="3505"/>
      <c r="Z18" s="1507"/>
      <c r="AA18" s="1508">
        <v>1</v>
      </c>
      <c r="AB18" s="1508">
        <v>1</v>
      </c>
      <c r="AC18" s="1508">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505"/>
      <c r="Q19" s="1504" t="str">
        <f>B19</f>
        <v>商业繁华度</v>
      </c>
      <c r="R19" s="1505" t="s">
        <v>8</v>
      </c>
      <c r="S19" s="1506">
        <f>F19</f>
        <v>100</v>
      </c>
      <c r="T19" s="1505" t="s">
        <v>8</v>
      </c>
      <c r="U19" s="1506">
        <f>H19</f>
        <v>100</v>
      </c>
      <c r="V19" s="1505" t="s">
        <v>8</v>
      </c>
      <c r="W19" s="1506">
        <f>J19</f>
        <v>100</v>
      </c>
      <c r="X19" s="1499"/>
      <c r="Y19" s="3505"/>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1"/>
      <c r="M20" s="2011"/>
      <c r="N20" s="2011"/>
      <c r="O20" s="2020"/>
      <c r="P20" s="3505"/>
      <c r="Q20" s="1504"/>
      <c r="R20" s="1505"/>
      <c r="S20" s="1506"/>
      <c r="T20" s="1505"/>
      <c r="U20" s="1506"/>
      <c r="V20" s="1505"/>
      <c r="W20" s="1506"/>
      <c r="X20" s="1499"/>
      <c r="Y20" s="3505"/>
      <c r="Z20" s="1507"/>
      <c r="AA20" s="1508">
        <v>1</v>
      </c>
      <c r="AB20" s="1508">
        <v>1</v>
      </c>
      <c r="AC20" s="1508">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505"/>
      <c r="Q21" s="1504" t="str">
        <f>B21</f>
        <v>办公集聚程度</v>
      </c>
      <c r="R21" s="1505" t="s">
        <v>8</v>
      </c>
      <c r="S21" s="1506">
        <f>F21</f>
        <v>100</v>
      </c>
      <c r="T21" s="1505" t="s">
        <v>8</v>
      </c>
      <c r="U21" s="1506">
        <f>H21</f>
        <v>100</v>
      </c>
      <c r="V21" s="1505" t="s">
        <v>8</v>
      </c>
      <c r="W21" s="1506">
        <f>J21</f>
        <v>100</v>
      </c>
      <c r="X21" s="1499"/>
      <c r="Y21" s="3505"/>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1"/>
      <c r="M22" s="2011"/>
      <c r="N22" s="2011"/>
      <c r="O22" s="2020"/>
      <c r="P22" s="3505"/>
      <c r="Q22" s="1504"/>
      <c r="R22" s="1505"/>
      <c r="S22" s="1506"/>
      <c r="T22" s="1505"/>
      <c r="U22" s="1506"/>
      <c r="V22" s="1505"/>
      <c r="W22" s="1506"/>
      <c r="X22" s="1499"/>
      <c r="Y22" s="3505"/>
      <c r="Z22" s="1507"/>
      <c r="AA22" s="1508">
        <v>1</v>
      </c>
      <c r="AB22" s="1508">
        <v>1</v>
      </c>
      <c r="AC22" s="1508">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v>2</v>
      </c>
      <c r="L23" s="2021"/>
      <c r="M23" s="2011"/>
      <c r="N23" s="2011"/>
      <c r="O23" s="2020"/>
      <c r="P23" s="3505"/>
      <c r="Q23" s="1504" t="str">
        <f>B23</f>
        <v>交通便捷度</v>
      </c>
      <c r="R23" s="1505" t="s">
        <v>8</v>
      </c>
      <c r="S23" s="1506">
        <f>F23</f>
        <v>100</v>
      </c>
      <c r="T23" s="1505" t="s">
        <v>8</v>
      </c>
      <c r="U23" s="1506">
        <f>H23</f>
        <v>100</v>
      </c>
      <c r="V23" s="1505" t="s">
        <v>8</v>
      </c>
      <c r="W23" s="1506">
        <f>J23</f>
        <v>100</v>
      </c>
      <c r="X23" s="1499"/>
      <c r="Y23" s="3505"/>
      <c r="Z23" s="1507" t="str">
        <f>Q23</f>
        <v>交通便捷度</v>
      </c>
      <c r="AA23" s="1508">
        <f t="shared" si="3"/>
        <v>1</v>
      </c>
      <c r="AB23" s="1508">
        <f t="shared" si="4"/>
        <v>1</v>
      </c>
      <c r="AC23" s="1508">
        <f t="shared" si="5"/>
        <v>1</v>
      </c>
    </row>
    <row r="24" spans="1:29" ht="20.25">
      <c r="A24" s="525"/>
      <c r="B24" s="571"/>
      <c r="C24" s="547" t="s">
        <v>3029</v>
      </c>
      <c r="D24" s="550"/>
      <c r="E24" s="547" t="s">
        <v>3029</v>
      </c>
      <c r="F24" s="548"/>
      <c r="G24" s="547" t="s">
        <v>3029</v>
      </c>
      <c r="H24" s="548"/>
      <c r="I24" s="547" t="s">
        <v>3029</v>
      </c>
      <c r="J24" s="548"/>
      <c r="K24" s="524"/>
      <c r="L24" s="2021"/>
      <c r="M24" s="2011"/>
      <c r="N24" s="2011"/>
      <c r="O24" s="2020"/>
      <c r="P24" s="3505"/>
      <c r="Q24" s="1504"/>
      <c r="R24" s="1505"/>
      <c r="S24" s="1506"/>
      <c r="T24" s="1505"/>
      <c r="U24" s="1506"/>
      <c r="V24" s="1505"/>
      <c r="W24" s="1506"/>
      <c r="X24" s="1499"/>
      <c r="Y24" s="3505"/>
      <c r="Z24" s="1507"/>
      <c r="AA24" s="1508">
        <v>1</v>
      </c>
      <c r="AB24" s="1508">
        <v>1</v>
      </c>
      <c r="AC24" s="1508">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1</v>
      </c>
      <c r="L25" s="2021"/>
      <c r="M25" s="2011"/>
      <c r="N25" s="2011"/>
      <c r="O25" s="2020"/>
      <c r="P25" s="3505"/>
      <c r="Q25" s="1504" t="str">
        <f t="shared" ref="Q25:Q39" si="8">B25</f>
        <v>区域土地利用方向</v>
      </c>
      <c r="R25" s="1505" t="s">
        <v>8</v>
      </c>
      <c r="S25" s="1506">
        <f>F25</f>
        <v>100</v>
      </c>
      <c r="T25" s="1505" t="s">
        <v>8</v>
      </c>
      <c r="U25" s="1506">
        <f>H25</f>
        <v>100</v>
      </c>
      <c r="V25" s="1505" t="s">
        <v>8</v>
      </c>
      <c r="W25" s="1506">
        <f>J25</f>
        <v>100</v>
      </c>
      <c r="X25" s="1499"/>
      <c r="Y25" s="3505"/>
      <c r="Z25" s="1507" t="str">
        <f>Q25</f>
        <v>区域土地利用方向</v>
      </c>
      <c r="AA25" s="1508">
        <f t="shared" si="3"/>
        <v>1</v>
      </c>
      <c r="AB25" s="1508">
        <f t="shared" si="4"/>
        <v>1</v>
      </c>
      <c r="AC25" s="1508">
        <f t="shared" si="5"/>
        <v>1</v>
      </c>
    </row>
    <row r="26" spans="1:29" ht="20.25">
      <c r="A26" s="508"/>
      <c r="B26" s="993"/>
      <c r="C26" s="547" t="s">
        <v>3028</v>
      </c>
      <c r="D26" s="550"/>
      <c r="E26" s="547" t="s">
        <v>3028</v>
      </c>
      <c r="F26" s="548"/>
      <c r="G26" s="547" t="s">
        <v>3028</v>
      </c>
      <c r="H26" s="548"/>
      <c r="I26" s="547" t="s">
        <v>3028</v>
      </c>
      <c r="J26" s="548"/>
      <c r="K26" s="524"/>
      <c r="L26" s="2021"/>
      <c r="M26" s="2011"/>
      <c r="N26" s="2011"/>
      <c r="O26" s="2020"/>
      <c r="P26" s="3505"/>
      <c r="Q26" s="1504"/>
      <c r="R26" s="1505"/>
      <c r="S26" s="1506"/>
      <c r="T26" s="1505"/>
      <c r="U26" s="1506"/>
      <c r="V26" s="1505"/>
      <c r="W26" s="1506"/>
      <c r="X26" s="1499"/>
      <c r="Y26" s="3505"/>
      <c r="Z26" s="1507"/>
      <c r="AA26" s="1508"/>
      <c r="AB26" s="1508"/>
      <c r="AC26" s="1508"/>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1"/>
      <c r="M27" s="2011"/>
      <c r="N27" s="2011"/>
      <c r="O27" s="2020"/>
      <c r="P27" s="3505"/>
      <c r="Q27" s="1504" t="str">
        <f t="shared" si="8"/>
        <v>自然及人文环境状况</v>
      </c>
      <c r="R27" s="1505" t="s">
        <v>8</v>
      </c>
      <c r="S27" s="1506">
        <f>F27</f>
        <v>100</v>
      </c>
      <c r="T27" s="1505" t="s">
        <v>8</v>
      </c>
      <c r="U27" s="1506">
        <f>H27</f>
        <v>100</v>
      </c>
      <c r="V27" s="1505" t="s">
        <v>8</v>
      </c>
      <c r="W27" s="1506">
        <f>J27</f>
        <v>100</v>
      </c>
      <c r="X27" s="1499"/>
      <c r="Y27" s="3505"/>
      <c r="Z27" s="1507" t="str">
        <f>Q27</f>
        <v>自然及人文环境状况</v>
      </c>
      <c r="AA27" s="1508">
        <f t="shared" si="3"/>
        <v>1</v>
      </c>
      <c r="AB27" s="1508">
        <f t="shared" si="4"/>
        <v>1</v>
      </c>
      <c r="AC27" s="1508">
        <f t="shared" si="5"/>
        <v>1</v>
      </c>
    </row>
    <row r="28" spans="1:29" ht="20.25">
      <c r="A28" s="508"/>
      <c r="B28" s="559"/>
      <c r="C28" s="547" t="s">
        <v>3029</v>
      </c>
      <c r="D28" s="550"/>
      <c r="E28" s="547" t="s">
        <v>3029</v>
      </c>
      <c r="F28" s="548"/>
      <c r="G28" s="547" t="s">
        <v>3029</v>
      </c>
      <c r="H28" s="548"/>
      <c r="I28" s="547" t="s">
        <v>3029</v>
      </c>
      <c r="J28" s="548"/>
      <c r="K28" s="524"/>
      <c r="L28" s="2021"/>
      <c r="M28" s="2011"/>
      <c r="N28" s="2011"/>
      <c r="O28" s="2020"/>
      <c r="P28" s="3505"/>
      <c r="Q28" s="1504"/>
      <c r="R28" s="1505"/>
      <c r="S28" s="1506"/>
      <c r="T28" s="1505"/>
      <c r="U28" s="1506"/>
      <c r="V28" s="1505"/>
      <c r="W28" s="1506"/>
      <c r="X28" s="1499"/>
      <c r="Y28" s="3505"/>
      <c r="Z28" s="1507"/>
      <c r="AA28" s="1508">
        <v>1</v>
      </c>
      <c r="AB28" s="1508">
        <v>1</v>
      </c>
      <c r="AC28" s="1508">
        <v>1</v>
      </c>
    </row>
    <row r="29" spans="1:29" s="1202" customFormat="1" ht="42.75">
      <c r="A29" s="570"/>
      <c r="B29" s="2432"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98</v>
      </c>
      <c r="I29" s="557"/>
      <c r="J29" s="552">
        <f>SUMIF(102:102,I30,103:103)-SUMIF(102:102,C30,103:103)+100</f>
        <v>100</v>
      </c>
      <c r="K29" s="528">
        <v>2</v>
      </c>
      <c r="L29" s="2014"/>
      <c r="M29" s="2011"/>
      <c r="N29" s="2011"/>
      <c r="O29" s="2016"/>
      <c r="P29" s="3505"/>
      <c r="Q29" s="1133" t="str">
        <f t="shared" si="8"/>
        <v>公共配套设施</v>
      </c>
      <c r="R29" s="1500" t="s">
        <v>8</v>
      </c>
      <c r="S29" s="1501">
        <f>F29</f>
        <v>100</v>
      </c>
      <c r="T29" s="1500" t="s">
        <v>8</v>
      </c>
      <c r="U29" s="1501">
        <f>H29</f>
        <v>98</v>
      </c>
      <c r="V29" s="1500" t="s">
        <v>8</v>
      </c>
      <c r="W29" s="1501">
        <f>J29</f>
        <v>100</v>
      </c>
      <c r="X29" s="1502"/>
      <c r="Y29" s="3505"/>
      <c r="Z29" s="1132" t="str">
        <f>Q29</f>
        <v>公共配套设施</v>
      </c>
      <c r="AA29" s="1508">
        <f>D29/F29</f>
        <v>1</v>
      </c>
      <c r="AB29" s="1508">
        <f>D29/H29</f>
        <v>1.0204081632653061</v>
      </c>
      <c r="AC29" s="1508">
        <f>D29/J29</f>
        <v>1</v>
      </c>
    </row>
    <row r="30" spans="1:29" s="1202" customFormat="1" ht="20.25">
      <c r="A30" s="570"/>
      <c r="B30" s="559"/>
      <c r="C30" s="572" t="s">
        <v>3028</v>
      </c>
      <c r="D30" s="550"/>
      <c r="E30" s="572" t="s">
        <v>3028</v>
      </c>
      <c r="F30" s="548"/>
      <c r="G30" s="572" t="s">
        <v>3029</v>
      </c>
      <c r="H30" s="548"/>
      <c r="I30" s="572" t="s">
        <v>3028</v>
      </c>
      <c r="J30" s="548"/>
      <c r="K30" s="524"/>
      <c r="L30" s="2014"/>
      <c r="M30" s="2011"/>
      <c r="N30" s="2011"/>
      <c r="O30" s="2016"/>
      <c r="P30" s="3505"/>
      <c r="Q30" s="1133"/>
      <c r="R30" s="1500"/>
      <c r="S30" s="1501"/>
      <c r="T30" s="1500"/>
      <c r="U30" s="1501"/>
      <c r="V30" s="1500"/>
      <c r="W30" s="1501"/>
      <c r="X30" s="1502"/>
      <c r="Y30" s="3505"/>
      <c r="Z30" s="1132"/>
      <c r="AA30" s="1508">
        <v>1</v>
      </c>
      <c r="AB30" s="1508">
        <v>1</v>
      </c>
      <c r="AC30" s="1508">
        <v>1</v>
      </c>
    </row>
    <row r="31" spans="1:29" s="1202" customFormat="1" ht="28.5">
      <c r="A31" s="570"/>
      <c r="B31" s="2432"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4"/>
      <c r="M31" s="2011"/>
      <c r="N31" s="2011"/>
      <c r="O31" s="2016"/>
      <c r="P31" s="3505"/>
      <c r="Q31" s="2425" t="str">
        <f t="shared" ref="Q31" si="9">B31</f>
        <v>基础设施水平</v>
      </c>
      <c r="R31" s="1500" t="s">
        <v>8</v>
      </c>
      <c r="S31" s="1501">
        <f>F31</f>
        <v>100</v>
      </c>
      <c r="T31" s="1500" t="s">
        <v>8</v>
      </c>
      <c r="U31" s="1501">
        <f>H31</f>
        <v>100</v>
      </c>
      <c r="V31" s="1500" t="s">
        <v>8</v>
      </c>
      <c r="W31" s="1501">
        <f>J31</f>
        <v>100</v>
      </c>
      <c r="X31" s="1502"/>
      <c r="Y31" s="3505"/>
      <c r="Z31" s="2424" t="str">
        <f>Q31</f>
        <v>基础设施水平</v>
      </c>
      <c r="AA31" s="1508">
        <f>D31/F31</f>
        <v>1</v>
      </c>
      <c r="AB31" s="1508">
        <f>D31/H31</f>
        <v>1</v>
      </c>
      <c r="AC31" s="1508">
        <f>D31/J31</f>
        <v>1</v>
      </c>
    </row>
    <row r="32" spans="1:29" s="1202" customFormat="1" ht="20.25">
      <c r="A32" s="570"/>
      <c r="B32" s="559"/>
      <c r="C32" s="572" t="s">
        <v>3030</v>
      </c>
      <c r="D32" s="550"/>
      <c r="E32" s="572" t="s">
        <v>3030</v>
      </c>
      <c r="F32" s="548"/>
      <c r="G32" s="572" t="s">
        <v>3030</v>
      </c>
      <c r="H32" s="548"/>
      <c r="I32" s="572" t="s">
        <v>3030</v>
      </c>
      <c r="J32" s="548"/>
      <c r="K32" s="524"/>
      <c r="L32" s="2014"/>
      <c r="M32" s="2011"/>
      <c r="N32" s="2011"/>
      <c r="O32" s="2016"/>
      <c r="P32" s="3505"/>
      <c r="Q32" s="2425"/>
      <c r="R32" s="1500"/>
      <c r="S32" s="1501"/>
      <c r="T32" s="1500"/>
      <c r="U32" s="1501"/>
      <c r="V32" s="1500"/>
      <c r="W32" s="1501"/>
      <c r="X32" s="1502"/>
      <c r="Y32" s="3505"/>
      <c r="Z32" s="2424"/>
      <c r="AA32" s="1508">
        <v>1</v>
      </c>
      <c r="AB32" s="1508">
        <v>1</v>
      </c>
      <c r="AC32" s="1508">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505"/>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05"/>
      <c r="Z33" s="1507" t="str">
        <f t="shared" ref="Z33:Z47" si="13">Q33</f>
        <v>临街状况</v>
      </c>
      <c r="AA33" s="1508">
        <f t="shared" si="3"/>
        <v>1</v>
      </c>
      <c r="AB33" s="1508">
        <f t="shared" si="4"/>
        <v>1</v>
      </c>
      <c r="AC33" s="1508">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1"/>
      <c r="M34" s="2011"/>
      <c r="N34" s="2011"/>
      <c r="O34" s="2020"/>
      <c r="P34" s="3505"/>
      <c r="Q34" s="1504" t="str">
        <f t="shared" si="8"/>
        <v>毗邻道路的类型与等级</v>
      </c>
      <c r="R34" s="1505" t="s">
        <v>8</v>
      </c>
      <c r="S34" s="1506">
        <f t="shared" si="10"/>
        <v>100</v>
      </c>
      <c r="T34" s="1505" t="s">
        <v>8</v>
      </c>
      <c r="U34" s="1506">
        <f t="shared" si="11"/>
        <v>100</v>
      </c>
      <c r="V34" s="1505" t="s">
        <v>8</v>
      </c>
      <c r="W34" s="1506">
        <f t="shared" si="12"/>
        <v>100</v>
      </c>
      <c r="X34" s="1499"/>
      <c r="Y34" s="3505"/>
      <c r="Z34" s="1507" t="str">
        <f t="shared" si="13"/>
        <v>毗邻道路的类型与等级</v>
      </c>
      <c r="AA34" s="1508">
        <f t="shared" si="3"/>
        <v>1</v>
      </c>
      <c r="AB34" s="1508">
        <f t="shared" si="4"/>
        <v>1</v>
      </c>
      <c r="AC34" s="1508">
        <f t="shared" si="5"/>
        <v>1</v>
      </c>
    </row>
    <row r="35" spans="1:29" ht="20.25">
      <c r="A35" s="525"/>
      <c r="B35" s="559"/>
      <c r="C35" s="547"/>
      <c r="D35" s="550"/>
      <c r="E35" s="569"/>
      <c r="F35" s="548"/>
      <c r="G35" s="547"/>
      <c r="H35" s="548"/>
      <c r="I35" s="569"/>
      <c r="J35" s="548"/>
      <c r="K35" s="574"/>
      <c r="L35" s="2021"/>
      <c r="M35" s="2011"/>
      <c r="N35" s="2011"/>
      <c r="O35" s="2020"/>
      <c r="P35" s="3505"/>
      <c r="Q35" s="1504"/>
      <c r="R35" s="1505"/>
      <c r="S35" s="1506"/>
      <c r="T35" s="1505"/>
      <c r="U35" s="1506"/>
      <c r="V35" s="1505"/>
      <c r="W35" s="1506"/>
      <c r="X35" s="1499"/>
      <c r="Y35" s="3505"/>
      <c r="Z35" s="1507"/>
      <c r="AA35" s="1508">
        <v>1</v>
      </c>
      <c r="AB35" s="1508">
        <v>1</v>
      </c>
      <c r="AC35" s="1508">
        <v>1</v>
      </c>
    </row>
    <row r="36" spans="1:29" ht="20.25">
      <c r="A36" s="525"/>
      <c r="B36" s="575" t="s">
        <v>543</v>
      </c>
      <c r="C36" s="573" t="s">
        <v>1146</v>
      </c>
      <c r="D36" s="568">
        <v>100</v>
      </c>
      <c r="E36" s="573" t="s">
        <v>1146</v>
      </c>
      <c r="F36" s="533">
        <f>SUMIF(110:110,E36,111:111)-SUMIF(110:110,C36,111:111)+100</f>
        <v>100</v>
      </c>
      <c r="G36" s="573" t="s">
        <v>1146</v>
      </c>
      <c r="H36" s="533">
        <f>SUMIF(110:110,G36,111:111)-SUMIF(110:110,C36,111:111)+100</f>
        <v>100</v>
      </c>
      <c r="I36" s="573" t="s">
        <v>1146</v>
      </c>
      <c r="J36" s="533">
        <f>SUMIF(110:110,I36,111:111)-SUMIF(110:110,C36,111:111)+100</f>
        <v>100</v>
      </c>
      <c r="K36" s="577">
        <v>2</v>
      </c>
      <c r="L36" s="2021"/>
      <c r="M36" s="2011"/>
      <c r="N36" s="2011"/>
      <c r="O36" s="2020"/>
      <c r="P36" s="3505"/>
      <c r="Q36" s="1504" t="str">
        <f t="shared" si="8"/>
        <v>土地级别</v>
      </c>
      <c r="R36" s="1505" t="s">
        <v>8</v>
      </c>
      <c r="S36" s="1506">
        <f t="shared" si="10"/>
        <v>100</v>
      </c>
      <c r="T36" s="1505" t="s">
        <v>8</v>
      </c>
      <c r="U36" s="1506">
        <f t="shared" si="11"/>
        <v>100</v>
      </c>
      <c r="V36" s="1505" t="s">
        <v>8</v>
      </c>
      <c r="W36" s="1506">
        <f t="shared" si="12"/>
        <v>100</v>
      </c>
      <c r="X36" s="1499"/>
      <c r="Y36" s="3505"/>
      <c r="Z36" s="1507" t="str">
        <f t="shared" si="13"/>
        <v>土地级别</v>
      </c>
      <c r="AA36" s="1508">
        <f t="shared" si="3"/>
        <v>1</v>
      </c>
      <c r="AB36" s="1508">
        <f t="shared" si="4"/>
        <v>1</v>
      </c>
      <c r="AC36" s="1508">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505"/>
      <c r="Q37" s="1504">
        <f t="shared" si="8"/>
        <v>111</v>
      </c>
      <c r="R37" s="1505" t="s">
        <v>8</v>
      </c>
      <c r="S37" s="1506">
        <f t="shared" si="10"/>
        <v>100</v>
      </c>
      <c r="T37" s="1505" t="s">
        <v>8</v>
      </c>
      <c r="U37" s="1506">
        <f t="shared" si="11"/>
        <v>100</v>
      </c>
      <c r="V37" s="1505" t="s">
        <v>8</v>
      </c>
      <c r="W37" s="1506">
        <f t="shared" si="12"/>
        <v>100</v>
      </c>
      <c r="X37" s="1499"/>
      <c r="Y37" s="3505"/>
      <c r="Z37" s="1507">
        <f t="shared" si="13"/>
        <v>111</v>
      </c>
      <c r="AA37" s="1508">
        <f t="shared" si="3"/>
        <v>1</v>
      </c>
      <c r="AB37" s="1508">
        <f t="shared" si="4"/>
        <v>1</v>
      </c>
      <c r="AC37" s="1508">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506" t="s">
        <v>544</v>
      </c>
      <c r="Q38" s="1504">
        <f t="shared" si="8"/>
        <v>111</v>
      </c>
      <c r="R38" s="1505" t="s">
        <v>8</v>
      </c>
      <c r="S38" s="1506">
        <f t="shared" si="10"/>
        <v>100</v>
      </c>
      <c r="T38" s="1505" t="s">
        <v>8</v>
      </c>
      <c r="U38" s="1506">
        <f t="shared" si="11"/>
        <v>100</v>
      </c>
      <c r="V38" s="1505" t="s">
        <v>8</v>
      </c>
      <c r="W38" s="1506">
        <f t="shared" si="12"/>
        <v>100</v>
      </c>
      <c r="X38" s="1499"/>
      <c r="Y38" s="3507" t="s">
        <v>544</v>
      </c>
      <c r="Z38" s="1507">
        <f t="shared" si="13"/>
        <v>111</v>
      </c>
      <c r="AA38" s="1508">
        <f t="shared" si="3"/>
        <v>1</v>
      </c>
      <c r="AB38" s="1508">
        <f t="shared" si="4"/>
        <v>1</v>
      </c>
      <c r="AC38" s="1508">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507"/>
      <c r="Q39" s="1504">
        <f t="shared" si="8"/>
        <v>111</v>
      </c>
      <c r="R39" s="1509" t="s">
        <v>8</v>
      </c>
      <c r="S39" s="1510">
        <f t="shared" si="10"/>
        <v>100</v>
      </c>
      <c r="T39" s="1509" t="s">
        <v>8</v>
      </c>
      <c r="U39" s="1510">
        <f t="shared" si="11"/>
        <v>100</v>
      </c>
      <c r="V39" s="1509" t="s">
        <v>8</v>
      </c>
      <c r="W39" s="1510">
        <f t="shared" si="12"/>
        <v>100</v>
      </c>
      <c r="X39" s="1511"/>
      <c r="Y39" s="3507"/>
      <c r="Z39" s="1512">
        <f t="shared" si="13"/>
        <v>111</v>
      </c>
      <c r="AA39" s="1508">
        <f t="shared" si="3"/>
        <v>1</v>
      </c>
      <c r="AB39" s="1508">
        <f t="shared" si="4"/>
        <v>1</v>
      </c>
      <c r="AC39" s="1508">
        <f t="shared" si="5"/>
        <v>1</v>
      </c>
    </row>
    <row r="40" spans="1:29" ht="20.25">
      <c r="A40" s="2621" t="s">
        <v>2735</v>
      </c>
      <c r="B40" s="588" t="s">
        <v>546</v>
      </c>
      <c r="C40" s="589">
        <f>'数据-基础表'!A3</f>
        <v>49955.92</v>
      </c>
      <c r="D40" s="590">
        <v>100</v>
      </c>
      <c r="E40" s="589">
        <v>4675.3100000000004</v>
      </c>
      <c r="F40" s="590">
        <f>LOOKUP(E40,119:119,120:120)-LOOKUP(C40,119:119,120:120)+100</f>
        <v>98</v>
      </c>
      <c r="G40" s="589">
        <v>19631.05</v>
      </c>
      <c r="H40" s="590">
        <f>LOOKUP(G40,119:119,120:120)-LOOKUP(C40,119:119,120:120)+100</f>
        <v>99</v>
      </c>
      <c r="I40" s="591">
        <v>56612.65</v>
      </c>
      <c r="J40" s="590">
        <f>LOOKUP(I40,119:119,120:120)-LOOKUP(C40,119:119,120:120)+100</f>
        <v>101</v>
      </c>
      <c r="K40" s="574"/>
      <c r="L40" s="2021"/>
      <c r="M40" s="2011"/>
      <c r="N40" s="2011"/>
      <c r="O40" s="2020"/>
      <c r="P40" s="3507"/>
      <c r="Q40" s="1504" t="str">
        <f>B40</f>
        <v>宗地面积</v>
      </c>
      <c r="R40" s="1505" t="s">
        <v>8</v>
      </c>
      <c r="S40" s="1506">
        <f t="shared" si="10"/>
        <v>98</v>
      </c>
      <c r="T40" s="1505" t="s">
        <v>8</v>
      </c>
      <c r="U40" s="1506">
        <f t="shared" si="11"/>
        <v>99</v>
      </c>
      <c r="V40" s="1505" t="s">
        <v>8</v>
      </c>
      <c r="W40" s="1506">
        <f t="shared" si="12"/>
        <v>101</v>
      </c>
      <c r="X40" s="1499"/>
      <c r="Y40" s="3507"/>
      <c r="Z40" s="1507" t="str">
        <f t="shared" si="13"/>
        <v>宗地面积</v>
      </c>
      <c r="AA40" s="1508">
        <f t="shared" si="3"/>
        <v>1.0204081632653061</v>
      </c>
      <c r="AB40" s="1508">
        <f t="shared" si="4"/>
        <v>1.0101010101010102</v>
      </c>
      <c r="AC40" s="1508">
        <f t="shared" si="5"/>
        <v>0.99009900990099009</v>
      </c>
    </row>
    <row r="41" spans="1:29" ht="20.25">
      <c r="A41" s="587"/>
      <c r="B41" s="520" t="s">
        <v>547</v>
      </c>
      <c r="C41" s="592" t="s">
        <v>3031</v>
      </c>
      <c r="D41" s="533">
        <v>100</v>
      </c>
      <c r="E41" s="592" t="s">
        <v>3031</v>
      </c>
      <c r="F41" s="533">
        <f>SUMIF(121:121,E41,122:122)-SUMIF(121:121,C41,122:122)+100</f>
        <v>100</v>
      </c>
      <c r="G41" s="592" t="s">
        <v>3031</v>
      </c>
      <c r="H41" s="533">
        <f>SUMIF(121:121,G41,122:122)-SUMIF(121:121,C41,122:122)+100</f>
        <v>100</v>
      </c>
      <c r="I41" s="592" t="s">
        <v>3031</v>
      </c>
      <c r="J41" s="533">
        <f>SUMIF(121:121,I41,122:122)-SUMIF(121:121,C41,122:122)+100</f>
        <v>100</v>
      </c>
      <c r="K41" s="577">
        <v>1</v>
      </c>
      <c r="L41" s="2021"/>
      <c r="M41" s="2011"/>
      <c r="N41" s="2011"/>
      <c r="O41" s="2020"/>
      <c r="P41" s="3507"/>
      <c r="Q41" s="1504" t="str">
        <f t="shared" ref="Q41:Q47" si="14">B41</f>
        <v>宗地形状</v>
      </c>
      <c r="R41" s="1505" t="s">
        <v>8</v>
      </c>
      <c r="S41" s="1506">
        <f t="shared" si="10"/>
        <v>100</v>
      </c>
      <c r="T41" s="1505" t="s">
        <v>8</v>
      </c>
      <c r="U41" s="1506">
        <f t="shared" si="11"/>
        <v>100</v>
      </c>
      <c r="V41" s="1505" t="s">
        <v>8</v>
      </c>
      <c r="W41" s="1506">
        <f t="shared" si="12"/>
        <v>100</v>
      </c>
      <c r="X41" s="1499"/>
      <c r="Y41" s="3507"/>
      <c r="Z41" s="1507" t="str">
        <f t="shared" si="13"/>
        <v>宗地形状</v>
      </c>
      <c r="AA41" s="1508">
        <f t="shared" si="3"/>
        <v>1</v>
      </c>
      <c r="AB41" s="1508">
        <f t="shared" si="4"/>
        <v>1</v>
      </c>
      <c r="AC41" s="1508">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507"/>
      <c r="Q42" s="1504" t="str">
        <f t="shared" si="14"/>
        <v>临街宽度及深度</v>
      </c>
      <c r="R42" s="1505" t="s">
        <v>8</v>
      </c>
      <c r="S42" s="1506">
        <f t="shared" si="10"/>
        <v>100</v>
      </c>
      <c r="T42" s="1505" t="s">
        <v>8</v>
      </c>
      <c r="U42" s="1506">
        <f t="shared" si="11"/>
        <v>100</v>
      </c>
      <c r="V42" s="1505" t="s">
        <v>8</v>
      </c>
      <c r="W42" s="1506">
        <f t="shared" si="12"/>
        <v>100</v>
      </c>
      <c r="X42" s="1499"/>
      <c r="Y42" s="3507"/>
      <c r="Z42" s="1507" t="str">
        <f t="shared" si="13"/>
        <v>临街宽度及深度</v>
      </c>
      <c r="AA42" s="1508">
        <f t="shared" si="3"/>
        <v>1</v>
      </c>
      <c r="AB42" s="1508">
        <f t="shared" si="4"/>
        <v>1</v>
      </c>
      <c r="AC42" s="1508">
        <f t="shared" si="5"/>
        <v>1</v>
      </c>
    </row>
    <row r="43" spans="1:29" s="1202" customFormat="1" ht="20.25">
      <c r="A43" s="593"/>
      <c r="B43" s="1806" t="s">
        <v>2408</v>
      </c>
      <c r="C43" s="594" t="s">
        <v>3030</v>
      </c>
      <c r="D43" s="252">
        <v>100</v>
      </c>
      <c r="E43" s="594" t="s">
        <v>3030</v>
      </c>
      <c r="F43" s="533">
        <f>SUMIF(125:125,E43,126:126)-SUMIF(125:125,C43,126:126)+100</f>
        <v>100</v>
      </c>
      <c r="G43" s="594" t="s">
        <v>3030</v>
      </c>
      <c r="H43" s="533">
        <f>SUMIF(125:125,G43,126:126)-SUMIF(125:125,C43,126:126)+100</f>
        <v>100</v>
      </c>
      <c r="I43" s="594" t="s">
        <v>3030</v>
      </c>
      <c r="J43" s="533">
        <f>SUMIF(125:125,I43,126:126)-SUMIF(125:125,C43,126:126)+100</f>
        <v>100</v>
      </c>
      <c r="K43" s="577">
        <v>1</v>
      </c>
      <c r="L43" s="2014"/>
      <c r="M43" s="2011"/>
      <c r="N43" s="2011"/>
      <c r="O43" s="2016"/>
      <c r="P43" s="3507"/>
      <c r="Q43" s="1504" t="str">
        <f t="shared" si="14"/>
        <v>宗地开发程度</v>
      </c>
      <c r="R43" s="1500" t="s">
        <v>8</v>
      </c>
      <c r="S43" s="1501">
        <f t="shared" si="10"/>
        <v>100</v>
      </c>
      <c r="T43" s="1500" t="s">
        <v>8</v>
      </c>
      <c r="U43" s="1501">
        <f t="shared" si="11"/>
        <v>100</v>
      </c>
      <c r="V43" s="1500" t="s">
        <v>8</v>
      </c>
      <c r="W43" s="1501">
        <f t="shared" si="12"/>
        <v>100</v>
      </c>
      <c r="X43" s="1502"/>
      <c r="Y43" s="3507"/>
      <c r="Z43" s="1132" t="str">
        <f t="shared" si="13"/>
        <v>宗地开发程度</v>
      </c>
      <c r="AA43" s="1503">
        <f t="shared" si="3"/>
        <v>1</v>
      </c>
      <c r="AB43" s="1503">
        <f t="shared" si="4"/>
        <v>1</v>
      </c>
      <c r="AC43" s="1503">
        <f t="shared" si="5"/>
        <v>1</v>
      </c>
    </row>
    <row r="44" spans="1:29" ht="20.25">
      <c r="A44" s="587"/>
      <c r="B44" s="520" t="s">
        <v>549</v>
      </c>
      <c r="C44" s="592" t="s">
        <v>3028</v>
      </c>
      <c r="D44" s="533">
        <v>100</v>
      </c>
      <c r="E44" s="592" t="s">
        <v>3028</v>
      </c>
      <c r="F44" s="533">
        <f>SUMIF(127:127,E44,128:128)-SUMIF(127:127,C44,128:128)+100</f>
        <v>100</v>
      </c>
      <c r="G44" s="592" t="s">
        <v>3028</v>
      </c>
      <c r="H44" s="533">
        <f>SUMIF(127:127,G44,128:128)-SUMIF(127:127,C44,128:128)+100</f>
        <v>100</v>
      </c>
      <c r="I44" s="592" t="s">
        <v>3028</v>
      </c>
      <c r="J44" s="533">
        <f>SUMIF(127:127,I44,128:128)-SUMIF(127:127,C44,128:128)+100</f>
        <v>100</v>
      </c>
      <c r="K44" s="577">
        <v>1</v>
      </c>
      <c r="L44" s="2021"/>
      <c r="M44" s="2011"/>
      <c r="N44" s="2011"/>
      <c r="O44" s="2020"/>
      <c r="P44" s="3507" t="s">
        <v>544</v>
      </c>
      <c r="Q44" s="1504" t="str">
        <f t="shared" si="14"/>
        <v>工程地质条件</v>
      </c>
      <c r="R44" s="1505" t="s">
        <v>8</v>
      </c>
      <c r="S44" s="1506">
        <f t="shared" si="10"/>
        <v>100</v>
      </c>
      <c r="T44" s="1505" t="s">
        <v>8</v>
      </c>
      <c r="U44" s="1506">
        <f t="shared" si="11"/>
        <v>100</v>
      </c>
      <c r="V44" s="1505" t="s">
        <v>8</v>
      </c>
      <c r="W44" s="1506">
        <f t="shared" si="12"/>
        <v>100</v>
      </c>
      <c r="X44" s="1499"/>
      <c r="Y44" s="3507" t="s">
        <v>544</v>
      </c>
      <c r="Z44" s="1507" t="str">
        <f t="shared" si="13"/>
        <v>工程地质条件</v>
      </c>
      <c r="AA44" s="1508">
        <f t="shared" si="3"/>
        <v>1</v>
      </c>
      <c r="AB44" s="1508">
        <f t="shared" si="4"/>
        <v>1</v>
      </c>
      <c r="AC44" s="1508">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507"/>
      <c r="Q45" s="1504">
        <f t="shared" si="14"/>
        <v>111</v>
      </c>
      <c r="R45" s="1505" t="s">
        <v>8</v>
      </c>
      <c r="S45" s="1506">
        <f t="shared" si="10"/>
        <v>100</v>
      </c>
      <c r="T45" s="1505" t="s">
        <v>8</v>
      </c>
      <c r="U45" s="1506">
        <f t="shared" si="11"/>
        <v>100</v>
      </c>
      <c r="V45" s="1505" t="s">
        <v>8</v>
      </c>
      <c r="W45" s="1506">
        <f t="shared" si="12"/>
        <v>100</v>
      </c>
      <c r="X45" s="1499"/>
      <c r="Y45" s="3507"/>
      <c r="Z45" s="1507">
        <f t="shared" si="13"/>
        <v>111</v>
      </c>
      <c r="AA45" s="1508">
        <f t="shared" si="3"/>
        <v>1</v>
      </c>
      <c r="AB45" s="1508">
        <f t="shared" si="4"/>
        <v>1</v>
      </c>
      <c r="AC45" s="1508">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507"/>
      <c r="Q46" s="1504">
        <f t="shared" si="14"/>
        <v>111</v>
      </c>
      <c r="R46" s="1505" t="s">
        <v>8</v>
      </c>
      <c r="S46" s="1506">
        <f t="shared" si="10"/>
        <v>100</v>
      </c>
      <c r="T46" s="1505" t="s">
        <v>8</v>
      </c>
      <c r="U46" s="1506">
        <f t="shared" si="11"/>
        <v>100</v>
      </c>
      <c r="V46" s="1505" t="s">
        <v>8</v>
      </c>
      <c r="W46" s="1506">
        <f t="shared" si="12"/>
        <v>100</v>
      </c>
      <c r="X46" s="1499"/>
      <c r="Y46" s="3507"/>
      <c r="Z46" s="1507">
        <f t="shared" si="13"/>
        <v>111</v>
      </c>
      <c r="AA46" s="1508">
        <f t="shared" si="3"/>
        <v>1</v>
      </c>
      <c r="AB46" s="1508">
        <f t="shared" si="4"/>
        <v>1</v>
      </c>
      <c r="AC46" s="1508">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507"/>
      <c r="Q47" s="1504">
        <f t="shared" si="14"/>
        <v>111</v>
      </c>
      <c r="R47" s="1509" t="s">
        <v>8</v>
      </c>
      <c r="S47" s="1510">
        <f t="shared" si="10"/>
        <v>100</v>
      </c>
      <c r="T47" s="1509" t="s">
        <v>8</v>
      </c>
      <c r="U47" s="1510">
        <f t="shared" si="11"/>
        <v>100</v>
      </c>
      <c r="V47" s="1509" t="s">
        <v>8</v>
      </c>
      <c r="W47" s="1510">
        <f t="shared" si="12"/>
        <v>100</v>
      </c>
      <c r="X47" s="1511"/>
      <c r="Y47" s="3507"/>
      <c r="Z47" s="1512">
        <f t="shared" si="13"/>
        <v>111</v>
      </c>
      <c r="AA47" s="1508">
        <f t="shared" si="3"/>
        <v>1</v>
      </c>
      <c r="AB47" s="1508">
        <f t="shared" si="4"/>
        <v>1</v>
      </c>
      <c r="AC47" s="1508">
        <f t="shared" si="5"/>
        <v>1</v>
      </c>
    </row>
    <row r="48" spans="1:29" ht="20.25">
      <c r="A48" s="600" t="s">
        <v>550</v>
      </c>
      <c r="B48" s="601" t="s">
        <v>3064</v>
      </c>
      <c r="C48" s="602" t="s">
        <v>1</v>
      </c>
      <c r="D48" s="603"/>
      <c r="E48" s="604">
        <f>ROUND(5981.66,0)</f>
        <v>5982</v>
      </c>
      <c r="F48" s="605"/>
      <c r="G48" s="606">
        <v>6090</v>
      </c>
      <c r="H48" s="607"/>
      <c r="I48" s="604">
        <f>ROUND(5885.61,0)</f>
        <v>5886</v>
      </c>
      <c r="J48" s="607"/>
      <c r="K48" s="1293"/>
      <c r="L48" s="2023"/>
      <c r="M48" s="2011"/>
      <c r="N48" s="2011"/>
      <c r="O48" s="2024"/>
      <c r="P48" s="3502" t="str">
        <f>A48</f>
        <v>成交单价</v>
      </c>
      <c r="Q48" s="3502"/>
      <c r="R48" s="3516">
        <f>E48</f>
        <v>5982</v>
      </c>
      <c r="S48" s="3516"/>
      <c r="T48" s="3516">
        <f>G48</f>
        <v>6090</v>
      </c>
      <c r="U48" s="3516"/>
      <c r="V48" s="3516">
        <f>I48</f>
        <v>5886</v>
      </c>
      <c r="W48" s="3516"/>
      <c r="X48" s="1494"/>
      <c r="Y48" s="1513"/>
      <c r="Z48" s="1494"/>
      <c r="AA48" s="1494"/>
      <c r="AB48" s="1494"/>
      <c r="AC48" s="1494"/>
    </row>
    <row r="49" spans="1:29" ht="21" thickBot="1">
      <c r="A49" s="608" t="s">
        <v>2673</v>
      </c>
      <c r="B49" s="609"/>
      <c r="C49" s="610">
        <f>R50</f>
        <v>5829</v>
      </c>
      <c r="D49" s="3011" t="s">
        <v>2970</v>
      </c>
      <c r="E49" s="610">
        <f>R49</f>
        <v>5843</v>
      </c>
      <c r="F49" s="3012"/>
      <c r="G49" s="611">
        <f>T49</f>
        <v>6039</v>
      </c>
      <c r="H49" s="3012"/>
      <c r="I49" s="610">
        <f>V49</f>
        <v>5606</v>
      </c>
      <c r="J49" s="3012"/>
      <c r="K49" s="3013">
        <f>F49+H49+J49</f>
        <v>0</v>
      </c>
      <c r="L49" s="2023"/>
      <c r="M49" s="2011"/>
      <c r="N49" s="2011"/>
      <c r="O49" s="2024"/>
      <c r="P49" s="3502" t="str">
        <f>A49</f>
        <v>比较价格（元/平方米）</v>
      </c>
      <c r="Q49" s="3502"/>
      <c r="R49" s="3528">
        <f>ROUND(PRODUCT(R48,AA9:AA47),0)</f>
        <v>5843</v>
      </c>
      <c r="S49" s="3528"/>
      <c r="T49" s="3528">
        <f>ROUND(PRODUCT(T48,AB9:AB47),0)</f>
        <v>6039</v>
      </c>
      <c r="U49" s="3528"/>
      <c r="V49" s="3528">
        <f>ROUND(PRODUCT(V48,AC9:AC47),0)</f>
        <v>5606</v>
      </c>
      <c r="W49" s="3528"/>
      <c r="X49" s="1494"/>
      <c r="Y49" s="1494"/>
      <c r="Z49" s="1494"/>
      <c r="AA49" s="1494"/>
      <c r="AB49" s="1494"/>
      <c r="AC49" s="1494"/>
    </row>
    <row r="50" spans="1:29" ht="21" thickBot="1">
      <c r="A50" s="612" t="s">
        <v>2902</v>
      </c>
      <c r="B50" s="613"/>
      <c r="C50" s="614">
        <f>R50</f>
        <v>5829</v>
      </c>
      <c r="D50" s="614"/>
      <c r="E50" s="614"/>
      <c r="F50" s="614"/>
      <c r="G50" s="614"/>
      <c r="H50" s="614"/>
      <c r="I50" s="614"/>
      <c r="J50" s="614"/>
      <c r="K50" s="1294"/>
      <c r="L50" s="2023"/>
      <c r="M50" s="2011"/>
      <c r="N50" s="2011"/>
      <c r="O50" s="2024"/>
      <c r="P50" s="3525" t="str">
        <f>A50</f>
        <v>估价对象XX用房的比较价格（楼面单价，元/平方米）</v>
      </c>
      <c r="Q50" s="3526"/>
      <c r="R50" s="3527">
        <f>ROUND(IF(D49="简单平均",AVERAGE(R49:W49),R49*F49+T49*H49+V49*J49),0)</f>
        <v>5829</v>
      </c>
      <c r="S50" s="3527"/>
      <c r="T50" s="3527"/>
      <c r="U50" s="3527"/>
      <c r="V50" s="3527"/>
      <c r="W50" s="3527"/>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f>IF(E48&lt;E49,E49/E48-1,E48/E49-1)</f>
        <v>2.3789149409549903E-2</v>
      </c>
      <c r="F53" s="618" t="str">
        <f>IF(OR(E53&gt;=0.3,E53&lt;=-0.3),"超过30%","")</f>
        <v/>
      </c>
      <c r="G53" s="617">
        <f>IF(G48&lt;G49,G49/G48-1,G48/G49-1)</f>
        <v>8.4451068057624923E-3</v>
      </c>
      <c r="H53" s="618" t="str">
        <f>IF(OR(G53&gt;=0.3,G53&lt;=-0.3),"超过30%","")</f>
        <v/>
      </c>
      <c r="I53" s="617">
        <f>IF(I48&lt;I49,I49/I48-1,I48/I49-1)</f>
        <v>4.9946485907955696E-2</v>
      </c>
      <c r="J53" s="618"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f>IF(E49&lt;G49,G49/E49-1,E49/G49-1)</f>
        <v>3.354441211706316E-2</v>
      </c>
      <c r="F54" s="618" t="str">
        <f>IF(OR(E54&gt;=0.2,E54&lt;=-0.2),"超过20%","")</f>
        <v/>
      </c>
      <c r="G54" s="617">
        <f>IF(G49&lt;I49,I49/G49-1,G49/I49-1)</f>
        <v>7.723867285051722E-2</v>
      </c>
      <c r="H54" s="618" t="str">
        <f>IF(OR(G54&gt;=0.2,G54&lt;=-0.2),"超过20%","")</f>
        <v/>
      </c>
      <c r="I54" s="617">
        <f>IF(I49&lt;E49,E49/I49-1,I49/E49-1)</f>
        <v>4.2276132714948345E-2</v>
      </c>
      <c r="J54" s="618" t="str">
        <f>IF(OR(I54&gt;=0.2,I54&lt;=-0.2),"超过20%","")</f>
        <v/>
      </c>
      <c r="K54" s="3214"/>
      <c r="L54" s="2028"/>
      <c r="M54" s="2011"/>
      <c r="N54" s="2011"/>
      <c r="O54" s="2024"/>
      <c r="P54" s="2024"/>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f>IF(E48&lt;G48,G48/E48-1,E48/G48-1)</f>
        <v>1.8054162487462388E-2</v>
      </c>
      <c r="F55" s="618" t="str">
        <f>IF(OR(E55&gt;=0.3,E55&lt;=-0.3),"超过30%","")</f>
        <v/>
      </c>
      <c r="G55" s="617">
        <f>IF(G48&lt;I48,I48/G48-1,G48/I48-1)</f>
        <v>3.4658511722731822E-2</v>
      </c>
      <c r="H55" s="618" t="str">
        <f>IF(OR(G55&gt;=0.3,G55&lt;=-0.3),"超过30%","")</f>
        <v/>
      </c>
      <c r="I55" s="617">
        <f>IF(I48&lt;E48,E48/I48-1,I48/E48-1)</f>
        <v>1.6309887869520923E-2</v>
      </c>
      <c r="J55" s="618" t="str">
        <f>IF(OR(I55&gt;=0.3,I55&lt;=-0.3),"超过30%","")</f>
        <v/>
      </c>
      <c r="K55" s="3215"/>
      <c r="L55" s="2031"/>
      <c r="M55" s="2011"/>
      <c r="N55" s="2011"/>
      <c r="O55" s="2025"/>
      <c r="P55" s="2025"/>
      <c r="Q55" s="2025"/>
      <c r="R55" s="2025"/>
      <c r="S55" s="2025"/>
      <c r="T55" s="2025"/>
      <c r="U55" s="2025"/>
      <c r="V55" s="2025"/>
      <c r="W55" s="2025"/>
      <c r="X55" s="2025"/>
      <c r="Y55" s="2025"/>
      <c r="Z55" s="2025"/>
      <c r="AA55" s="2025"/>
      <c r="AB55" s="2025"/>
      <c r="AC55" s="2025"/>
    </row>
    <row r="56" spans="1:29" s="1297"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1715</v>
      </c>
      <c r="D57" s="2104" t="s">
        <v>2280</v>
      </c>
      <c r="E57" s="622" t="s">
        <v>556</v>
      </c>
      <c r="F57" s="623" t="s">
        <v>557</v>
      </c>
      <c r="G57" s="3486" t="s">
        <v>2268</v>
      </c>
      <c r="H57" s="3487"/>
      <c r="I57" s="1491" t="s">
        <v>1713</v>
      </c>
      <c r="J57" s="1491" t="str">
        <f>项目基本情况!F41</f>
        <v>石家庄市</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8" customFormat="1" ht="12.75">
      <c r="A58" s="624" t="s">
        <v>558</v>
      </c>
      <c r="B58" s="625">
        <f>C50</f>
        <v>5829</v>
      </c>
      <c r="C58" s="626">
        <v>1</v>
      </c>
      <c r="D58" s="2105">
        <v>1</v>
      </c>
      <c r="E58" s="626">
        <f>'数据-汇总表'!E8+'数据-汇总表'!E9</f>
        <v>114482.58</v>
      </c>
      <c r="F58" s="627">
        <f t="shared" ref="F58:F67" si="15">ROUND(B58*E58/10000,0)</f>
        <v>66732</v>
      </c>
      <c r="G58" s="3488"/>
      <c r="H58" s="3489"/>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559</v>
      </c>
      <c r="B59" s="629">
        <f>ROUND($C$50*C59*D59,0)</f>
        <v>0</v>
      </c>
      <c r="C59" s="371">
        <f t="shared" ref="C59:C67" si="16">IF($C$57="北京市系数",I59,J59)</f>
        <v>0</v>
      </c>
      <c r="D59" s="2106">
        <v>0.25</v>
      </c>
      <c r="E59" s="630">
        <v>0</v>
      </c>
      <c r="F59" s="627">
        <f t="shared" si="15"/>
        <v>0</v>
      </c>
      <c r="G59" s="3490" t="s">
        <v>2269</v>
      </c>
      <c r="H59" s="1859">
        <f>项目基本情况!B43</f>
        <v>0</v>
      </c>
      <c r="I59" s="1492">
        <f>SUMIF(修正!$A$45:$A$56,H59,修正!B45:B56)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560</v>
      </c>
      <c r="B60" s="629">
        <f t="shared" ref="B60:B67" si="17">ROUND($C$50*C60*D60,0)</f>
        <v>0</v>
      </c>
      <c r="C60" s="371">
        <f t="shared" si="16"/>
        <v>0</v>
      </c>
      <c r="D60" s="2106">
        <v>0.25</v>
      </c>
      <c r="E60" s="630">
        <v>0</v>
      </c>
      <c r="F60" s="627">
        <f t="shared" si="15"/>
        <v>0</v>
      </c>
      <c r="G60" s="3490"/>
      <c r="H60" s="1859">
        <f>项目基本情况!B43</f>
        <v>0</v>
      </c>
      <c r="I60" s="1492">
        <f>SUMIF(修正!$A$45:$A$56,H60,修正!C45:C56)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561</v>
      </c>
      <c r="B61" s="629">
        <f t="shared" si="17"/>
        <v>0</v>
      </c>
      <c r="C61" s="371">
        <f t="shared" si="16"/>
        <v>0</v>
      </c>
      <c r="D61" s="2106">
        <v>0.25</v>
      </c>
      <c r="E61" s="630">
        <v>0</v>
      </c>
      <c r="F61" s="627">
        <f t="shared" si="15"/>
        <v>0</v>
      </c>
      <c r="G61" s="3490"/>
      <c r="H61" s="1859">
        <f>项目基本情况!B43</f>
        <v>0</v>
      </c>
      <c r="I61" s="1492">
        <f>SUMIF(修正!$A$45:$A$56,H61,修正!D45:D56)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2.75">
      <c r="A62" s="628" t="s">
        <v>562</v>
      </c>
      <c r="B62" s="629">
        <f t="shared" si="17"/>
        <v>0</v>
      </c>
      <c r="C62" s="371">
        <f t="shared" si="16"/>
        <v>0</v>
      </c>
      <c r="D62" s="2106">
        <v>0.25</v>
      </c>
      <c r="E62" s="630">
        <v>0</v>
      </c>
      <c r="F62" s="627">
        <f t="shared" si="15"/>
        <v>0</v>
      </c>
      <c r="G62" s="3490"/>
      <c r="H62" s="1859">
        <f>项目基本情况!B43</f>
        <v>0</v>
      </c>
      <c r="I62" s="1492">
        <f>SUMIF(修正!$A$45:$A$56,H62,修正!E45:E56)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2.75">
      <c r="A63" s="2208" t="s">
        <v>2315</v>
      </c>
      <c r="B63" s="629">
        <f t="shared" si="17"/>
        <v>0</v>
      </c>
      <c r="C63" s="371">
        <f t="shared" si="16"/>
        <v>0</v>
      </c>
      <c r="D63" s="2106">
        <v>0.25</v>
      </c>
      <c r="E63" s="632">
        <f>'数据-汇总表'!E11</f>
        <v>0</v>
      </c>
      <c r="F63" s="627">
        <f t="shared" si="15"/>
        <v>0</v>
      </c>
      <c r="G63" s="1856" t="s">
        <v>2270</v>
      </c>
      <c r="H63" s="1859">
        <f>项目基本情况!C43</f>
        <v>0</v>
      </c>
      <c r="I63" s="1492">
        <f>SUMIF(修正!$A$45:$A$56,H63,修正!F45:F56)</f>
        <v>0</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8" customFormat="1" ht="12.75">
      <c r="A64" s="628" t="s">
        <v>563</v>
      </c>
      <c r="B64" s="629">
        <f t="shared" si="17"/>
        <v>0</v>
      </c>
      <c r="C64" s="371">
        <f t="shared" si="16"/>
        <v>0</v>
      </c>
      <c r="D64" s="2106">
        <v>0.25</v>
      </c>
      <c r="E64" s="632">
        <f>'数据-汇总表'!E12</f>
        <v>11488</v>
      </c>
      <c r="F64" s="627">
        <f t="shared" si="15"/>
        <v>0</v>
      </c>
      <c r="G64" s="1857" t="s">
        <v>1668</v>
      </c>
      <c r="H64" s="1855">
        <f>IF(G64="商业",项目基本情况!B43,IF(G64="办公",项目基本情况!C43,IF(G64="住宅",项目基本情况!D43,项目基本情况!E43)))</f>
        <v>0</v>
      </c>
      <c r="I64" s="1492">
        <f>SUMIF(修正!$A$45:$A$56,H64,修正!G45:G56)</f>
        <v>0</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8" customFormat="1" ht="12.75">
      <c r="A65" s="628" t="s">
        <v>564</v>
      </c>
      <c r="B65" s="629">
        <f t="shared" si="17"/>
        <v>0</v>
      </c>
      <c r="C65" s="371">
        <f t="shared" si="16"/>
        <v>0</v>
      </c>
      <c r="D65" s="2106">
        <v>0.25</v>
      </c>
      <c r="E65" s="632">
        <f>'数据-汇总表'!E13</f>
        <v>27101</v>
      </c>
      <c r="F65" s="627">
        <f t="shared" si="15"/>
        <v>0</v>
      </c>
      <c r="G65" s="1857" t="s">
        <v>914</v>
      </c>
      <c r="H65" s="1855">
        <f>IF(G65="商业",项目基本情况!B43,IF(G65="办公",项目基本情况!C43,IF(G65="住宅",项目基本情况!D43,项目基本情况!E43)))</f>
        <v>0</v>
      </c>
      <c r="I65" s="1492">
        <f>SUMIF(修正!$A$45:$A$56,H65,修正!H45:H56)</f>
        <v>0</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8" customFormat="1" ht="12.75">
      <c r="A66" s="628" t="s">
        <v>565</v>
      </c>
      <c r="B66" s="629">
        <f t="shared" si="17"/>
        <v>0</v>
      </c>
      <c r="C66" s="371">
        <f t="shared" si="16"/>
        <v>0</v>
      </c>
      <c r="D66" s="2106">
        <v>0.25</v>
      </c>
      <c r="E66" s="632">
        <f>'数据-汇总表'!E14</f>
        <v>0</v>
      </c>
      <c r="F66" s="627">
        <f t="shared" si="15"/>
        <v>0</v>
      </c>
      <c r="G66" s="1856" t="s">
        <v>2269</v>
      </c>
      <c r="H66" s="1859">
        <f>项目基本情况!B43</f>
        <v>0</v>
      </c>
      <c r="I66" s="1492">
        <f>SUMIF(修正!$A$45:$A$56,H66,修正!H45:H56)</f>
        <v>0</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8" customFormat="1" ht="13.5" thickBot="1">
      <c r="A67" s="628" t="s">
        <v>566</v>
      </c>
      <c r="B67" s="629">
        <f t="shared" si="17"/>
        <v>0</v>
      </c>
      <c r="C67" s="371">
        <f t="shared" si="16"/>
        <v>0</v>
      </c>
      <c r="D67" s="2106">
        <v>0.25</v>
      </c>
      <c r="E67" s="632">
        <f>'数据-汇总表'!E15</f>
        <v>0</v>
      </c>
      <c r="F67" s="627">
        <f t="shared" si="15"/>
        <v>0</v>
      </c>
      <c r="G67" s="1858" t="s">
        <v>2270</v>
      </c>
      <c r="H67" s="1860">
        <f>项目基本情况!C43</f>
        <v>0</v>
      </c>
      <c r="I67" s="1492">
        <f>SUMIF(修正!$A$45:$A$56,H67,修正!H45:H56)</f>
        <v>0</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8" customFormat="1" ht="13.5" thickBot="1">
      <c r="A68" s="633" t="s">
        <v>567</v>
      </c>
      <c r="B68" s="634" t="s">
        <v>17</v>
      </c>
      <c r="C68" s="634" t="s">
        <v>18</v>
      </c>
      <c r="D68" s="634" t="s">
        <v>2281</v>
      </c>
      <c r="E68" s="634">
        <f>IF(B48="楼面地价",SUM(E58:E67),'数据-汇总表'!D3)</f>
        <v>153071.58000000002</v>
      </c>
      <c r="F68" s="635">
        <f>IF(B48="楼面地价",SUM(F58:F67),ROUND(C50*E68/10000,0))</f>
        <v>66732</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2021-2-1</v>
      </c>
      <c r="D70" s="2513">
        <f>EDATE(C70,-3)</f>
        <v>44136</v>
      </c>
      <c r="E70" s="2513">
        <f t="shared" ref="E70:N70" si="18">EDATE(D70,-3)</f>
        <v>44044</v>
      </c>
      <c r="F70" s="2513">
        <f t="shared" si="18"/>
        <v>43952</v>
      </c>
      <c r="G70" s="2513">
        <f t="shared" si="18"/>
        <v>43862</v>
      </c>
      <c r="H70" s="2513">
        <f t="shared" si="18"/>
        <v>43770</v>
      </c>
      <c r="I70" s="2513">
        <f t="shared" si="18"/>
        <v>43678</v>
      </c>
      <c r="J70" s="2513">
        <f t="shared" si="18"/>
        <v>43586</v>
      </c>
      <c r="K70" s="2513">
        <f t="shared" si="18"/>
        <v>43497</v>
      </c>
      <c r="L70" s="2513">
        <f t="shared" si="18"/>
        <v>43405</v>
      </c>
      <c r="M70" s="2513">
        <f t="shared" si="18"/>
        <v>43313</v>
      </c>
      <c r="N70" s="2513">
        <f t="shared" si="18"/>
        <v>43221</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9" customFormat="1" ht="15">
      <c r="A72" s="2418" t="s">
        <v>2513</v>
      </c>
      <c r="B72" s="2419"/>
      <c r="C72" s="2510"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202" customFormat="1" ht="27" customHeight="1">
      <c r="A73" s="2520" t="s">
        <v>2627</v>
      </c>
      <c r="B73" s="472" t="str">
        <f>"北京市平均增长率"&amp;TEXT(SUMIF(基准地价!N21:N25,A73,基准地价!P21:P25),"0.00%")</f>
        <v>北京市平均增长率1.75%</v>
      </c>
      <c r="C73" s="882">
        <v>100</v>
      </c>
      <c r="D73" s="721">
        <v>100</v>
      </c>
      <c r="E73" s="721">
        <v>99.5</v>
      </c>
      <c r="F73" s="721">
        <v>99.5</v>
      </c>
      <c r="G73" s="721">
        <v>99.5</v>
      </c>
      <c r="H73" s="721">
        <v>99</v>
      </c>
      <c r="I73" s="721"/>
      <c r="J73" s="721"/>
      <c r="K73" s="721"/>
      <c r="L73" s="721"/>
      <c r="M73" s="2508"/>
      <c r="N73" s="2509"/>
      <c r="O73" s="2040"/>
      <c r="P73" s="2036"/>
      <c r="Q73" s="1902"/>
      <c r="R73" s="1902"/>
      <c r="S73" s="1902"/>
      <c r="T73" s="1902"/>
      <c r="U73" s="1902"/>
      <c r="V73" s="1902"/>
      <c r="W73" s="1902"/>
      <c r="X73" s="1902"/>
      <c r="Y73" s="1902"/>
      <c r="Z73" s="1902"/>
      <c r="AA73" s="1902"/>
      <c r="AB73" s="1902"/>
      <c r="AC73" s="1902"/>
    </row>
    <row r="74" spans="1:29" s="1202"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2"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2"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c r="A77" s="655" t="s">
        <v>571</v>
      </c>
      <c r="B77" s="656" t="s">
        <v>528</v>
      </c>
      <c r="C77" s="3275" t="s">
        <v>3027</v>
      </c>
      <c r="D77" s="591"/>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1（含）-2</v>
      </c>
      <c r="D81" s="673" t="str">
        <f t="shared" ref="D81:L81" si="20">D82&amp;"（含）"&amp;"-"&amp;E82</f>
        <v>2（含）-3</v>
      </c>
      <c r="E81" s="673" t="str">
        <f t="shared" si="20"/>
        <v>3（含）-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1</v>
      </c>
      <c r="D82" s="534">
        <v>2</v>
      </c>
      <c r="E82" s="534">
        <v>3</v>
      </c>
      <c r="F82" s="534"/>
      <c r="G82" s="534"/>
      <c r="H82" s="534"/>
      <c r="I82" s="534"/>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98</v>
      </c>
      <c r="E83" s="670">
        <f t="shared" ref="E83:M83" si="21">IF($B$48="单位面积地价",D83+$K13,D83-$K13)</f>
        <v>96</v>
      </c>
      <c r="F83" s="670">
        <f t="shared" si="21"/>
        <v>94</v>
      </c>
      <c r="G83" s="670">
        <f t="shared" si="21"/>
        <v>92</v>
      </c>
      <c r="H83" s="670">
        <f t="shared" si="21"/>
        <v>90</v>
      </c>
      <c r="I83" s="670">
        <f t="shared" si="21"/>
        <v>88</v>
      </c>
      <c r="J83" s="670">
        <f t="shared" si="21"/>
        <v>86</v>
      </c>
      <c r="K83" s="670">
        <f t="shared" si="21"/>
        <v>84</v>
      </c>
      <c r="L83" s="670">
        <f t="shared" si="21"/>
        <v>82</v>
      </c>
      <c r="M83" s="670">
        <f t="shared" si="21"/>
        <v>80</v>
      </c>
      <c r="N83" s="2044"/>
      <c r="O83" s="2044"/>
      <c r="P83" s="2043"/>
      <c r="Q83" s="2036"/>
      <c r="R83" s="2024"/>
      <c r="S83" s="2024"/>
      <c r="T83" s="2024"/>
      <c r="U83" s="2024"/>
      <c r="V83" s="2024"/>
      <c r="W83" s="2024"/>
      <c r="X83" s="2024"/>
      <c r="Y83" s="2024"/>
      <c r="Z83" s="2024"/>
      <c r="AA83" s="2024"/>
      <c r="AB83" s="2024"/>
      <c r="AC83" s="2024"/>
    </row>
    <row r="84" spans="1:29" s="1292" customFormat="1" ht="29.25" thickTop="1">
      <c r="A84" s="678"/>
      <c r="B84" s="664" t="str">
        <f>B14</f>
        <v>保障性住房（配建设施）占比</v>
      </c>
      <c r="C84" s="3299">
        <v>0.1</v>
      </c>
      <c r="D84" s="3300">
        <v>0.05</v>
      </c>
      <c r="E84" s="1326"/>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v>100</v>
      </c>
      <c r="D85" s="662">
        <v>105</v>
      </c>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2" customFormat="1" ht="15.75" thickTop="1">
      <c r="A86" s="678"/>
      <c r="B86" s="664">
        <f>B15</f>
        <v>111</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2"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2" customFormat="1" ht="15.75" thickTop="1">
      <c r="A88" s="678"/>
      <c r="B88" s="672">
        <f>B16</f>
        <v>111</v>
      </c>
      <c r="C88" s="652"/>
      <c r="D88" s="652"/>
      <c r="E88" s="652"/>
      <c r="F88" s="652"/>
      <c r="G88" s="652"/>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2" customFormat="1" ht="15.75" thickBot="1">
      <c r="A89" s="689"/>
      <c r="B89" s="690"/>
      <c r="C89" s="691"/>
      <c r="D89" s="691"/>
      <c r="E89" s="691"/>
      <c r="F89" s="691"/>
      <c r="G89" s="691"/>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98</v>
      </c>
      <c r="E97" s="670">
        <f>D97-$K23</f>
        <v>96</v>
      </c>
      <c r="F97" s="670">
        <f>E97-$K23</f>
        <v>94</v>
      </c>
      <c r="G97" s="670">
        <f>F97-$K23</f>
        <v>92</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2" customFormat="1" ht="15.75" thickBot="1">
      <c r="A99" s="700"/>
      <c r="B99" s="669"/>
      <c r="C99" s="703">
        <v>100</v>
      </c>
      <c r="D99" s="670">
        <f>C99-$K25</f>
        <v>99</v>
      </c>
      <c r="E99" s="670">
        <f>D99-$K25</f>
        <v>98</v>
      </c>
      <c r="F99" s="670">
        <f>E99-$K25</f>
        <v>97</v>
      </c>
      <c r="G99" s="670">
        <f>F99-$K25</f>
        <v>96</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2" customFormat="1" ht="15.75" thickTop="1">
      <c r="A102" s="678"/>
      <c r="B102" s="1807" t="s">
        <v>2529</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Top="1">
      <c r="A104" s="678"/>
      <c r="B104" s="2438" t="s">
        <v>2531</v>
      </c>
      <c r="C104" s="2439" t="s">
        <v>2532</v>
      </c>
      <c r="D104" s="2439" t="s">
        <v>2533</v>
      </c>
      <c r="E104" s="2439" t="s">
        <v>2534</v>
      </c>
      <c r="F104" s="2439" t="s">
        <v>2535</v>
      </c>
      <c r="G104" s="2439" t="s">
        <v>2536</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2" customFormat="1" ht="15.75" thickBot="1">
      <c r="A105" s="678"/>
      <c r="B105" s="672"/>
      <c r="C105" s="670">
        <v>100</v>
      </c>
      <c r="D105" s="670">
        <f>C105-$K31</f>
        <v>99</v>
      </c>
      <c r="E105" s="670">
        <f>D105-$K31</f>
        <v>98</v>
      </c>
      <c r="F105" s="670">
        <f>E105-$K31</f>
        <v>97</v>
      </c>
      <c r="G105" s="670">
        <f>F105-$K31</f>
        <v>96</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679"/>
      <c r="D108" s="679"/>
      <c r="E108" s="679"/>
      <c r="F108" s="679"/>
      <c r="G108" s="679"/>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289" t="s">
        <v>3046</v>
      </c>
      <c r="D110" s="3289" t="s">
        <v>3047</v>
      </c>
      <c r="E110" s="3289" t="s">
        <v>3048</v>
      </c>
      <c r="F110" s="3289" t="s">
        <v>3049</v>
      </c>
      <c r="G110" s="709"/>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2"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2"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ht="28.5">
      <c r="A118" s="655" t="s">
        <v>545</v>
      </c>
      <c r="B118" s="656" t="s">
        <v>587</v>
      </c>
      <c r="C118" s="695" t="str">
        <f t="shared" ref="C118:L118" si="25">C119&amp;"(含)"&amp;"-"&amp;D119</f>
        <v>0(含)-10000</v>
      </c>
      <c r="D118" s="695" t="str">
        <f t="shared" si="25"/>
        <v>10000(含)-20000</v>
      </c>
      <c r="E118" s="695" t="str">
        <f t="shared" si="25"/>
        <v>20000(含)-50000</v>
      </c>
      <c r="F118" s="695" t="str">
        <f t="shared" si="25"/>
        <v>50000(含)-100000</v>
      </c>
      <c r="G118" s="695" t="str">
        <f t="shared" si="25"/>
        <v>100000(含)-200000</v>
      </c>
      <c r="H118" s="695" t="str">
        <f t="shared" si="25"/>
        <v>200000(含)-</v>
      </c>
      <c r="I118" s="695"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v>
      </c>
      <c r="E119" s="721">
        <v>20000</v>
      </c>
      <c r="F119" s="721">
        <v>50000</v>
      </c>
      <c r="G119" s="721">
        <v>100000</v>
      </c>
      <c r="H119" s="721">
        <v>200000</v>
      </c>
      <c r="I119" s="721"/>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v>100</v>
      </c>
      <c r="D120" s="717">
        <f>C120+1</f>
        <v>101</v>
      </c>
      <c r="E120" s="717">
        <f t="shared" ref="E120:F120" si="26">D120+1</f>
        <v>102</v>
      </c>
      <c r="F120" s="717">
        <f t="shared" si="26"/>
        <v>103</v>
      </c>
      <c r="G120" s="717">
        <v>104</v>
      </c>
      <c r="H120" s="717">
        <v>105</v>
      </c>
      <c r="I120" s="717"/>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289" t="s">
        <v>3032</v>
      </c>
      <c r="D121" s="709"/>
      <c r="E121" s="709"/>
      <c r="F121" s="709"/>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7">C122-$K41</f>
        <v>99</v>
      </c>
      <c r="E122" s="670">
        <f t="shared" si="27"/>
        <v>98</v>
      </c>
      <c r="F122" s="670">
        <f t="shared" si="27"/>
        <v>97</v>
      </c>
      <c r="G122" s="670">
        <f t="shared" si="27"/>
        <v>96</v>
      </c>
      <c r="H122" s="670">
        <f t="shared" si="27"/>
        <v>95</v>
      </c>
      <c r="I122" s="670">
        <f t="shared" si="27"/>
        <v>94</v>
      </c>
      <c r="J122" s="670">
        <f t="shared" si="27"/>
        <v>93</v>
      </c>
      <c r="K122" s="670">
        <f t="shared" si="27"/>
        <v>92</v>
      </c>
      <c r="L122" s="670">
        <f t="shared" si="27"/>
        <v>91</v>
      </c>
      <c r="M122" s="671">
        <f t="shared" si="27"/>
        <v>90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8">C124-$K42</f>
        <v>100</v>
      </c>
      <c r="E124" s="670">
        <f t="shared" si="28"/>
        <v>100</v>
      </c>
      <c r="F124" s="670">
        <f t="shared" si="28"/>
        <v>100</v>
      </c>
      <c r="G124" s="670">
        <f t="shared" si="28"/>
        <v>100</v>
      </c>
      <c r="H124" s="670">
        <f t="shared" si="28"/>
        <v>100</v>
      </c>
      <c r="I124" s="670">
        <f t="shared" si="28"/>
        <v>100</v>
      </c>
      <c r="J124" s="670">
        <f t="shared" si="28"/>
        <v>100</v>
      </c>
      <c r="K124" s="670">
        <f t="shared" si="28"/>
        <v>100</v>
      </c>
      <c r="L124" s="670">
        <f t="shared" si="28"/>
        <v>100</v>
      </c>
      <c r="M124" s="671">
        <f t="shared" si="28"/>
        <v>100</v>
      </c>
      <c r="N124" s="2044"/>
      <c r="O124" s="2044"/>
      <c r="P124" s="2043"/>
      <c r="Q124" s="2036"/>
      <c r="R124" s="2024"/>
      <c r="S124" s="2024"/>
      <c r="T124" s="2024"/>
      <c r="U124" s="2024"/>
      <c r="V124" s="2024"/>
      <c r="W124" s="2024"/>
      <c r="X124" s="2024"/>
      <c r="Y124" s="2024"/>
      <c r="Z124" s="2024"/>
      <c r="AA124" s="2024"/>
      <c r="AB124" s="2024"/>
      <c r="AC124" s="2024"/>
    </row>
    <row r="125" spans="1:29" s="1292" customFormat="1" ht="15" thickTop="1">
      <c r="A125" s="719"/>
      <c r="B125" s="1807" t="s">
        <v>2409</v>
      </c>
      <c r="C125" s="1325" t="s">
        <v>3144</v>
      </c>
      <c r="D125" s="1325" t="s">
        <v>3145</v>
      </c>
      <c r="E125" s="1325" t="s">
        <v>3146</v>
      </c>
      <c r="F125" s="1325" t="s">
        <v>3147</v>
      </c>
      <c r="G125" s="1325" t="s">
        <v>3148</v>
      </c>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2" customFormat="1" ht="15.75" thickBot="1">
      <c r="A126" s="678"/>
      <c r="B126" s="669"/>
      <c r="C126" s="670">
        <v>100</v>
      </c>
      <c r="D126" s="670">
        <f>C126-$K43</f>
        <v>99</v>
      </c>
      <c r="E126" s="670">
        <f t="shared" ref="E126:M126" si="29">D126-$K43</f>
        <v>98</v>
      </c>
      <c r="F126" s="670">
        <f t="shared" si="29"/>
        <v>97</v>
      </c>
      <c r="G126" s="670">
        <f t="shared" si="29"/>
        <v>96</v>
      </c>
      <c r="H126" s="670">
        <f t="shared" si="29"/>
        <v>95</v>
      </c>
      <c r="I126" s="670">
        <f t="shared" si="29"/>
        <v>94</v>
      </c>
      <c r="J126" s="670">
        <f t="shared" si="29"/>
        <v>93</v>
      </c>
      <c r="K126" s="670">
        <f t="shared" si="29"/>
        <v>92</v>
      </c>
      <c r="L126" s="670">
        <f t="shared" si="29"/>
        <v>91</v>
      </c>
      <c r="M126" s="671">
        <f t="shared" si="29"/>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3290" t="s">
        <v>3040</v>
      </c>
      <c r="D127" s="3290" t="s">
        <v>3038</v>
      </c>
      <c r="E127" s="3289" t="s">
        <v>3041</v>
      </c>
      <c r="F127" s="3289" t="s">
        <v>3042</v>
      </c>
      <c r="G127" s="3289" t="s">
        <v>3043</v>
      </c>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30">C128-$K44</f>
        <v>99</v>
      </c>
      <c r="E128" s="670">
        <f t="shared" si="30"/>
        <v>98</v>
      </c>
      <c r="F128" s="670">
        <f t="shared" si="30"/>
        <v>97</v>
      </c>
      <c r="G128" s="670">
        <f t="shared" si="30"/>
        <v>96</v>
      </c>
      <c r="H128" s="670">
        <f t="shared" si="30"/>
        <v>95</v>
      </c>
      <c r="I128" s="670">
        <f t="shared" si="30"/>
        <v>94</v>
      </c>
      <c r="J128" s="670">
        <f t="shared" si="30"/>
        <v>93</v>
      </c>
      <c r="K128" s="670">
        <f t="shared" si="30"/>
        <v>92</v>
      </c>
      <c r="L128" s="670">
        <f t="shared" si="30"/>
        <v>91</v>
      </c>
      <c r="M128" s="671">
        <f t="shared" si="30"/>
        <v>90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2"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2"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M46" sqref="M46"/>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5">
        <f>MATCH(B1,'数据-取费表'!A6:A16,0)+5</f>
        <v>10</v>
      </c>
      <c r="L1" s="289"/>
      <c r="M1" s="289"/>
      <c r="N1" s="289"/>
      <c r="O1" s="289"/>
      <c r="P1" s="289"/>
      <c r="Q1" s="289"/>
      <c r="R1" s="289"/>
      <c r="S1" s="289"/>
      <c r="T1" s="289"/>
      <c r="U1" s="289"/>
      <c r="V1" s="289"/>
      <c r="W1" s="289"/>
      <c r="X1" s="289"/>
      <c r="Y1" s="289"/>
      <c r="Z1" s="289"/>
    </row>
    <row r="2" spans="1:31" s="1921" customFormat="1" ht="18" customHeight="1">
      <c r="A2" s="1980" t="s">
        <v>461</v>
      </c>
      <c r="B2" s="1984">
        <f ca="1">C36</f>
        <v>74528</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1675</v>
      </c>
      <c r="B3" s="1986">
        <f ca="1">ROUND(B2*10000/IF(B1="",'数据-汇总表'!E3,INDIRECT("'数据-取费表'!K"&amp;$K$1)),0)</f>
        <v>4745</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31" s="1921" customFormat="1" ht="18" customHeight="1">
      <c r="A4" s="419" t="s">
        <v>462</v>
      </c>
      <c r="B4" s="420">
        <f ca="1">ROUND(B2*10000/IF(B1="",'数据-汇总表'!D3,INDIRECT("'数据-取费表'!R"&amp;$K$1)),0)</f>
        <v>14919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1" customFormat="1" ht="18" customHeight="1" thickBot="1">
      <c r="A5" s="422"/>
      <c r="B5" s="423">
        <f ca="1">ROUND(B2/(IF(B1="",'数据-汇总表'!D3,INDIRECT("'数据-取费表'!R"&amp;$K$1))/666.67),0)</f>
        <v>995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0" customFormat="1" ht="16.5" customHeight="1">
      <c r="A6" s="2542" t="s">
        <v>1833</v>
      </c>
      <c r="B6" s="2543"/>
      <c r="C6" s="2544">
        <f ca="1">SUM(C10:K10)</f>
        <v>175079</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464</v>
      </c>
      <c r="B7" s="2547" t="s">
        <v>465</v>
      </c>
      <c r="C7" s="429" t="s">
        <v>3022</v>
      </c>
      <c r="D7" s="429" t="s">
        <v>3050</v>
      </c>
      <c r="E7" s="429" t="s">
        <v>3067</v>
      </c>
      <c r="F7" s="429" t="s">
        <v>3134</v>
      </c>
      <c r="G7" s="429"/>
      <c r="H7" s="429"/>
      <c r="I7" s="429"/>
      <c r="J7" s="429"/>
      <c r="K7" s="430"/>
      <c r="AA7" s="1991"/>
      <c r="AB7" s="1991"/>
      <c r="AC7" s="1991"/>
      <c r="AD7" s="1991"/>
      <c r="AE7" s="1991"/>
    </row>
    <row r="8" spans="1:31" s="1994" customFormat="1" ht="13.5" customHeight="1">
      <c r="A8" s="792" t="s">
        <v>1836</v>
      </c>
      <c r="B8" s="258" t="s">
        <v>466</v>
      </c>
      <c r="C8" s="2548">
        <f>'不动产比较法-住宅'!C48</f>
        <v>16617</v>
      </c>
      <c r="D8" s="2548">
        <f ca="1">'不动产收益法 (车库)'!C43</f>
        <v>1255</v>
      </c>
      <c r="E8" s="2548">
        <f ca="1">不动产收益法!B3</f>
        <v>1719</v>
      </c>
      <c r="F8" s="2548">
        <v>0</v>
      </c>
      <c r="G8" s="2548"/>
      <c r="H8" s="2548"/>
      <c r="I8" s="2548"/>
      <c r="J8" s="2548"/>
      <c r="K8" s="2549"/>
      <c r="AA8" s="1993"/>
      <c r="AB8" s="1993"/>
      <c r="AC8" s="1993"/>
      <c r="AD8" s="1993"/>
      <c r="AE8" s="1993"/>
    </row>
    <row r="9" spans="1:31" s="1994" customFormat="1" ht="13.5" customHeight="1">
      <c r="A9" s="792" t="s">
        <v>1837</v>
      </c>
      <c r="B9" s="258" t="s">
        <v>467</v>
      </c>
      <c r="C9" s="434">
        <f>SUMIF('数据-汇总表'!$C19:$C33,'剩余法-待开发'!C7,'数据-汇总表'!$E19:$E33)</f>
        <v>102126.58</v>
      </c>
      <c r="D9" s="434">
        <f>SUMIF('数据-汇总表'!$C19:$C33,'剩余法-待开发'!D7,'数据-汇总表'!$E19:$E33)</f>
        <v>27101</v>
      </c>
      <c r="E9" s="434">
        <f>SUMIF('数据-汇总表'!$C19:$C33,'剩余法-待开发'!E7,'数据-汇总表'!$E19:$E33)</f>
        <v>11488</v>
      </c>
      <c r="F9" s="434">
        <f>SUMIF('数据-汇总表'!$C19:$C33,'剩余法-待开发'!F7,'数据-汇总表'!$E19:$E33)</f>
        <v>12356</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M9" s="1994">
        <f>D9/1011</f>
        <v>26.806132542037588</v>
      </c>
      <c r="O9" s="1994">
        <v>35</v>
      </c>
      <c r="P9" s="1994">
        <f>D9/O9</f>
        <v>774.31428571428569</v>
      </c>
      <c r="AA9" s="1993"/>
      <c r="AB9" s="1993"/>
      <c r="AC9" s="1993"/>
      <c r="AD9" s="1993"/>
      <c r="AE9" s="1993"/>
    </row>
    <row r="10" spans="1:31" s="1994" customFormat="1" ht="13.5" customHeight="1" thickBot="1">
      <c r="A10" s="2550" t="s">
        <v>1838</v>
      </c>
      <c r="B10" s="2536" t="s">
        <v>468</v>
      </c>
      <c r="C10" s="2739">
        <f>'不动产比较法-住宅'!B2</f>
        <v>169704</v>
      </c>
      <c r="D10" s="2739">
        <f ca="1">'不动产收益法 (车库)'!C40</f>
        <v>3400</v>
      </c>
      <c r="E10" s="2739">
        <f ca="1">不动产收益法!B2</f>
        <v>1975</v>
      </c>
      <c r="F10" s="2551">
        <v>0</v>
      </c>
      <c r="G10" s="2551"/>
      <c r="H10" s="2551"/>
      <c r="I10" s="2551"/>
      <c r="J10" s="2551"/>
      <c r="K10" s="2552"/>
      <c r="P10" s="1994">
        <v>770</v>
      </c>
      <c r="AA10" s="1993"/>
      <c r="AB10" s="1993"/>
      <c r="AC10" s="1993"/>
      <c r="AD10" s="1993"/>
      <c r="AE10" s="1993"/>
    </row>
    <row r="11" spans="1:31" s="1990" customFormat="1" ht="16.5" customHeight="1">
      <c r="A11" s="2553" t="s">
        <v>1834</v>
      </c>
      <c r="B11" s="2543"/>
      <c r="C11" s="2543"/>
      <c r="D11" s="2543"/>
      <c r="E11" s="2543"/>
      <c r="F11" s="2543"/>
      <c r="G11" s="2543"/>
      <c r="H11" s="2543"/>
      <c r="I11" s="2543"/>
      <c r="J11" s="2543"/>
      <c r="K11" s="2545"/>
      <c r="L11" s="3194"/>
      <c r="M11" s="3194"/>
      <c r="N11" s="3194"/>
      <c r="O11" s="3194"/>
      <c r="P11" s="3194">
        <v>12</v>
      </c>
      <c r="Q11" s="3194"/>
      <c r="R11" s="3194"/>
      <c r="S11" s="3194"/>
      <c r="T11" s="3194"/>
      <c r="U11" s="3194"/>
      <c r="V11" s="3194"/>
      <c r="W11" s="3194"/>
      <c r="X11" s="3194"/>
      <c r="Y11" s="3194"/>
      <c r="Z11" s="3194"/>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5"/>
      <c r="M12" s="3195"/>
      <c r="N12" s="3195"/>
      <c r="O12" s="3195"/>
      <c r="P12" s="3195">
        <f>P10*P11</f>
        <v>9240</v>
      </c>
      <c r="Q12" s="3195"/>
      <c r="R12" s="3195"/>
      <c r="S12" s="3195"/>
      <c r="T12" s="3195"/>
      <c r="U12" s="3195"/>
      <c r="V12" s="3195"/>
      <c r="W12" s="3195"/>
      <c r="X12" s="3195"/>
      <c r="Y12" s="3195"/>
      <c r="Z12" s="3195"/>
    </row>
    <row r="13" spans="1:31" s="1995" customFormat="1" ht="13.5" customHeight="1">
      <c r="A13" s="2556" t="s">
        <v>1839</v>
      </c>
      <c r="B13" s="2557" t="s">
        <v>473</v>
      </c>
      <c r="C13" s="443">
        <f ca="1">IF(B1="",'数据-取费表'!P16,INDIRECT("'数据-取费表'!p"&amp;$K$1)+INDIRECT("'数据-取费表'!t"&amp;$K$1))</f>
        <v>48233</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1840</v>
      </c>
      <c r="B14" s="2557" t="s">
        <v>474</v>
      </c>
      <c r="C14" s="53">
        <f ca="1">ROUND(C13*F14,0)</f>
        <v>1447</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1841</v>
      </c>
      <c r="B15" s="2557" t="s">
        <v>476</v>
      </c>
      <c r="C15" s="53">
        <f ca="1">ROUND(IF(B1="",SUMIF('数据-取费表'!C:C,"住宅",'数据-取费表'!P:P)*F15,IF(INDIRECT("'数据-取费表'!c"&amp;$K$1)="住宅",INDIRECT("'数据-取费表'!P"&amp;$K$1)*F15,0)),0)</f>
        <v>1158</v>
      </c>
      <c r="D15" s="2558"/>
      <c r="E15" s="2559"/>
      <c r="F15" s="2561">
        <f>'数据-取费表'!B34</f>
        <v>0.03</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1842</v>
      </c>
      <c r="B16" s="2557" t="s">
        <v>478</v>
      </c>
      <c r="C16" s="53">
        <f ca="1">ROUND(D16*E16/10000,0)</f>
        <v>3141</v>
      </c>
      <c r="D16" s="2558">
        <f ca="1">IF(B1="",'数据-汇总表'!E3,INDIRECT("'数据-取费表'!K"&amp;$K$1)+INDIRECT("'数据-取费表'!S"&amp;$K$1))</f>
        <v>157059.36000000002</v>
      </c>
      <c r="E16" s="53">
        <f>'数据-取费表'!B35</f>
        <v>200</v>
      </c>
      <c r="F16" s="2561"/>
      <c r="G16" s="2526"/>
      <c r="H16" s="2527"/>
      <c r="I16" s="2527"/>
      <c r="J16" s="2527"/>
      <c r="K16" s="2528"/>
      <c r="AA16" s="1995"/>
      <c r="AB16" s="1995"/>
      <c r="AC16" s="1995"/>
      <c r="AD16" s="1995"/>
      <c r="AE16" s="1995"/>
    </row>
    <row r="17" spans="1:26" s="1995" customFormat="1" ht="13.5" customHeight="1">
      <c r="A17" s="2556" t="s">
        <v>1843</v>
      </c>
      <c r="B17" s="2557" t="s">
        <v>479</v>
      </c>
      <c r="C17" s="2562">
        <f ca="1">ROUND(C13*F17,0)</f>
        <v>723</v>
      </c>
      <c r="D17" s="468"/>
      <c r="E17" s="2562"/>
      <c r="F17" s="2563">
        <f>'数据-取费表'!B36</f>
        <v>1.4999999999999999E-2</v>
      </c>
      <c r="G17" s="258" t="s">
        <v>480</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1844</v>
      </c>
      <c r="B18" s="2565" t="s">
        <v>481</v>
      </c>
      <c r="C18" s="2566">
        <f ca="1">SUM(C13:C17)</f>
        <v>54702</v>
      </c>
      <c r="D18" s="2567"/>
      <c r="E18" s="461"/>
      <c r="F18" s="461"/>
      <c r="G18" s="2530" t="s">
        <v>2413</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1845</v>
      </c>
      <c r="B19" s="2565" t="s">
        <v>482</v>
      </c>
      <c r="C19" s="2522">
        <f ca="1">ROUND(D19*E19/10000,0)</f>
        <v>0</v>
      </c>
      <c r="D19" s="2568">
        <f ca="1">D16</f>
        <v>157059.36000000002</v>
      </c>
      <c r="E19" s="2522">
        <f>'数据-取费表'!B32</f>
        <v>0</v>
      </c>
      <c r="F19" s="461"/>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1846</v>
      </c>
      <c r="B20" s="2565" t="s">
        <v>484</v>
      </c>
      <c r="C20" s="2522">
        <f ca="1">C21+C22-IF(B1="",'数据-取费表'!B29,IF(G20="已全部缴纳",C21+C22,H20))</f>
        <v>1925</v>
      </c>
      <c r="D20" s="2568"/>
      <c r="E20" s="2522"/>
      <c r="F20" s="2569"/>
      <c r="G20" s="2773" t="s">
        <v>3080</v>
      </c>
      <c r="H20" s="2524"/>
      <c r="I20" s="2525" t="s">
        <v>2631</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1847</v>
      </c>
      <c r="B21" s="2557" t="s">
        <v>485</v>
      </c>
      <c r="C21" s="53">
        <f ca="1">ROUND(D21*E21/10000,0)</f>
        <v>1465</v>
      </c>
      <c r="D21" s="2558">
        <f ca="1">IF(B1="",'数据-汇总表'!E5,IF(INDIRECT("'数据-取费表'!c"&amp;$K$1)="住宅",INDIRECT("'数据-取费表'!k"&amp;$K$1),0))</f>
        <v>114482.58</v>
      </c>
      <c r="E21" s="53">
        <f>'数据-取费表'!B27</f>
        <v>128</v>
      </c>
      <c r="F21" s="2561"/>
      <c r="G21" s="26"/>
      <c r="H21" s="51"/>
      <c r="I21" s="51"/>
      <c r="J21" s="51"/>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1848</v>
      </c>
      <c r="B22" s="2557" t="s">
        <v>486</v>
      </c>
      <c r="C22" s="53">
        <f ca="1">ROUND(D22*E22/10000,0)</f>
        <v>460</v>
      </c>
      <c r="D22" s="2558">
        <f ca="1">IF(B1="",'数据-汇总表'!E6,IF(INDIRECT("'数据-取费表'!c"&amp;$K$1)="住宅",INDIRECT("'数据-取费表'!s"&amp;$K$1),INDIRECT("'数据-取费表'!k"&amp;$K$1)+INDIRECT("'数据-取费表'!s"&amp;$K$1)))</f>
        <v>42576.780000000013</v>
      </c>
      <c r="E22" s="53">
        <f>'数据-取费表'!B28</f>
        <v>108</v>
      </c>
      <c r="F22" s="2561"/>
      <c r="G22" s="26"/>
      <c r="H22" s="51"/>
      <c r="I22" s="51"/>
      <c r="J22" s="51"/>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1849</v>
      </c>
      <c r="B23" s="2745" t="s">
        <v>2813</v>
      </c>
      <c r="C23" s="2566">
        <f ca="1">ROUND((C18+C19+C20)*F23,0)</f>
        <v>1133</v>
      </c>
      <c r="D23" s="461"/>
      <c r="E23" s="461"/>
      <c r="F23" s="2570">
        <f>'数据-取费表'!B37</f>
        <v>0.02</v>
      </c>
      <c r="G23" s="2526" t="s">
        <v>2414</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1850</v>
      </c>
      <c r="B24" s="2745" t="s">
        <v>2816</v>
      </c>
      <c r="C24" s="2566">
        <f ca="1">ROUND(C6*F24,0)</f>
        <v>3502</v>
      </c>
      <c r="D24" s="468"/>
      <c r="E24" s="466"/>
      <c r="F24" s="2570">
        <f>'数据-取费表'!B38</f>
        <v>0.02</v>
      </c>
      <c r="G24" s="2535" t="s">
        <v>493</v>
      </c>
      <c r="H24" s="2529"/>
      <c r="I24" s="2529"/>
      <c r="J24" s="2529"/>
      <c r="K24" s="276"/>
      <c r="L24" s="3196"/>
      <c r="M24" s="3196"/>
      <c r="N24" s="3196"/>
      <c r="O24" s="1996"/>
      <c r="P24" s="1996"/>
      <c r="Q24" s="1996"/>
      <c r="R24" s="1996"/>
      <c r="S24" s="1996"/>
      <c r="T24" s="1996"/>
      <c r="U24" s="1996"/>
      <c r="V24" s="1996"/>
      <c r="W24" s="1996"/>
      <c r="X24" s="1996"/>
      <c r="Y24" s="1996"/>
      <c r="Z24" s="1996"/>
    </row>
    <row r="25" spans="1:26" s="1998" customFormat="1" ht="13.5" customHeight="1">
      <c r="A25" s="2564" t="s">
        <v>1851</v>
      </c>
      <c r="B25" s="2745" t="s">
        <v>2814</v>
      </c>
      <c r="C25" s="460">
        <f>ROUND(F25/(1+'数据-取费表'!C42),4)</f>
        <v>3.8600000000000002E-2</v>
      </c>
      <c r="D25" s="455" t="s">
        <v>2808</v>
      </c>
      <c r="E25" s="462"/>
      <c r="F25" s="2570">
        <f>IF(项目基本情况!B8="出让",0,'数据-取费表'!B48+'数据-取费表'!B49)</f>
        <v>4.0500000000000001E-2</v>
      </c>
      <c r="G25" s="2534" t="s">
        <v>2276</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1852</v>
      </c>
      <c r="B26" s="2746" t="s">
        <v>2815</v>
      </c>
      <c r="C26" s="2571">
        <f ca="1">C28</f>
        <v>2910</v>
      </c>
      <c r="D26" s="460">
        <f ca="1">C27</f>
        <v>0.10100000000000001</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2" t="s">
        <v>1847</v>
      </c>
      <c r="B27" s="2572" t="s">
        <v>490</v>
      </c>
      <c r="C27" s="2573">
        <f ca="1">ROUND(IF('数据-取费表'!B22&lt;=1,(1+C25)*F26*'数据-取费表'!B24,(1+C25)*(POWER((1+F26),'数据-取费表'!B24)-1)),4)</f>
        <v>0.10100000000000001</v>
      </c>
      <c r="D27" s="465"/>
      <c r="E27" s="466"/>
      <c r="F27" s="467"/>
      <c r="G27" s="2421" t="str">
        <f>IF('数据-取费表'!B22&lt;=1,"（1+取得税费率/(1+5%)）×年利率×建设期","（1+取得税费率）/(1+5%)×((1+年利率)^建设期-1)")</f>
        <v>（1+取得税费率）/(1+5%)×((1+年利率)^建设期-1)</v>
      </c>
      <c r="H27" s="2529"/>
      <c r="I27" s="2529"/>
      <c r="J27" s="2529"/>
      <c r="K27" s="276"/>
      <c r="L27" s="3198"/>
      <c r="M27" s="3198"/>
      <c r="N27" s="3198"/>
      <c r="O27" s="3198"/>
      <c r="P27" s="3198"/>
      <c r="Q27" s="3198"/>
      <c r="R27" s="3198"/>
      <c r="S27" s="3198"/>
      <c r="T27" s="3198"/>
      <c r="U27" s="3198"/>
      <c r="V27" s="3198"/>
      <c r="W27" s="3198"/>
      <c r="X27" s="3198"/>
      <c r="Y27" s="3198"/>
      <c r="Z27" s="3198"/>
    </row>
    <row r="28" spans="1:26" s="1999" customFormat="1" ht="13.5" customHeight="1">
      <c r="A28" s="792" t="s">
        <v>1848</v>
      </c>
      <c r="B28" s="2572" t="s">
        <v>2817</v>
      </c>
      <c r="C28" s="2574">
        <f ca="1">ROUND(IF('数据-取费表'!B22&lt;=1,(C18+C19+C20+C23+C24)*F26*'数据-取费表'!B24/2,(C18+C19+C20+C23+C24)*(POWER((1+F26),'数据-取费表'!B24/2)-1)),0)</f>
        <v>2910</v>
      </c>
      <c r="D28" s="465"/>
      <c r="E28" s="466"/>
      <c r="F28" s="467"/>
      <c r="G28" s="2421" t="str">
        <f>IF('数据-取费表'!B22&lt;=1,"（1）-（4）项×年利率×建设期÷2","（1）-（4）项×((1+年利率)^(建设期÷2)-1)")</f>
        <v>（1）-（4）项×((1+年利率)^(建设期÷2)-1)</v>
      </c>
      <c r="H28" s="2529"/>
      <c r="I28" s="2529"/>
      <c r="J28" s="2529"/>
      <c r="K28" s="276"/>
      <c r="L28" s="3198"/>
      <c r="M28" s="3198"/>
      <c r="N28" s="3198"/>
      <c r="O28" s="3198"/>
      <c r="P28" s="3198"/>
      <c r="Q28" s="3198"/>
      <c r="R28" s="3198"/>
      <c r="S28" s="3198"/>
      <c r="T28" s="3198"/>
      <c r="U28" s="3198"/>
      <c r="V28" s="3198"/>
      <c r="W28" s="3198"/>
      <c r="X28" s="3198"/>
      <c r="Y28" s="3198"/>
      <c r="Z28" s="3198"/>
    </row>
    <row r="29" spans="1:26" s="1999" customFormat="1" ht="13.5" customHeight="1">
      <c r="A29" s="2575" t="s">
        <v>1853</v>
      </c>
      <c r="B29" s="2565" t="s">
        <v>491</v>
      </c>
      <c r="C29" s="2566">
        <f ca="1">ROUND(C6*F29/(1+'数据-取费表'!C42),0)</f>
        <v>9338</v>
      </c>
      <c r="D29" s="461"/>
      <c r="E29" s="461"/>
      <c r="F29" s="2747">
        <f>'数据-取费表'!B41</f>
        <v>5.6000000000000001E-2</v>
      </c>
      <c r="G29" s="2535" t="s">
        <v>492</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1854</v>
      </c>
      <c r="B30" s="2576" t="s">
        <v>494</v>
      </c>
      <c r="C30" s="2571">
        <f ca="1">C31</f>
        <v>73510</v>
      </c>
      <c r="D30" s="470">
        <f ca="1">C32</f>
        <v>0.1396</v>
      </c>
      <c r="E30" s="462" t="s">
        <v>489</v>
      </c>
      <c r="F30" s="464"/>
      <c r="G30" s="2534" t="s">
        <v>2935</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2" t="s">
        <v>1847</v>
      </c>
      <c r="B31" s="2572"/>
      <c r="C31" s="443">
        <f ca="1">C18+C19+C20+C23+C24+C26+C29</f>
        <v>73510</v>
      </c>
      <c r="D31" s="465"/>
      <c r="E31" s="466"/>
      <c r="F31" s="467"/>
      <c r="G31" s="258"/>
      <c r="H31" s="2529"/>
      <c r="I31" s="2529"/>
      <c r="J31" s="2529"/>
      <c r="K31" s="276"/>
      <c r="L31" s="3198"/>
      <c r="M31" s="3198"/>
      <c r="N31" s="3198"/>
      <c r="O31" s="3198"/>
      <c r="P31" s="3198"/>
      <c r="Q31" s="3198"/>
      <c r="R31" s="3198"/>
      <c r="S31" s="3198"/>
      <c r="T31" s="3198"/>
      <c r="U31" s="3198"/>
      <c r="V31" s="3198"/>
      <c r="W31" s="3198"/>
      <c r="X31" s="3198"/>
      <c r="Y31" s="3198"/>
      <c r="Z31" s="3198"/>
    </row>
    <row r="32" spans="1:26" s="1999" customFormat="1" ht="13.5" customHeight="1">
      <c r="A32" s="792" t="s">
        <v>1848</v>
      </c>
      <c r="B32" s="2572"/>
      <c r="C32" s="53">
        <f ca="1">ROUND(C25+D26,4)</f>
        <v>0.1396</v>
      </c>
      <c r="D32" s="465"/>
      <c r="E32" s="466"/>
      <c r="F32" s="467"/>
      <c r="G32" s="258"/>
      <c r="H32" s="2529"/>
      <c r="I32" s="2529"/>
      <c r="J32" s="2529"/>
      <c r="K32" s="276"/>
      <c r="L32" s="3198"/>
      <c r="M32" s="3198"/>
      <c r="N32" s="3198"/>
      <c r="O32" s="3198"/>
      <c r="P32" s="3198"/>
      <c r="Q32" s="3198"/>
      <c r="R32" s="3198"/>
      <c r="S32" s="3198"/>
      <c r="T32" s="3198"/>
      <c r="U32" s="3198"/>
      <c r="V32" s="3198"/>
      <c r="W32" s="3198"/>
      <c r="X32" s="3198"/>
      <c r="Y32" s="3198"/>
      <c r="Z32" s="3198"/>
    </row>
    <row r="33" spans="1:26" s="2001" customFormat="1" ht="13.5" customHeight="1">
      <c r="A33" s="2744" t="s">
        <v>2812</v>
      </c>
      <c r="B33" s="2742" t="s">
        <v>2810</v>
      </c>
      <c r="C33" s="471">
        <f ca="1">C35</f>
        <v>7351</v>
      </c>
      <c r="D33" s="460">
        <f ca="1">C34</f>
        <v>0.1246</v>
      </c>
      <c r="E33" s="462" t="s">
        <v>489</v>
      </c>
      <c r="F33" s="472">
        <f ca="1">IF(B1="",'数据-取费表'!Q16,INDIRECT("'数据-取费表'!q"&amp;$K$1))</f>
        <v>0.12</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8" t="s">
        <v>1847</v>
      </c>
      <c r="B34" s="2577" t="s">
        <v>495</v>
      </c>
      <c r="C34" s="465">
        <f ca="1">ROUND((1+C25)*F33,4)</f>
        <v>0.1246</v>
      </c>
      <c r="D34" s="465"/>
      <c r="E34" s="466"/>
      <c r="F34" s="473"/>
      <c r="G34" s="258" t="s">
        <v>2277</v>
      </c>
      <c r="H34" s="2529"/>
      <c r="I34" s="2529"/>
      <c r="J34" s="2529"/>
      <c r="K34" s="276"/>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1848</v>
      </c>
      <c r="B35" s="2743" t="s">
        <v>2818</v>
      </c>
      <c r="C35" s="1554">
        <f ca="1">ROUND((C18+C19+C20+C23+C24)*F33,0)</f>
        <v>7351</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1" t="s">
        <v>1835</v>
      </c>
      <c r="B36" s="2540"/>
      <c r="C36" s="2579">
        <f ca="1">ROUND((C6-C30-C33)/(1+D30+D33),0)</f>
        <v>74528</v>
      </c>
      <c r="D36" s="2540"/>
      <c r="E36" s="2540"/>
      <c r="F36" s="2540"/>
      <c r="G36" s="2539" t="s">
        <v>2819</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13" t="str">
        <f>项目基本情况!B1</f>
        <v>石家庄市东至祁连街、西至规划路、南至规划路、北至漓江道出让国有建设用地使用权抵押价格预评估</v>
      </c>
      <c r="C37" s="3313"/>
      <c r="D37" s="3313"/>
      <c r="E37" s="3313"/>
      <c r="F37" s="3313"/>
      <c r="G37" s="3313"/>
      <c r="H37" s="3313"/>
      <c r="I37" s="3313"/>
    </row>
    <row r="38" spans="1:9">
      <c r="A38" s="1582"/>
      <c r="B38" s="1582"/>
    </row>
    <row r="39" spans="1:9">
      <c r="A39" s="1580" t="s">
        <v>1892</v>
      </c>
      <c r="B39" s="1580" t="s">
        <v>2034</v>
      </c>
    </row>
    <row r="40" spans="1:9">
      <c r="A40" s="1580"/>
      <c r="B40" s="1580">
        <f>项目基本情况!B5</f>
        <v>0</v>
      </c>
    </row>
    <row r="41" spans="1:9">
      <c r="A41" s="1580"/>
      <c r="B41" s="1580"/>
    </row>
    <row r="42" spans="1:9">
      <c r="A42" s="1580" t="s">
        <v>1892</v>
      </c>
      <c r="B42" s="1580" t="s">
        <v>2035</v>
      </c>
    </row>
    <row r="43" spans="1:9">
      <c r="A43" s="1580"/>
      <c r="B43" s="1580" t="s">
        <v>1894</v>
      </c>
    </row>
    <row r="44" spans="1:9">
      <c r="A44" s="1580"/>
      <c r="B44" s="1580"/>
    </row>
    <row r="45" spans="1:9">
      <c r="A45" s="1580" t="s">
        <v>1892</v>
      </c>
      <c r="B45" s="1580" t="s">
        <v>2033</v>
      </c>
    </row>
    <row r="46" spans="1:9" s="1580" customFormat="1" ht="12.75">
      <c r="B46" s="1580" t="str">
        <f>项目基本情况!K4</f>
        <v>王鹏、郑燚</v>
      </c>
    </row>
    <row r="47" spans="1:9">
      <c r="A47" s="1580"/>
      <c r="B47" s="1580"/>
    </row>
    <row r="48" spans="1:9">
      <c r="A48" s="1580" t="s">
        <v>1892</v>
      </c>
      <c r="B48" s="1580" t="s">
        <v>2036</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I35" sqref="I35"/>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4" t="s">
        <v>460</v>
      </c>
      <c r="B1" s="2523"/>
      <c r="C1" s="1983"/>
      <c r="D1" s="1983"/>
      <c r="E1" s="1983"/>
      <c r="F1" s="1983"/>
      <c r="G1" s="1983"/>
      <c r="H1" s="1983"/>
      <c r="I1" s="1983"/>
      <c r="J1" s="1983"/>
      <c r="K1" s="415">
        <f>MATCH(B1,'数据-取费表'!A6:A16,0)+5</f>
        <v>10</v>
      </c>
      <c r="L1" s="289"/>
      <c r="M1" s="289"/>
      <c r="N1" s="289"/>
      <c r="O1" s="289"/>
      <c r="P1" s="289"/>
      <c r="Q1" s="289"/>
      <c r="R1" s="289"/>
      <c r="S1" s="289"/>
      <c r="T1" s="289"/>
      <c r="U1" s="289"/>
      <c r="V1" s="289"/>
      <c r="W1" s="289"/>
      <c r="X1" s="289"/>
      <c r="Y1" s="289"/>
      <c r="Z1" s="289"/>
    </row>
    <row r="2" spans="1:41" s="1921" customFormat="1" ht="18" customHeight="1">
      <c r="A2" s="416" t="s">
        <v>461</v>
      </c>
      <c r="B2" s="417">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1675</v>
      </c>
      <c r="B3" s="418">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9" t="s">
        <v>462</v>
      </c>
      <c r="B4" s="420">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2"/>
      <c r="B5" s="423">
        <f ca="1">ROUND(B2/(IF(B1="",'数据-汇总表'!D3,INDIRECT("'数据-取费表'!R"&amp;$K$1))/666.67),0)</f>
        <v>0</v>
      </c>
      <c r="C5" s="424" t="s">
        <v>463</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5" t="s">
        <v>2632</v>
      </c>
      <c r="B6" s="426"/>
      <c r="C6" s="1549">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7" t="s">
        <v>464</v>
      </c>
      <c r="B7" s="428" t="s">
        <v>465</v>
      </c>
      <c r="C7" s="429"/>
      <c r="D7" s="429"/>
      <c r="E7" s="429"/>
      <c r="F7" s="429"/>
      <c r="G7" s="429"/>
      <c r="H7" s="429"/>
      <c r="I7" s="429"/>
      <c r="J7" s="429"/>
      <c r="K7" s="430"/>
      <c r="AA7" s="1991"/>
      <c r="AB7" s="1991"/>
      <c r="AC7" s="1991"/>
      <c r="AD7" s="1991"/>
      <c r="AE7" s="1991"/>
      <c r="AF7" s="1991"/>
      <c r="AG7" s="1991"/>
      <c r="AH7" s="1991"/>
      <c r="AI7" s="1991"/>
      <c r="AJ7" s="1991"/>
      <c r="AK7" s="1991"/>
      <c r="AL7" s="1991"/>
      <c r="AM7" s="1991"/>
      <c r="AN7" s="1991"/>
      <c r="AO7" s="1991"/>
    </row>
    <row r="8" spans="1:41" s="1994" customFormat="1" ht="13.5" customHeight="1">
      <c r="A8" s="1557" t="s">
        <v>1836</v>
      </c>
      <c r="B8" s="431" t="s">
        <v>466</v>
      </c>
      <c r="C8" s="432"/>
      <c r="D8" s="432"/>
      <c r="E8" s="432"/>
      <c r="F8" s="432"/>
      <c r="G8" s="432"/>
      <c r="H8" s="432"/>
      <c r="I8" s="432"/>
      <c r="J8" s="432"/>
      <c r="K8" s="433"/>
      <c r="AA8" s="1993"/>
      <c r="AB8" s="1993"/>
      <c r="AC8" s="1993"/>
      <c r="AD8" s="1993"/>
      <c r="AE8" s="1993"/>
      <c r="AF8" s="1993"/>
      <c r="AG8" s="1993"/>
      <c r="AH8" s="1993"/>
      <c r="AI8" s="1993"/>
      <c r="AJ8" s="1993"/>
      <c r="AK8" s="1993"/>
      <c r="AL8" s="1993"/>
      <c r="AM8" s="1993"/>
      <c r="AN8" s="1993"/>
      <c r="AO8" s="1993"/>
    </row>
    <row r="9" spans="1:41" s="1994" customFormat="1" ht="13.5" customHeight="1">
      <c r="A9" s="1557"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1838</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1855</v>
      </c>
      <c r="B11" s="1547"/>
      <c r="C11" s="1547"/>
      <c r="D11" s="1547"/>
      <c r="E11" s="1547"/>
      <c r="F11" s="1547"/>
      <c r="G11" s="1547"/>
      <c r="H11" s="1547"/>
      <c r="I11" s="1547"/>
      <c r="J11" s="1547"/>
      <c r="K11" s="1548"/>
      <c r="L11" s="3194"/>
      <c r="M11" s="3194"/>
      <c r="N11" s="3194"/>
      <c r="O11" s="3194"/>
      <c r="P11" s="3194"/>
      <c r="Q11" s="3194"/>
      <c r="R11" s="3194"/>
      <c r="S11" s="3194"/>
      <c r="T11" s="3194"/>
      <c r="U11" s="3194"/>
      <c r="V11" s="3194"/>
      <c r="W11" s="3194"/>
      <c r="X11" s="3194"/>
      <c r="Y11" s="3194"/>
      <c r="Z11" s="3194"/>
    </row>
    <row r="12" spans="1:41" s="1964" customFormat="1" ht="13.5" customHeight="1">
      <c r="A12" s="427" t="s">
        <v>464</v>
      </c>
      <c r="B12" s="437" t="s">
        <v>465</v>
      </c>
      <c r="C12" s="438" t="s">
        <v>469</v>
      </c>
      <c r="D12" s="439" t="s">
        <v>470</v>
      </c>
      <c r="E12" s="439" t="s">
        <v>471</v>
      </c>
      <c r="F12" s="439" t="s">
        <v>472</v>
      </c>
      <c r="G12" s="437"/>
      <c r="H12" s="440"/>
      <c r="I12" s="440"/>
      <c r="J12" s="440"/>
      <c r="K12" s="441"/>
      <c r="L12" s="3195"/>
      <c r="M12" s="3195"/>
      <c r="N12" s="3195"/>
      <c r="O12" s="3195"/>
      <c r="P12" s="3195"/>
      <c r="Q12" s="3195"/>
      <c r="R12" s="3195"/>
      <c r="S12" s="3195"/>
      <c r="T12" s="3195"/>
      <c r="U12" s="3195"/>
      <c r="V12" s="3195"/>
      <c r="W12" s="3195"/>
      <c r="X12" s="3195"/>
      <c r="Y12" s="3195"/>
      <c r="Z12" s="3195"/>
    </row>
    <row r="13" spans="1:41" s="1995" customFormat="1" ht="13.5" customHeight="1">
      <c r="A13" s="1559" t="s">
        <v>1839</v>
      </c>
      <c r="B13" s="442" t="s">
        <v>473</v>
      </c>
      <c r="C13" s="443">
        <f ca="1">IF(B1="",'数据-取费表'!M16,INDIRECT("'数据-取费表'!M"&amp;$K$1)+INDIRECT("'数据-取费表'!t"&amp;$K$1))</f>
        <v>48233</v>
      </c>
      <c r="D13" s="444"/>
      <c r="E13" s="362"/>
      <c r="F13" s="445"/>
      <c r="G13" s="437"/>
      <c r="H13" s="440"/>
      <c r="I13" s="440"/>
      <c r="J13" s="440"/>
      <c r="K13" s="441"/>
      <c r="L13" s="1996"/>
      <c r="M13" s="1996"/>
      <c r="N13" s="1996"/>
      <c r="O13" s="1996"/>
      <c r="P13" s="1996"/>
      <c r="Q13" s="1996"/>
      <c r="R13" s="1996"/>
      <c r="S13" s="1996"/>
      <c r="T13" s="1996"/>
      <c r="U13" s="1996"/>
      <c r="V13" s="1996"/>
      <c r="W13" s="1996"/>
      <c r="X13" s="1996"/>
      <c r="Y13" s="1996"/>
      <c r="Z13" s="1996"/>
    </row>
    <row r="14" spans="1:41" s="1995" customFormat="1" ht="13.5" customHeight="1">
      <c r="A14" s="1559" t="s">
        <v>1840</v>
      </c>
      <c r="B14" s="442" t="s">
        <v>474</v>
      </c>
      <c r="C14" s="53">
        <f ca="1">ROUND(C13*F14,0)</f>
        <v>1447</v>
      </c>
      <c r="D14" s="444"/>
      <c r="E14" s="362"/>
      <c r="F14" s="446">
        <f>'数据-取费表'!B33</f>
        <v>0.03</v>
      </c>
      <c r="G14" s="437" t="s">
        <v>496</v>
      </c>
      <c r="H14" s="440"/>
      <c r="I14" s="440"/>
      <c r="J14" s="440"/>
      <c r="K14" s="441"/>
      <c r="L14" s="1996"/>
      <c r="M14" s="1996"/>
      <c r="N14" s="1996"/>
      <c r="O14" s="1996"/>
      <c r="P14" s="1996"/>
      <c r="Q14" s="1996"/>
      <c r="R14" s="1996"/>
      <c r="S14" s="1996"/>
      <c r="T14" s="1996"/>
      <c r="U14" s="1996"/>
      <c r="V14" s="1996"/>
      <c r="W14" s="1996"/>
      <c r="X14" s="1996"/>
      <c r="Y14" s="1996"/>
      <c r="Z14" s="1996"/>
    </row>
    <row r="15" spans="1:41" s="1995" customFormat="1" ht="13.5" customHeight="1">
      <c r="A15" s="1559" t="s">
        <v>1841</v>
      </c>
      <c r="B15" s="442" t="s">
        <v>476</v>
      </c>
      <c r="C15" s="53">
        <f ca="1">ROUND(IF(B1="",SUMIF('数据-取费表'!C:C,"住宅",'数据-取费表'!M:M)*F15,IF(INDIRECT("'数据-取费表'!c"&amp;$K$1)="住宅",INDIRECT("'数据-取费表'!M"&amp;$K$1)*F15,0)),0)</f>
        <v>1158</v>
      </c>
      <c r="D15" s="444"/>
      <c r="E15" s="362"/>
      <c r="F15" s="446">
        <f>'数据-取费表'!B34</f>
        <v>0.03</v>
      </c>
      <c r="G15" s="437" t="s">
        <v>496</v>
      </c>
      <c r="H15" s="440"/>
      <c r="I15" s="440"/>
      <c r="J15" s="440"/>
      <c r="K15" s="441"/>
      <c r="L15" s="1996"/>
      <c r="M15" s="1996"/>
      <c r="N15" s="1996"/>
      <c r="O15" s="1996"/>
      <c r="P15" s="1996"/>
      <c r="Q15" s="1996"/>
      <c r="R15" s="1996"/>
      <c r="S15" s="1996"/>
      <c r="T15" s="1996"/>
      <c r="U15" s="1996"/>
      <c r="V15" s="1996"/>
      <c r="W15" s="1996"/>
      <c r="X15" s="1996"/>
      <c r="Y15" s="1996"/>
      <c r="Z15" s="1996"/>
    </row>
    <row r="16" spans="1:41" s="1996" customFormat="1" ht="13.5" customHeight="1">
      <c r="A16" s="1559" t="s">
        <v>1842</v>
      </c>
      <c r="B16" s="442" t="s">
        <v>478</v>
      </c>
      <c r="C16" s="53">
        <f ca="1">ROUND(D16*E16/10000,0)</f>
        <v>3141</v>
      </c>
      <c r="D16" s="444">
        <f ca="1">IF(B1="",'数据-汇总表'!E3,INDIRECT("'数据-取费表'!K"&amp;$K$1)+INDIRECT("'数据-取费表'!S"&amp;$K$1))</f>
        <v>157059.36000000002</v>
      </c>
      <c r="E16" s="53">
        <f>'数据-取费表'!B35</f>
        <v>200</v>
      </c>
      <c r="F16" s="446"/>
      <c r="G16" s="437"/>
      <c r="H16" s="440"/>
      <c r="I16" s="440"/>
      <c r="J16" s="440"/>
      <c r="K16" s="441"/>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1843</v>
      </c>
      <c r="B17" s="442" t="s">
        <v>479</v>
      </c>
      <c r="C17" s="447">
        <f ca="1">ROUND(C13*F17,0)</f>
        <v>723</v>
      </c>
      <c r="D17" s="448"/>
      <c r="E17" s="447"/>
      <c r="F17" s="449">
        <f>'数据-取费表'!B36</f>
        <v>1.4999999999999999E-2</v>
      </c>
      <c r="G17" s="437" t="s">
        <v>496</v>
      </c>
      <c r="H17" s="450"/>
      <c r="I17" s="450"/>
      <c r="J17" s="450"/>
      <c r="K17" s="451"/>
      <c r="L17" s="1996"/>
      <c r="M17" s="1996"/>
      <c r="N17" s="1996"/>
      <c r="O17" s="1996"/>
      <c r="P17" s="1996"/>
      <c r="Q17" s="1996"/>
      <c r="R17" s="1996"/>
      <c r="S17" s="1996"/>
      <c r="T17" s="1996"/>
      <c r="U17" s="1996"/>
      <c r="V17" s="1996"/>
      <c r="W17" s="1996"/>
      <c r="X17" s="1996"/>
      <c r="Y17" s="1996"/>
      <c r="Z17" s="1996"/>
    </row>
    <row r="18" spans="1:26" s="1998" customFormat="1" ht="13.5" customHeight="1">
      <c r="A18" s="1560" t="s">
        <v>1844</v>
      </c>
      <c r="B18" s="452" t="s">
        <v>481</v>
      </c>
      <c r="C18" s="453">
        <f ca="1">SUM(C13:C17)</f>
        <v>54702</v>
      </c>
      <c r="D18" s="454"/>
      <c r="E18" s="455"/>
      <c r="F18" s="455"/>
      <c r="G18" s="1280" t="s">
        <v>2415</v>
      </c>
      <c r="H18" s="440"/>
      <c r="I18" s="440"/>
      <c r="J18" s="440"/>
      <c r="K18" s="441"/>
      <c r="L18" s="3197"/>
      <c r="M18" s="3197"/>
      <c r="N18" s="3197"/>
      <c r="O18" s="3197"/>
      <c r="P18" s="3197"/>
      <c r="Q18" s="3197"/>
      <c r="R18" s="3197"/>
      <c r="S18" s="3197"/>
      <c r="T18" s="3197"/>
      <c r="U18" s="3197"/>
      <c r="V18" s="3197"/>
      <c r="W18" s="3197"/>
      <c r="X18" s="3197"/>
      <c r="Y18" s="3197"/>
      <c r="Z18" s="3197"/>
    </row>
    <row r="19" spans="1:26" s="1998" customFormat="1" ht="13.5" customHeight="1">
      <c r="A19" s="1560" t="s">
        <v>1845</v>
      </c>
      <c r="B19" s="452" t="s">
        <v>487</v>
      </c>
      <c r="C19" s="453">
        <f ca="1">ROUND(C18*F19,0)</f>
        <v>1094</v>
      </c>
      <c r="D19" s="455"/>
      <c r="E19" s="455"/>
      <c r="F19" s="459">
        <f>'数据-取费表'!B37</f>
        <v>0.02</v>
      </c>
      <c r="G19" s="437" t="s">
        <v>497</v>
      </c>
      <c r="H19" s="440"/>
      <c r="I19" s="440"/>
      <c r="J19" s="440"/>
      <c r="K19" s="441"/>
      <c r="L19" s="3199"/>
      <c r="M19" s="3199"/>
      <c r="N19" s="3199"/>
      <c r="O19" s="3197"/>
      <c r="P19" s="3197"/>
      <c r="Q19" s="3197"/>
      <c r="R19" s="3197"/>
      <c r="S19" s="3197"/>
      <c r="T19" s="3197"/>
      <c r="U19" s="3197"/>
      <c r="V19" s="3197"/>
      <c r="W19" s="3197"/>
      <c r="X19" s="3197"/>
      <c r="Y19" s="3197"/>
      <c r="Z19" s="3197"/>
    </row>
    <row r="20" spans="1:26" s="1998" customFormat="1" ht="13.5" customHeight="1">
      <c r="A20" s="1560" t="s">
        <v>1846</v>
      </c>
      <c r="B20" s="452" t="s">
        <v>498</v>
      </c>
      <c r="C20" s="2740">
        <f>F20</f>
        <v>0.02</v>
      </c>
      <c r="D20" s="462" t="s">
        <v>499</v>
      </c>
      <c r="E20" s="462"/>
      <c r="F20" s="479">
        <f>'数据-取费表'!B38</f>
        <v>0.02</v>
      </c>
      <c r="G20" s="1280" t="s">
        <v>500</v>
      </c>
      <c r="H20" s="440"/>
      <c r="I20" s="440"/>
      <c r="J20" s="440"/>
      <c r="K20" s="441"/>
      <c r="L20" s="3199"/>
      <c r="M20" s="3199"/>
      <c r="N20" s="3199"/>
      <c r="O20" s="3197"/>
      <c r="P20" s="3197"/>
      <c r="Q20" s="3197"/>
      <c r="R20" s="3197"/>
      <c r="S20" s="3197"/>
      <c r="T20" s="3197"/>
      <c r="U20" s="3197"/>
      <c r="V20" s="3197"/>
      <c r="W20" s="3197"/>
      <c r="X20" s="3197"/>
      <c r="Y20" s="3197"/>
      <c r="Z20" s="3197"/>
    </row>
    <row r="21" spans="1:26" s="2000" customFormat="1" ht="13.5" customHeight="1">
      <c r="A21" s="1560" t="s">
        <v>1849</v>
      </c>
      <c r="B21" s="454" t="s">
        <v>488</v>
      </c>
      <c r="C21" s="463">
        <f ca="1">C22</f>
        <v>2650</v>
      </c>
      <c r="D21" s="460">
        <f ca="1">C23</f>
        <v>1E-3</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5" t="s">
        <v>2436</v>
      </c>
      <c r="M21" s="3206"/>
      <c r="N21" s="3206"/>
      <c r="O21" s="3206"/>
      <c r="P21" s="3206"/>
      <c r="Q21" s="3199"/>
      <c r="R21" s="3199"/>
      <c r="S21" s="3199"/>
      <c r="T21" s="3199"/>
      <c r="U21" s="3199"/>
      <c r="V21" s="3199"/>
      <c r="W21" s="3199"/>
      <c r="X21" s="3199"/>
      <c r="Y21" s="3199"/>
      <c r="Z21" s="3199"/>
    </row>
    <row r="22" spans="1:26" s="1999" customFormat="1" ht="13.5" customHeight="1">
      <c r="A22" s="1559" t="s">
        <v>1839</v>
      </c>
      <c r="B22" s="1281" t="s">
        <v>2418</v>
      </c>
      <c r="C22" s="480">
        <f ca="1">ROUND(IF('数据-取费表'!B22&lt;=1,(C18+C19)*F21*'数据-取费表'!B20/2,(C18+C19)*(POWER((1+F21),'数据-取费表'!B20/2)-1)),0)</f>
        <v>2650</v>
      </c>
      <c r="D22" s="465"/>
      <c r="E22" s="466"/>
      <c r="F22" s="467"/>
      <c r="G22" s="2417" t="str">
        <f>IF('数据-取费表'!B22&lt;=1,"((1)+(2))×年利率×建设期÷2","((1)+(2))×((1+年利率)^(建设期÷2)-1)")</f>
        <v>((1)+(2))×((1+年利率)^(建设期÷2)-1)</v>
      </c>
      <c r="H22" s="450"/>
      <c r="I22" s="450"/>
      <c r="J22" s="450"/>
      <c r="K22" s="451"/>
      <c r="L22" s="3198"/>
      <c r="M22" s="3198"/>
      <c r="N22" s="3198"/>
      <c r="O22" s="3198"/>
      <c r="P22" s="3198"/>
      <c r="Q22" s="3198"/>
      <c r="R22" s="3198"/>
      <c r="S22" s="3198"/>
      <c r="T22" s="3198"/>
      <c r="U22" s="3198"/>
      <c r="V22" s="3198"/>
      <c r="W22" s="3198"/>
      <c r="X22" s="3198"/>
      <c r="Y22" s="3198"/>
      <c r="Z22" s="3198"/>
    </row>
    <row r="23" spans="1:26" s="1999" customFormat="1" ht="13.5" customHeight="1">
      <c r="A23" s="1559" t="s">
        <v>1840</v>
      </c>
      <c r="B23" s="1281" t="s">
        <v>502</v>
      </c>
      <c r="C23" s="481">
        <f ca="1">ROUND(IF('数据-取费表'!B22&lt;=1,F20*F21*'数据-取费表'!B20/2,F20*(POWER((1+F21),'数据-取费表'!B20/2)-1)),4)</f>
        <v>1E-3</v>
      </c>
      <c r="D23" s="465"/>
      <c r="E23" s="466"/>
      <c r="F23" s="467"/>
      <c r="G23" s="2417" t="str">
        <f>IF('数据-取费表'!B22&lt;=1,"销售费用率×年利率×建设期÷2","销售费用率×((1+年利率)^(建设期÷2)-1)")</f>
        <v>销售费用率×((1+年利率)^(建设期÷2)-1)</v>
      </c>
      <c r="H23" s="450"/>
      <c r="I23" s="450"/>
      <c r="J23" s="450"/>
      <c r="K23" s="451"/>
      <c r="L23" s="3198"/>
      <c r="M23" s="3198"/>
      <c r="N23" s="3198"/>
      <c r="O23" s="3198"/>
      <c r="P23" s="3198"/>
      <c r="Q23" s="3198"/>
      <c r="R23" s="3198"/>
      <c r="S23" s="3198"/>
      <c r="T23" s="3198"/>
      <c r="U23" s="3198"/>
      <c r="V23" s="3198"/>
      <c r="W23" s="3198"/>
      <c r="X23" s="3198"/>
      <c r="Y23" s="3198"/>
      <c r="Z23" s="3198"/>
    </row>
    <row r="24" spans="1:26" s="1999" customFormat="1" ht="13.5" customHeight="1">
      <c r="A24" s="1560" t="s">
        <v>1850</v>
      </c>
      <c r="B24" s="2742" t="s">
        <v>2811</v>
      </c>
      <c r="C24" s="471">
        <f ca="1">C25</f>
        <v>6696</v>
      </c>
      <c r="D24" s="482">
        <f ca="1">C26</f>
        <v>2.3999999999999998E-3</v>
      </c>
      <c r="E24" s="462" t="s">
        <v>501</v>
      </c>
      <c r="F24" s="472">
        <f ca="1">IF(B1="",'数据-取费表'!Q16,INDIRECT("'数据-取费表'!q"&amp;$K$1))</f>
        <v>0.12</v>
      </c>
      <c r="G24" s="437"/>
      <c r="H24" s="440"/>
      <c r="I24" s="440"/>
      <c r="J24" s="440"/>
      <c r="K24" s="441"/>
      <c r="L24" s="3198"/>
      <c r="M24" s="3198"/>
      <c r="N24" s="3198"/>
      <c r="O24" s="3198"/>
      <c r="P24" s="3198"/>
      <c r="Q24" s="3198"/>
      <c r="R24" s="3198"/>
      <c r="S24" s="3198"/>
      <c r="T24" s="3198"/>
      <c r="U24" s="3198"/>
      <c r="V24" s="3198"/>
      <c r="W24" s="3198"/>
      <c r="X24" s="3198"/>
      <c r="Y24" s="3198"/>
      <c r="Z24" s="3198"/>
    </row>
    <row r="25" spans="1:26" s="1999" customFormat="1" ht="13.5" customHeight="1">
      <c r="A25" s="1559" t="s">
        <v>1839</v>
      </c>
      <c r="B25" s="1281" t="s">
        <v>2419</v>
      </c>
      <c r="C25" s="483">
        <f ca="1">ROUND((C18+C19)*F24,0)</f>
        <v>6696</v>
      </c>
      <c r="D25" s="465"/>
      <c r="E25" s="466"/>
      <c r="F25" s="473"/>
      <c r="G25" s="1279" t="s">
        <v>2416</v>
      </c>
      <c r="H25" s="450"/>
      <c r="I25" s="450"/>
      <c r="J25" s="450"/>
      <c r="K25" s="451"/>
      <c r="L25" s="3198"/>
      <c r="M25" s="3198"/>
      <c r="N25" s="3198"/>
      <c r="O25" s="3198"/>
      <c r="P25" s="3198"/>
      <c r="Q25" s="3198"/>
      <c r="R25" s="3198"/>
      <c r="S25" s="3198"/>
      <c r="T25" s="3198"/>
      <c r="U25" s="3198"/>
      <c r="V25" s="3198"/>
      <c r="W25" s="3198"/>
      <c r="X25" s="3198"/>
      <c r="Y25" s="3198"/>
      <c r="Z25" s="3198"/>
    </row>
    <row r="26" spans="1:26" s="1999" customFormat="1" ht="13.5" customHeight="1">
      <c r="A26" s="1559" t="s">
        <v>1840</v>
      </c>
      <c r="B26" s="1281" t="s">
        <v>503</v>
      </c>
      <c r="C26" s="484">
        <f ca="1">ROUND(F20*F24,4)</f>
        <v>2.3999999999999998E-3</v>
      </c>
      <c r="D26" s="465"/>
      <c r="E26" s="474"/>
      <c r="F26" s="473"/>
      <c r="G26" s="1279" t="s">
        <v>504</v>
      </c>
      <c r="H26" s="450"/>
      <c r="I26" s="450"/>
      <c r="J26" s="450"/>
      <c r="K26" s="451"/>
      <c r="L26" s="3198"/>
      <c r="M26" s="3198"/>
      <c r="N26" s="3198"/>
      <c r="O26" s="3198"/>
      <c r="P26" s="3198"/>
      <c r="Q26" s="3198"/>
      <c r="R26" s="3198"/>
      <c r="S26" s="3198"/>
      <c r="T26" s="3198"/>
      <c r="U26" s="3198"/>
      <c r="V26" s="3198"/>
      <c r="W26" s="3198"/>
      <c r="X26" s="3198"/>
      <c r="Y26" s="3198"/>
      <c r="Z26" s="3198"/>
    </row>
    <row r="27" spans="1:26" s="1999" customFormat="1" ht="13.5" customHeight="1">
      <c r="A27" s="1563" t="s">
        <v>1858</v>
      </c>
      <c r="B27" s="452" t="s">
        <v>505</v>
      </c>
      <c r="C27" s="2741">
        <f>ROUND(F27/(1+'数据-取费表'!C42),4)</f>
        <v>5.33E-2</v>
      </c>
      <c r="D27" s="455" t="s">
        <v>2809</v>
      </c>
      <c r="E27" s="455"/>
      <c r="F27" s="459">
        <f>'数据-取费表'!B41</f>
        <v>5.6000000000000001E-2</v>
      </c>
      <c r="G27" s="1871" t="s">
        <v>2278</v>
      </c>
      <c r="H27" s="440"/>
      <c r="I27" s="440"/>
      <c r="J27" s="440"/>
      <c r="K27" s="441"/>
      <c r="L27" s="3198"/>
      <c r="M27" s="3198"/>
      <c r="N27" s="3198"/>
      <c r="O27" s="3198"/>
      <c r="P27" s="3198"/>
      <c r="Q27" s="3198"/>
      <c r="R27" s="3198"/>
      <c r="S27" s="3198"/>
      <c r="T27" s="3198"/>
      <c r="U27" s="3198"/>
      <c r="V27" s="3198"/>
      <c r="W27" s="3198"/>
      <c r="X27" s="3198"/>
      <c r="Y27" s="3198"/>
      <c r="Z27" s="3198"/>
    </row>
    <row r="28" spans="1:26" s="2000" customFormat="1" ht="13.5" customHeight="1">
      <c r="A28" s="1563" t="s">
        <v>1859</v>
      </c>
      <c r="B28" s="469" t="s">
        <v>506</v>
      </c>
      <c r="C28" s="463">
        <f ca="1">ROUND((C18+C19+C21+C24)/(1-C20-D21-D24-C27),0)</f>
        <v>70553</v>
      </c>
      <c r="D28" s="470"/>
      <c r="E28" s="462"/>
      <c r="F28" s="464"/>
      <c r="G28" s="1280" t="s">
        <v>2417</v>
      </c>
      <c r="H28" s="440"/>
      <c r="I28" s="440"/>
      <c r="J28" s="440"/>
      <c r="K28" s="441"/>
      <c r="L28" s="3199"/>
      <c r="M28" s="3199"/>
      <c r="N28" s="3199"/>
      <c r="O28" s="3199"/>
      <c r="P28" s="3199"/>
      <c r="Q28" s="3199"/>
      <c r="R28" s="3199"/>
      <c r="S28" s="3199"/>
      <c r="T28" s="3199"/>
      <c r="U28" s="3199"/>
      <c r="V28" s="3199"/>
      <c r="W28" s="3199"/>
      <c r="X28" s="3199"/>
      <c r="Y28" s="3199"/>
      <c r="Z28" s="3199"/>
    </row>
    <row r="29" spans="1:26" s="2000" customFormat="1" ht="13.5" customHeight="1">
      <c r="A29" s="1563" t="s">
        <v>1860</v>
      </c>
      <c r="B29" s="469" t="s">
        <v>507</v>
      </c>
      <c r="C29" s="485">
        <f ca="1">IF(B1="",'数据-取费表'!N16,INDIRECT("'数据-取费表'!N"&amp;$K$1))</f>
        <v>0</v>
      </c>
      <c r="D29" s="486"/>
      <c r="E29" s="487"/>
      <c r="F29" s="488"/>
      <c r="G29" s="437"/>
      <c r="H29" s="440"/>
      <c r="I29" s="440"/>
      <c r="J29" s="440"/>
      <c r="K29" s="441"/>
      <c r="L29" s="3199"/>
      <c r="M29" s="3199"/>
      <c r="N29" s="3199"/>
      <c r="O29" s="3199"/>
      <c r="P29" s="3199"/>
      <c r="Q29" s="3199"/>
      <c r="R29" s="3199"/>
      <c r="S29" s="3199"/>
      <c r="T29" s="3199"/>
      <c r="U29" s="3199"/>
      <c r="V29" s="3199"/>
      <c r="W29" s="3199"/>
      <c r="X29" s="3199"/>
      <c r="Y29" s="3199"/>
      <c r="Z29" s="3199"/>
    </row>
    <row r="30" spans="1:26" s="2000" customFormat="1" ht="13.5" customHeight="1">
      <c r="A30" s="436">
        <v>2</v>
      </c>
      <c r="B30" s="469" t="s">
        <v>508</v>
      </c>
      <c r="C30" s="490">
        <f ca="1">ROUND(C28*C29,0)</f>
        <v>0</v>
      </c>
      <c r="D30" s="486"/>
      <c r="E30" s="491"/>
      <c r="F30" s="492"/>
      <c r="G30" s="1282" t="s">
        <v>509</v>
      </c>
      <c r="H30" s="489"/>
      <c r="I30" s="489"/>
      <c r="J30" s="440"/>
      <c r="K30" s="441"/>
      <c r="L30" s="3199"/>
      <c r="M30" s="3199"/>
      <c r="N30" s="3199"/>
      <c r="O30" s="3199"/>
      <c r="P30" s="3199"/>
      <c r="Q30" s="3199"/>
      <c r="R30" s="3199"/>
      <c r="S30" s="3199"/>
      <c r="T30" s="3199"/>
      <c r="U30" s="3199"/>
      <c r="V30" s="3199"/>
      <c r="W30" s="3199"/>
      <c r="X30" s="3199"/>
      <c r="Y30" s="3199"/>
      <c r="Z30" s="3199"/>
    </row>
    <row r="31" spans="1:26" s="2005" customFormat="1" ht="13.5" customHeight="1">
      <c r="A31" s="2332" t="s">
        <v>1856</v>
      </c>
      <c r="B31" s="1283"/>
      <c r="C31" s="493">
        <f>ROUND(C6*F31/(1+'数据-取费表'!C42),0)</f>
        <v>0</v>
      </c>
      <c r="D31" s="1284"/>
      <c r="E31" s="1284"/>
      <c r="F31" s="494">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4"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3" t="s">
        <v>2936</v>
      </c>
      <c r="H32" s="476"/>
      <c r="I32" s="476"/>
      <c r="J32" s="476"/>
      <c r="K32" s="478"/>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461</v>
      </c>
      <c r="B2" s="501"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c r="A3" s="1329" t="s">
        <v>1676</v>
      </c>
      <c r="B3" s="503"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9" customFormat="1" ht="28.5" customHeight="1">
      <c r="A4" s="504" t="s">
        <v>514</v>
      </c>
      <c r="B4" s="420"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9" customFormat="1" ht="28.5" customHeight="1" thickBot="1">
      <c r="A5" s="422"/>
      <c r="B5" s="423" t="e">
        <f>ROUND(B2/('数据-汇总表'!D3/666.67),0)</f>
        <v>#DIV/0!</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5" t="s">
        <v>515</v>
      </c>
      <c r="B6" s="506"/>
      <c r="C6" s="3508" t="s">
        <v>516</v>
      </c>
      <c r="D6" s="3509"/>
      <c r="E6" s="3535" t="s">
        <v>517</v>
      </c>
      <c r="F6" s="3536"/>
      <c r="G6" s="3508" t="s">
        <v>518</v>
      </c>
      <c r="H6" s="3509"/>
      <c r="I6" s="3508" t="s">
        <v>519</v>
      </c>
      <c r="J6" s="3509"/>
      <c r="K6" s="507" t="s">
        <v>520</v>
      </c>
      <c r="L6" s="2012"/>
      <c r="M6" s="2013"/>
      <c r="N6" s="2013"/>
      <c r="O6" s="2013"/>
      <c r="P6" s="3510" t="s">
        <v>521</v>
      </c>
      <c r="Q6" s="3511"/>
      <c r="R6" s="3496" t="s">
        <v>517</v>
      </c>
      <c r="S6" s="3497"/>
      <c r="T6" s="3496" t="s">
        <v>518</v>
      </c>
      <c r="U6" s="3497"/>
      <c r="V6" s="3516" t="s">
        <v>519</v>
      </c>
      <c r="W6" s="3516"/>
      <c r="X6" s="1499"/>
      <c r="Y6" s="3496" t="s">
        <v>521</v>
      </c>
      <c r="Z6" s="3497"/>
      <c r="AA6" s="3491" t="s">
        <v>517</v>
      </c>
      <c r="AB6" s="3492" t="s">
        <v>518</v>
      </c>
      <c r="AC6" s="3491" t="s">
        <v>519</v>
      </c>
    </row>
    <row r="7" spans="1:29" ht="15">
      <c r="A7" s="508"/>
      <c r="B7" s="509"/>
      <c r="C7" s="3521" t="s">
        <v>2896</v>
      </c>
      <c r="D7" s="3520"/>
      <c r="E7" s="3537" t="s">
        <v>2897</v>
      </c>
      <c r="F7" s="3538"/>
      <c r="G7" s="3521" t="s">
        <v>2898</v>
      </c>
      <c r="H7" s="3520"/>
      <c r="I7" s="3521" t="s">
        <v>2899</v>
      </c>
      <c r="J7" s="3520"/>
      <c r="K7" s="507"/>
      <c r="L7" s="2012"/>
      <c r="M7" s="2013"/>
      <c r="N7" s="2013"/>
      <c r="O7" s="2013"/>
      <c r="P7" s="3512"/>
      <c r="Q7" s="3513"/>
      <c r="R7" s="3498"/>
      <c r="S7" s="3499"/>
      <c r="T7" s="3498"/>
      <c r="U7" s="3499"/>
      <c r="V7" s="3516"/>
      <c r="W7" s="3516"/>
      <c r="X7" s="1499"/>
      <c r="Y7" s="3498"/>
      <c r="Z7" s="3499"/>
      <c r="AA7" s="3492"/>
      <c r="AB7" s="3492"/>
      <c r="AC7" s="3492"/>
    </row>
    <row r="8" spans="1:29" ht="15.75" thickBot="1">
      <c r="A8" s="510"/>
      <c r="B8" s="511"/>
      <c r="C8" s="3539" t="s">
        <v>2900</v>
      </c>
      <c r="D8" s="3518"/>
      <c r="E8" s="3540" t="s">
        <v>2900</v>
      </c>
      <c r="F8" s="3541"/>
      <c r="G8" s="3539" t="s">
        <v>2900</v>
      </c>
      <c r="H8" s="3518"/>
      <c r="I8" s="3539" t="s">
        <v>2900</v>
      </c>
      <c r="J8" s="3518"/>
      <c r="K8" s="507" t="s">
        <v>522</v>
      </c>
      <c r="L8" s="2012"/>
      <c r="M8" s="2013"/>
      <c r="N8" s="2013"/>
      <c r="O8" s="2013"/>
      <c r="P8" s="3514"/>
      <c r="Q8" s="3515"/>
      <c r="R8" s="3498"/>
      <c r="S8" s="3499"/>
      <c r="T8" s="3500"/>
      <c r="U8" s="3501"/>
      <c r="V8" s="3516"/>
      <c r="W8" s="3516"/>
      <c r="X8" s="1499"/>
      <c r="Y8" s="3500"/>
      <c r="Z8" s="3501"/>
      <c r="AA8" s="3493"/>
      <c r="AB8" s="3493"/>
      <c r="AC8" s="3493"/>
    </row>
    <row r="9" spans="1:29" s="1202" customFormat="1" ht="15.75" thickBot="1">
      <c r="A9" s="2626"/>
      <c r="B9" s="2633" t="s">
        <v>523</v>
      </c>
      <c r="C9" s="512">
        <f>'数据-取费表'!B2</f>
        <v>44234</v>
      </c>
      <c r="D9" s="513">
        <v>100</v>
      </c>
      <c r="E9" s="514"/>
      <c r="F9" s="515">
        <f>SUMIF(67:67,YEAR(E9)&amp;"-"&amp;INT((MONTH(E9)+2)/3),68:68)</f>
        <v>0</v>
      </c>
      <c r="G9" s="516"/>
      <c r="H9" s="513">
        <f>SUMIF(67:67,YEAR(G9)&amp;"-"&amp;INT((MONTH(G9)+2)/3),68:68)</f>
        <v>0</v>
      </c>
      <c r="I9" s="516"/>
      <c r="J9" s="513">
        <f>SUMIF(67:67,YEAR(I9)&amp;"-"&amp;INT((MONTH(I9)+2)/3),68:68)</f>
        <v>0</v>
      </c>
      <c r="K9" s="517"/>
      <c r="L9" s="2014"/>
      <c r="M9" s="2015"/>
      <c r="N9" s="2015"/>
      <c r="O9" s="2015"/>
      <c r="P9" s="3494" t="s">
        <v>524</v>
      </c>
      <c r="Q9" s="3503"/>
      <c r="R9" s="1500" t="s">
        <v>8</v>
      </c>
      <c r="S9" s="1501">
        <f t="shared" ref="S9:S17" si="0">F9</f>
        <v>0</v>
      </c>
      <c r="T9" s="1500" t="s">
        <v>8</v>
      </c>
      <c r="U9" s="1501">
        <f t="shared" ref="U9:U17" si="1">H9</f>
        <v>0</v>
      </c>
      <c r="V9" s="1500" t="s">
        <v>8</v>
      </c>
      <c r="W9" s="1501">
        <f t="shared" ref="W9:W17" si="2">J9</f>
        <v>0</v>
      </c>
      <c r="X9" s="1502"/>
      <c r="Y9" s="3494" t="s">
        <v>524</v>
      </c>
      <c r="Z9" s="3495"/>
      <c r="AA9" s="1503" t="e">
        <f>D9/F9</f>
        <v>#DIV/0!</v>
      </c>
      <c r="AB9" s="1503" t="e">
        <f>D9/H9</f>
        <v>#DIV/0!</v>
      </c>
      <c r="AC9" s="1503" t="e">
        <f>D9/J9</f>
        <v>#DIV/0!</v>
      </c>
    </row>
    <row r="10" spans="1:29" s="1202"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4"/>
      <c r="M10" s="2015"/>
      <c r="N10" s="2015"/>
      <c r="O10" s="2015"/>
      <c r="P10" s="3494" t="s">
        <v>527</v>
      </c>
      <c r="Q10" s="3495"/>
      <c r="R10" s="1500" t="s">
        <v>8</v>
      </c>
      <c r="S10" s="1501">
        <f t="shared" si="0"/>
        <v>0</v>
      </c>
      <c r="T10" s="1500" t="s">
        <v>8</v>
      </c>
      <c r="U10" s="1501">
        <f t="shared" si="1"/>
        <v>0</v>
      </c>
      <c r="V10" s="1500" t="s">
        <v>8</v>
      </c>
      <c r="W10" s="1501">
        <f t="shared" si="2"/>
        <v>0</v>
      </c>
      <c r="X10" s="1502"/>
      <c r="Y10" s="3494" t="s">
        <v>527</v>
      </c>
      <c r="Z10" s="3495"/>
      <c r="AA10" s="1503" t="e">
        <f t="shared" ref="AA10:AA42" si="3">D10/F10</f>
        <v>#DIV/0!</v>
      </c>
      <c r="AB10" s="1503" t="e">
        <f t="shared" ref="AB10:AB42" si="4">D10/H10</f>
        <v>#DIV/0!</v>
      </c>
      <c r="AC10" s="1503" t="e">
        <f t="shared" ref="AC10:AC42" si="5">D10/J10</f>
        <v>#DIV/0!</v>
      </c>
    </row>
    <row r="11" spans="1:29" s="1202" customFormat="1" ht="15">
      <c r="A11" s="2628"/>
      <c r="B11" s="2635" t="s">
        <v>2736</v>
      </c>
      <c r="C11" s="519"/>
      <c r="D11" s="251">
        <v>100</v>
      </c>
      <c r="E11" s="519"/>
      <c r="F11" s="251">
        <f>SUMIF(72:72,E11,73:73)-SUMIF(72:72,C11,73:73)+100</f>
        <v>100</v>
      </c>
      <c r="G11" s="519"/>
      <c r="H11" s="251">
        <f>SUMIF(72:72,G11,73:73)-SUMIF(72:72,C11,73:73)+100</f>
        <v>100</v>
      </c>
      <c r="I11" s="519"/>
      <c r="J11" s="251">
        <f>SUMIF(72:72,I11,73:73)-SUMIF(72:72,C11,73:73)+100</f>
        <v>100</v>
      </c>
      <c r="K11" s="517"/>
      <c r="L11" s="2014"/>
      <c r="M11" s="2015"/>
      <c r="N11" s="2015"/>
      <c r="O11" s="2016"/>
      <c r="P11" s="3502" t="s">
        <v>529</v>
      </c>
      <c r="Q11" s="1133" t="str">
        <f t="shared" ref="Q11:Q17" si="6">B11</f>
        <v>用途</v>
      </c>
      <c r="R11" s="1500" t="s">
        <v>8</v>
      </c>
      <c r="S11" s="1501">
        <f t="shared" si="0"/>
        <v>100</v>
      </c>
      <c r="T11" s="1500" t="s">
        <v>8</v>
      </c>
      <c r="U11" s="1501">
        <f t="shared" si="1"/>
        <v>100</v>
      </c>
      <c r="V11" s="1500" t="s">
        <v>8</v>
      </c>
      <c r="W11" s="1501">
        <f t="shared" si="2"/>
        <v>100</v>
      </c>
      <c r="X11" s="1502"/>
      <c r="Y11" s="3453" t="s">
        <v>530</v>
      </c>
      <c r="Z11" s="1132" t="str">
        <f t="shared" ref="Z11:Z17" si="7">Q11</f>
        <v>用途</v>
      </c>
      <c r="AA11" s="1503">
        <f t="shared" si="3"/>
        <v>1</v>
      </c>
      <c r="AB11" s="1503">
        <f t="shared" si="4"/>
        <v>1</v>
      </c>
      <c r="AC11" s="1503">
        <f t="shared" si="5"/>
        <v>1</v>
      </c>
    </row>
    <row r="12" spans="1:29" s="1291" customFormat="1" ht="27">
      <c r="A12" s="2629"/>
      <c r="B12" s="2634" t="s">
        <v>2737</v>
      </c>
      <c r="C12" s="521"/>
      <c r="D12" s="252">
        <v>100</v>
      </c>
      <c r="E12" s="521"/>
      <c r="F12" s="252">
        <f>ROUND(100/'数据-取费表'!G16,0)</f>
        <v>100</v>
      </c>
      <c r="G12" s="521"/>
      <c r="H12" s="252">
        <f>ROUND(100/'数据-取费表'!G16,0)</f>
        <v>100</v>
      </c>
      <c r="I12" s="521"/>
      <c r="J12" s="252">
        <f>ROUND(100/'数据-取费表'!G16,0)</f>
        <v>100</v>
      </c>
      <c r="K12" s="524"/>
      <c r="L12" s="2017"/>
      <c r="M12" s="2056"/>
      <c r="N12" s="2056"/>
      <c r="O12" s="2018"/>
      <c r="P12" s="3502"/>
      <c r="Q12" s="1133" t="str">
        <f t="shared" si="6"/>
        <v>土地使用年限（年）</v>
      </c>
      <c r="R12" s="1500" t="s">
        <v>8</v>
      </c>
      <c r="S12" s="1501">
        <f t="shared" si="0"/>
        <v>100</v>
      </c>
      <c r="T12" s="1500" t="s">
        <v>8</v>
      </c>
      <c r="U12" s="1501">
        <f t="shared" si="1"/>
        <v>100</v>
      </c>
      <c r="V12" s="1500" t="s">
        <v>8</v>
      </c>
      <c r="W12" s="1501">
        <f t="shared" si="2"/>
        <v>100</v>
      </c>
      <c r="X12" s="1502"/>
      <c r="Y12" s="3453"/>
      <c r="Z12" s="1132" t="str">
        <f t="shared" si="7"/>
        <v>土地使用年限（年）</v>
      </c>
      <c r="AA12" s="1503">
        <f t="shared" si="3"/>
        <v>1</v>
      </c>
      <c r="AB12" s="1503">
        <f t="shared" si="4"/>
        <v>1</v>
      </c>
      <c r="AC12" s="1503">
        <f t="shared" si="5"/>
        <v>1</v>
      </c>
    </row>
    <row r="13" spans="1:29" ht="15">
      <c r="A13" s="2630"/>
      <c r="B13" s="2634"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9"/>
      <c r="M13" s="2013"/>
      <c r="N13" s="2013"/>
      <c r="O13" s="2020"/>
      <c r="P13" s="3502"/>
      <c r="Q13" s="1133" t="str">
        <f t="shared" si="6"/>
        <v>容积率</v>
      </c>
      <c r="R13" s="1500" t="s">
        <v>8</v>
      </c>
      <c r="S13" s="1501" t="e">
        <f t="shared" si="0"/>
        <v>#N/A</v>
      </c>
      <c r="T13" s="1500" t="s">
        <v>8</v>
      </c>
      <c r="U13" s="1501" t="e">
        <f t="shared" si="1"/>
        <v>#N/A</v>
      </c>
      <c r="V13" s="1500" t="s">
        <v>8</v>
      </c>
      <c r="W13" s="1501" t="e">
        <f t="shared" si="2"/>
        <v>#N/A</v>
      </c>
      <c r="X13" s="1502"/>
      <c r="Y13" s="3453"/>
      <c r="Z13" s="1132" t="str">
        <f t="shared" si="7"/>
        <v>容积率</v>
      </c>
      <c r="AA13" s="1503" t="e">
        <f t="shared" si="3"/>
        <v>#N/A</v>
      </c>
      <c r="AB13" s="1503" t="e">
        <f t="shared" si="4"/>
        <v>#N/A</v>
      </c>
      <c r="AC13" s="1503" t="e">
        <f t="shared" si="5"/>
        <v>#N/A</v>
      </c>
    </row>
    <row r="14" spans="1:29" s="1202"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4"/>
      <c r="M14" s="2015"/>
      <c r="N14" s="2015"/>
      <c r="O14" s="2016"/>
      <c r="P14" s="3502"/>
      <c r="Q14" s="1133">
        <f t="shared" si="6"/>
        <v>111</v>
      </c>
      <c r="R14" s="1500" t="s">
        <v>8</v>
      </c>
      <c r="S14" s="1501">
        <f t="shared" si="0"/>
        <v>100</v>
      </c>
      <c r="T14" s="1500" t="s">
        <v>8</v>
      </c>
      <c r="U14" s="1501">
        <f t="shared" si="1"/>
        <v>100</v>
      </c>
      <c r="V14" s="1500" t="s">
        <v>8</v>
      </c>
      <c r="W14" s="1501">
        <f t="shared" si="2"/>
        <v>100</v>
      </c>
      <c r="X14" s="1502"/>
      <c r="Y14" s="3453"/>
      <c r="Z14" s="1132">
        <f t="shared" si="7"/>
        <v>111</v>
      </c>
      <c r="AA14" s="1503">
        <f>D14/F14</f>
        <v>1</v>
      </c>
      <c r="AB14" s="1503">
        <f>D14/H14</f>
        <v>1</v>
      </c>
      <c r="AC14" s="1503">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1"/>
      <c r="M15" s="2013"/>
      <c r="N15" s="2013"/>
      <c r="O15" s="2020"/>
      <c r="P15" s="3502"/>
      <c r="Q15" s="1133">
        <f t="shared" si="6"/>
        <v>111</v>
      </c>
      <c r="R15" s="1500" t="s">
        <v>8</v>
      </c>
      <c r="S15" s="1501">
        <f t="shared" si="0"/>
        <v>100</v>
      </c>
      <c r="T15" s="1500" t="s">
        <v>8</v>
      </c>
      <c r="U15" s="1501">
        <f t="shared" si="1"/>
        <v>100</v>
      </c>
      <c r="V15" s="1500" t="s">
        <v>8</v>
      </c>
      <c r="W15" s="1501">
        <f t="shared" si="2"/>
        <v>100</v>
      </c>
      <c r="X15" s="1502"/>
      <c r="Y15" s="3453"/>
      <c r="Z15" s="1132">
        <f t="shared" si="7"/>
        <v>111</v>
      </c>
      <c r="AA15" s="1503">
        <f t="shared" si="3"/>
        <v>1</v>
      </c>
      <c r="AB15" s="1503">
        <f t="shared" si="4"/>
        <v>1</v>
      </c>
      <c r="AC15" s="1503">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1"/>
      <c r="M16" s="2013"/>
      <c r="N16" s="2013"/>
      <c r="O16" s="2020"/>
      <c r="P16" s="3502"/>
      <c r="Q16" s="1133">
        <f t="shared" si="6"/>
        <v>111</v>
      </c>
      <c r="R16" s="1500" t="s">
        <v>8</v>
      </c>
      <c r="S16" s="1501">
        <f t="shared" si="0"/>
        <v>100</v>
      </c>
      <c r="T16" s="1500" t="s">
        <v>8</v>
      </c>
      <c r="U16" s="1501">
        <f t="shared" si="1"/>
        <v>100</v>
      </c>
      <c r="V16" s="1500" t="s">
        <v>8</v>
      </c>
      <c r="W16" s="1501">
        <f t="shared" si="2"/>
        <v>100</v>
      </c>
      <c r="X16" s="1502"/>
      <c r="Y16" s="3453"/>
      <c r="Z16" s="1132">
        <f t="shared" si="7"/>
        <v>111</v>
      </c>
      <c r="AA16" s="1503">
        <f t="shared" si="3"/>
        <v>1</v>
      </c>
      <c r="AB16" s="1503">
        <f t="shared" si="4"/>
        <v>1</v>
      </c>
      <c r="AC16" s="1503">
        <f t="shared" si="5"/>
        <v>1</v>
      </c>
    </row>
    <row r="17" spans="1:29" ht="57">
      <c r="A17" s="2624" t="s">
        <v>2734</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1"/>
      <c r="M17" s="2013"/>
      <c r="N17" s="2013"/>
      <c r="O17" s="2020"/>
      <c r="P17" s="3504" t="s">
        <v>534</v>
      </c>
      <c r="Q17" s="1504" t="str">
        <f t="shared" si="6"/>
        <v>产业集聚程度</v>
      </c>
      <c r="R17" s="1505" t="s">
        <v>8</v>
      </c>
      <c r="S17" s="1506">
        <f t="shared" si="0"/>
        <v>100</v>
      </c>
      <c r="T17" s="1505" t="s">
        <v>8</v>
      </c>
      <c r="U17" s="1506">
        <f t="shared" si="1"/>
        <v>100</v>
      </c>
      <c r="V17" s="1505" t="s">
        <v>8</v>
      </c>
      <c r="W17" s="1506">
        <f t="shared" si="2"/>
        <v>100</v>
      </c>
      <c r="X17" s="1499"/>
      <c r="Y17" s="3504"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1"/>
      <c r="M18" s="2013"/>
      <c r="N18" s="2013"/>
      <c r="O18" s="2020"/>
      <c r="P18" s="3505"/>
      <c r="Q18" s="1504"/>
      <c r="R18" s="1505"/>
      <c r="S18" s="1506"/>
      <c r="T18" s="1505"/>
      <c r="U18" s="1506"/>
      <c r="V18" s="1505"/>
      <c r="W18" s="1506"/>
      <c r="X18" s="1499"/>
      <c r="Y18" s="3505"/>
      <c r="Z18" s="1507"/>
      <c r="AA18" s="1508">
        <v>1</v>
      </c>
      <c r="AB18" s="1508">
        <v>1</v>
      </c>
      <c r="AC18" s="1508">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1"/>
      <c r="M19" s="2013"/>
      <c r="N19" s="2013"/>
      <c r="O19" s="2020"/>
      <c r="P19" s="3505"/>
      <c r="Q19" s="1504" t="str">
        <f>B19</f>
        <v>交通便捷度</v>
      </c>
      <c r="R19" s="1505" t="s">
        <v>8</v>
      </c>
      <c r="S19" s="1506">
        <f>F19</f>
        <v>100</v>
      </c>
      <c r="T19" s="1505" t="s">
        <v>8</v>
      </c>
      <c r="U19" s="1506">
        <f>H19</f>
        <v>100</v>
      </c>
      <c r="V19" s="1505" t="s">
        <v>8</v>
      </c>
      <c r="W19" s="1506">
        <f>J19</f>
        <v>100</v>
      </c>
      <c r="X19" s="1499"/>
      <c r="Y19" s="3505"/>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1"/>
      <c r="M20" s="2013"/>
      <c r="N20" s="2013"/>
      <c r="O20" s="2020"/>
      <c r="P20" s="3505"/>
      <c r="Q20" s="1504"/>
      <c r="R20" s="1505"/>
      <c r="S20" s="1506"/>
      <c r="T20" s="1505"/>
      <c r="U20" s="1506"/>
      <c r="V20" s="1505"/>
      <c r="W20" s="1506"/>
      <c r="X20" s="1499"/>
      <c r="Y20" s="3505"/>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1"/>
      <c r="M21" s="2013"/>
      <c r="N21" s="2013"/>
      <c r="O21" s="2020"/>
      <c r="P21" s="3505"/>
      <c r="Q21" s="1504" t="str">
        <f t="shared" ref="Q21:Q35" si="8">B21</f>
        <v>区域土地利用方向</v>
      </c>
      <c r="R21" s="1505" t="s">
        <v>8</v>
      </c>
      <c r="S21" s="1506">
        <f>F21</f>
        <v>100</v>
      </c>
      <c r="T21" s="1505" t="s">
        <v>8</v>
      </c>
      <c r="U21" s="1506">
        <f>H21</f>
        <v>100</v>
      </c>
      <c r="V21" s="1505" t="s">
        <v>8</v>
      </c>
      <c r="W21" s="1506">
        <f>J21</f>
        <v>100</v>
      </c>
      <c r="X21" s="1499"/>
      <c r="Y21" s="3505"/>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300"/>
      <c r="L22" s="2021"/>
      <c r="M22" s="2013"/>
      <c r="N22" s="2013"/>
      <c r="O22" s="2020"/>
      <c r="P22" s="3505"/>
      <c r="Q22" s="1504"/>
      <c r="R22" s="1505"/>
      <c r="S22" s="1506"/>
      <c r="T22" s="1505"/>
      <c r="U22" s="1506"/>
      <c r="V22" s="1505"/>
      <c r="W22" s="1506"/>
      <c r="X22" s="1499"/>
      <c r="Y22" s="3505"/>
      <c r="Z22" s="1507"/>
      <c r="AA22" s="1508"/>
      <c r="AB22" s="1508"/>
      <c r="AC22" s="1508"/>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1"/>
      <c r="M23" s="2013"/>
      <c r="N23" s="2013"/>
      <c r="O23" s="2020"/>
      <c r="P23" s="3505"/>
      <c r="Q23" s="1504" t="str">
        <f t="shared" si="8"/>
        <v>环境状况</v>
      </c>
      <c r="R23" s="1505" t="s">
        <v>8</v>
      </c>
      <c r="S23" s="1506">
        <f>F23</f>
        <v>100</v>
      </c>
      <c r="T23" s="1505" t="s">
        <v>8</v>
      </c>
      <c r="U23" s="1506">
        <f>H23</f>
        <v>100</v>
      </c>
      <c r="V23" s="1505" t="s">
        <v>8</v>
      </c>
      <c r="W23" s="1506">
        <f>J23</f>
        <v>100</v>
      </c>
      <c r="X23" s="1499"/>
      <c r="Y23" s="3505"/>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1"/>
      <c r="M24" s="2013"/>
      <c r="N24" s="2013"/>
      <c r="O24" s="2020"/>
      <c r="P24" s="3505"/>
      <c r="Q24" s="1504"/>
      <c r="R24" s="1505"/>
      <c r="S24" s="1506"/>
      <c r="T24" s="1505"/>
      <c r="U24" s="1506"/>
      <c r="V24" s="1505"/>
      <c r="W24" s="1506"/>
      <c r="X24" s="1499"/>
      <c r="Y24" s="3505"/>
      <c r="Z24" s="1507"/>
      <c r="AA24" s="1508">
        <v>1</v>
      </c>
      <c r="AB24" s="1508">
        <v>1</v>
      </c>
      <c r="AC24" s="1508">
        <v>1</v>
      </c>
    </row>
    <row r="25" spans="1:29" s="1202" customFormat="1" ht="42.75">
      <c r="A25" s="570"/>
      <c r="B25" s="2434"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4"/>
      <c r="M25" s="2015"/>
      <c r="N25" s="2015"/>
      <c r="O25" s="2016"/>
      <c r="P25" s="3505"/>
      <c r="Q25" s="1133" t="str">
        <f t="shared" si="8"/>
        <v>公共配套设施</v>
      </c>
      <c r="R25" s="1500" t="s">
        <v>8</v>
      </c>
      <c r="S25" s="1501">
        <f>F25</f>
        <v>100</v>
      </c>
      <c r="T25" s="1500" t="s">
        <v>8</v>
      </c>
      <c r="U25" s="1501">
        <f>H25</f>
        <v>100</v>
      </c>
      <c r="V25" s="1500" t="s">
        <v>8</v>
      </c>
      <c r="W25" s="1501">
        <f>J25</f>
        <v>100</v>
      </c>
      <c r="X25" s="1502"/>
      <c r="Y25" s="3505"/>
      <c r="Z25" s="1132" t="str">
        <f>Q25</f>
        <v>公共配套设施</v>
      </c>
      <c r="AA25" s="1508">
        <f>D25/F25</f>
        <v>1</v>
      </c>
      <c r="AB25" s="1508">
        <f>D25/H25</f>
        <v>1</v>
      </c>
      <c r="AC25" s="1508">
        <f>D25/J25</f>
        <v>1</v>
      </c>
    </row>
    <row r="26" spans="1:29" s="1202" customFormat="1" ht="15">
      <c r="A26" s="570"/>
      <c r="B26" s="588"/>
      <c r="C26" s="2433"/>
      <c r="D26" s="548"/>
      <c r="E26" s="547"/>
      <c r="F26" s="548"/>
      <c r="G26" s="547"/>
      <c r="H26" s="548"/>
      <c r="I26" s="569"/>
      <c r="J26" s="548"/>
      <c r="K26" s="524"/>
      <c r="L26" s="2014"/>
      <c r="M26" s="2015"/>
      <c r="N26" s="2015"/>
      <c r="O26" s="2016"/>
      <c r="P26" s="3505"/>
      <c r="Q26" s="1133"/>
      <c r="R26" s="1500"/>
      <c r="S26" s="1501"/>
      <c r="T26" s="1500"/>
      <c r="U26" s="1501"/>
      <c r="V26" s="1500"/>
      <c r="W26" s="1501"/>
      <c r="X26" s="1502"/>
      <c r="Y26" s="3505"/>
      <c r="Z26" s="1132"/>
      <c r="AA26" s="1503">
        <v>1</v>
      </c>
      <c r="AB26" s="1503">
        <v>1</v>
      </c>
      <c r="AC26" s="1503">
        <v>1</v>
      </c>
    </row>
    <row r="27" spans="1:29" s="1202" customFormat="1" ht="28.5">
      <c r="A27" s="570"/>
      <c r="B27" s="2434"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4"/>
      <c r="M27" s="2015"/>
      <c r="N27" s="2015"/>
      <c r="O27" s="2016"/>
      <c r="P27" s="3505"/>
      <c r="Q27" s="2425" t="str">
        <f t="shared" ref="Q27" si="9">B27</f>
        <v>基础设施水平</v>
      </c>
      <c r="R27" s="1500" t="s">
        <v>8</v>
      </c>
      <c r="S27" s="1501">
        <f>F27</f>
        <v>100</v>
      </c>
      <c r="T27" s="1500" t="s">
        <v>8</v>
      </c>
      <c r="U27" s="1501">
        <f>H27</f>
        <v>100</v>
      </c>
      <c r="V27" s="1500" t="s">
        <v>8</v>
      </c>
      <c r="W27" s="1501">
        <f>J27</f>
        <v>100</v>
      </c>
      <c r="X27" s="1502"/>
      <c r="Y27" s="3505"/>
      <c r="Z27" s="2424" t="str">
        <f>Q27</f>
        <v>基础设施水平</v>
      </c>
      <c r="AA27" s="1508">
        <f>D27/F27</f>
        <v>1</v>
      </c>
      <c r="AB27" s="1508">
        <f>D27/H27</f>
        <v>1</v>
      </c>
      <c r="AC27" s="1508">
        <f>D27/J27</f>
        <v>1</v>
      </c>
    </row>
    <row r="28" spans="1:29" s="1202" customFormat="1" ht="15">
      <c r="A28" s="570"/>
      <c r="B28" s="588"/>
      <c r="C28" s="2433"/>
      <c r="D28" s="548"/>
      <c r="E28" s="572"/>
      <c r="F28" s="548"/>
      <c r="G28" s="572"/>
      <c r="H28" s="548"/>
      <c r="I28" s="572"/>
      <c r="J28" s="548"/>
      <c r="K28" s="524"/>
      <c r="L28" s="2014"/>
      <c r="M28" s="2015"/>
      <c r="N28" s="2015"/>
      <c r="O28" s="2016"/>
      <c r="P28" s="3505"/>
      <c r="Q28" s="2425"/>
      <c r="R28" s="1500"/>
      <c r="S28" s="1501"/>
      <c r="T28" s="1500"/>
      <c r="U28" s="1501"/>
      <c r="V28" s="1500"/>
      <c r="W28" s="1501"/>
      <c r="X28" s="1502"/>
      <c r="Y28" s="3505"/>
      <c r="Z28" s="2424"/>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1"/>
      <c r="M29" s="2013"/>
      <c r="N29" s="2013"/>
      <c r="O29" s="2020"/>
      <c r="P29" s="3505"/>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05"/>
      <c r="Z29" s="1507" t="str">
        <f t="shared" ref="Z29:Z42" si="13">Q29</f>
        <v>临街状况</v>
      </c>
      <c r="AA29" s="1508">
        <f t="shared" si="3"/>
        <v>1</v>
      </c>
      <c r="AB29" s="1508">
        <f t="shared" si="4"/>
        <v>1</v>
      </c>
      <c r="AC29" s="1508">
        <f t="shared" si="5"/>
        <v>1</v>
      </c>
    </row>
    <row r="30" spans="1:29" ht="27">
      <c r="A30" s="525"/>
      <c r="B30" s="910"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1"/>
      <c r="M30" s="2013"/>
      <c r="N30" s="2013"/>
      <c r="O30" s="2020"/>
      <c r="P30" s="3505"/>
      <c r="Q30" s="1504" t="str">
        <f t="shared" si="8"/>
        <v>毗邻道路的类型与等级</v>
      </c>
      <c r="R30" s="1505" t="s">
        <v>8</v>
      </c>
      <c r="S30" s="1506">
        <f t="shared" si="10"/>
        <v>100</v>
      </c>
      <c r="T30" s="1505" t="s">
        <v>8</v>
      </c>
      <c r="U30" s="1506">
        <f t="shared" si="11"/>
        <v>100</v>
      </c>
      <c r="V30" s="1505" t="s">
        <v>8</v>
      </c>
      <c r="W30" s="1506">
        <f t="shared" si="12"/>
        <v>100</v>
      </c>
      <c r="X30" s="1499"/>
      <c r="Y30" s="3505"/>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1"/>
      <c r="M31" s="2013"/>
      <c r="N31" s="2013"/>
      <c r="O31" s="2020"/>
      <c r="P31" s="3505"/>
      <c r="Q31" s="1504"/>
      <c r="R31" s="1505"/>
      <c r="S31" s="1506"/>
      <c r="T31" s="1505"/>
      <c r="U31" s="1506"/>
      <c r="V31" s="1505"/>
      <c r="W31" s="1506"/>
      <c r="X31" s="1499"/>
      <c r="Y31" s="3505"/>
      <c r="Z31" s="1507"/>
      <c r="AA31" s="1508">
        <v>1</v>
      </c>
      <c r="AB31" s="1508">
        <v>1</v>
      </c>
      <c r="AC31" s="1508">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1"/>
      <c r="M32" s="2013"/>
      <c r="N32" s="2013"/>
      <c r="O32" s="2020"/>
      <c r="P32" s="3505"/>
      <c r="Q32" s="1504" t="str">
        <f t="shared" si="8"/>
        <v>土地级别</v>
      </c>
      <c r="R32" s="1505" t="s">
        <v>8</v>
      </c>
      <c r="S32" s="1506">
        <f t="shared" si="10"/>
        <v>100</v>
      </c>
      <c r="T32" s="1505" t="s">
        <v>8</v>
      </c>
      <c r="U32" s="1506">
        <f t="shared" si="11"/>
        <v>100</v>
      </c>
      <c r="V32" s="1505" t="s">
        <v>8</v>
      </c>
      <c r="W32" s="1506">
        <f t="shared" si="12"/>
        <v>100</v>
      </c>
      <c r="X32" s="1499"/>
      <c r="Y32" s="3505"/>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1"/>
      <c r="M33" s="2013"/>
      <c r="N33" s="2013"/>
      <c r="O33" s="2020"/>
      <c r="P33" s="3505"/>
      <c r="Q33" s="1504">
        <f t="shared" si="8"/>
        <v>111</v>
      </c>
      <c r="R33" s="1505" t="s">
        <v>8</v>
      </c>
      <c r="S33" s="1506">
        <f t="shared" si="10"/>
        <v>100</v>
      </c>
      <c r="T33" s="1505" t="s">
        <v>8</v>
      </c>
      <c r="U33" s="1506">
        <f t="shared" si="11"/>
        <v>100</v>
      </c>
      <c r="V33" s="1505" t="s">
        <v>8</v>
      </c>
      <c r="W33" s="1506">
        <f t="shared" si="12"/>
        <v>100</v>
      </c>
      <c r="X33" s="1499"/>
      <c r="Y33" s="3505"/>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1"/>
      <c r="M34" s="2013"/>
      <c r="N34" s="2013"/>
      <c r="O34" s="2020"/>
      <c r="P34" s="3506" t="s">
        <v>544</v>
      </c>
      <c r="Q34" s="1504">
        <f t="shared" si="8"/>
        <v>111</v>
      </c>
      <c r="R34" s="1505" t="s">
        <v>8</v>
      </c>
      <c r="S34" s="1506">
        <f t="shared" si="10"/>
        <v>100</v>
      </c>
      <c r="T34" s="1505" t="s">
        <v>8</v>
      </c>
      <c r="U34" s="1506">
        <f t="shared" si="11"/>
        <v>100</v>
      </c>
      <c r="V34" s="1505" t="s">
        <v>8</v>
      </c>
      <c r="W34" s="1506">
        <f t="shared" si="12"/>
        <v>100</v>
      </c>
      <c r="X34" s="1499"/>
      <c r="Y34" s="3507" t="s">
        <v>544</v>
      </c>
      <c r="Z34" s="1507">
        <f t="shared" si="13"/>
        <v>111</v>
      </c>
      <c r="AA34" s="1508">
        <f t="shared" si="3"/>
        <v>1</v>
      </c>
      <c r="AB34" s="1508">
        <f t="shared" si="4"/>
        <v>1</v>
      </c>
      <c r="AC34" s="1508">
        <f t="shared" si="5"/>
        <v>1</v>
      </c>
    </row>
    <row r="35" spans="1:29" s="1292"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9"/>
      <c r="M35" s="2049"/>
      <c r="N35" s="2049"/>
      <c r="O35" s="2022"/>
      <c r="P35" s="3507"/>
      <c r="Q35" s="1504">
        <f t="shared" si="8"/>
        <v>111</v>
      </c>
      <c r="R35" s="1509" t="s">
        <v>8</v>
      </c>
      <c r="S35" s="1510">
        <f t="shared" si="10"/>
        <v>100</v>
      </c>
      <c r="T35" s="1509" t="s">
        <v>8</v>
      </c>
      <c r="U35" s="1510">
        <f t="shared" si="11"/>
        <v>100</v>
      </c>
      <c r="V35" s="1509" t="s">
        <v>8</v>
      </c>
      <c r="W35" s="1510">
        <f t="shared" si="12"/>
        <v>100</v>
      </c>
      <c r="X35" s="1511"/>
      <c r="Y35" s="3507"/>
      <c r="Z35" s="1512">
        <f t="shared" si="13"/>
        <v>111</v>
      </c>
      <c r="AA35" s="1508">
        <f t="shared" si="3"/>
        <v>1</v>
      </c>
      <c r="AB35" s="1508">
        <f t="shared" si="4"/>
        <v>1</v>
      </c>
      <c r="AC35" s="1508">
        <f t="shared" si="5"/>
        <v>1</v>
      </c>
    </row>
    <row r="36" spans="1:29" ht="15">
      <c r="A36" s="2621"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1"/>
      <c r="M36" s="2013"/>
      <c r="N36" s="2013"/>
      <c r="O36" s="2020"/>
      <c r="P36" s="3507"/>
      <c r="Q36" s="1504" t="str">
        <f>B36</f>
        <v>宗地面积</v>
      </c>
      <c r="R36" s="1505" t="s">
        <v>8</v>
      </c>
      <c r="S36" s="1506" t="e">
        <f t="shared" si="10"/>
        <v>#N/A</v>
      </c>
      <c r="T36" s="1505" t="s">
        <v>8</v>
      </c>
      <c r="U36" s="1506" t="e">
        <f t="shared" si="11"/>
        <v>#N/A</v>
      </c>
      <c r="V36" s="1505" t="s">
        <v>8</v>
      </c>
      <c r="W36" s="1506" t="e">
        <f t="shared" si="12"/>
        <v>#N/A</v>
      </c>
      <c r="X36" s="1499"/>
      <c r="Y36" s="3507"/>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1"/>
      <c r="M37" s="2013"/>
      <c r="N37" s="2013"/>
      <c r="O37" s="2020"/>
      <c r="P37" s="3507"/>
      <c r="Q37" s="1504" t="str">
        <f t="shared" ref="Q37:Q42" si="14">B37</f>
        <v>宗地形状</v>
      </c>
      <c r="R37" s="1505" t="s">
        <v>8</v>
      </c>
      <c r="S37" s="1506">
        <f t="shared" si="10"/>
        <v>100</v>
      </c>
      <c r="T37" s="1505" t="s">
        <v>8</v>
      </c>
      <c r="U37" s="1506">
        <f t="shared" si="11"/>
        <v>100</v>
      </c>
      <c r="V37" s="1505" t="s">
        <v>8</v>
      </c>
      <c r="W37" s="1506">
        <f t="shared" si="12"/>
        <v>100</v>
      </c>
      <c r="X37" s="1499"/>
      <c r="Y37" s="3507"/>
      <c r="Z37" s="1507" t="str">
        <f t="shared" si="13"/>
        <v>宗地形状</v>
      </c>
      <c r="AA37" s="1508">
        <f t="shared" si="3"/>
        <v>1</v>
      </c>
      <c r="AB37" s="1508">
        <f t="shared" si="4"/>
        <v>1</v>
      </c>
      <c r="AC37" s="1508">
        <f t="shared" si="5"/>
        <v>1</v>
      </c>
    </row>
    <row r="38" spans="1:29" s="1202" customFormat="1" ht="15">
      <c r="A38" s="593"/>
      <c r="B38" s="1806" t="s">
        <v>2408</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4"/>
      <c r="M38" s="2015"/>
      <c r="N38" s="2015"/>
      <c r="O38" s="2016"/>
      <c r="P38" s="3507"/>
      <c r="Q38" s="1504" t="str">
        <f t="shared" si="14"/>
        <v>宗地开发程度</v>
      </c>
      <c r="R38" s="1500" t="s">
        <v>8</v>
      </c>
      <c r="S38" s="1501">
        <f t="shared" si="10"/>
        <v>100</v>
      </c>
      <c r="T38" s="1500" t="s">
        <v>8</v>
      </c>
      <c r="U38" s="1501">
        <f t="shared" si="11"/>
        <v>100</v>
      </c>
      <c r="V38" s="1500" t="s">
        <v>8</v>
      </c>
      <c r="W38" s="1501">
        <f t="shared" si="12"/>
        <v>100</v>
      </c>
      <c r="X38" s="1502"/>
      <c r="Y38" s="3507"/>
      <c r="Z38" s="1132"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507" t="s">
        <v>595</v>
      </c>
      <c r="Q39" s="1504" t="str">
        <f t="shared" si="14"/>
        <v>工程地质条件</v>
      </c>
      <c r="R39" s="1505" t="s">
        <v>8</v>
      </c>
      <c r="S39" s="1506">
        <f t="shared" si="10"/>
        <v>100</v>
      </c>
      <c r="T39" s="1505" t="s">
        <v>8</v>
      </c>
      <c r="U39" s="1506">
        <f t="shared" si="11"/>
        <v>100</v>
      </c>
      <c r="V39" s="1505" t="s">
        <v>8</v>
      </c>
      <c r="W39" s="1506">
        <f t="shared" si="12"/>
        <v>100</v>
      </c>
      <c r="X39" s="1499"/>
      <c r="Y39" s="3507"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1"/>
      <c r="M40" s="2013"/>
      <c r="N40" s="2013"/>
      <c r="O40" s="2020"/>
      <c r="P40" s="3507"/>
      <c r="Q40" s="1504">
        <f t="shared" si="14"/>
        <v>111</v>
      </c>
      <c r="R40" s="1505" t="s">
        <v>8</v>
      </c>
      <c r="S40" s="1506">
        <f t="shared" si="10"/>
        <v>100</v>
      </c>
      <c r="T40" s="1505" t="s">
        <v>8</v>
      </c>
      <c r="U40" s="1506">
        <f t="shared" si="11"/>
        <v>100</v>
      </c>
      <c r="V40" s="1505" t="s">
        <v>8</v>
      </c>
      <c r="W40" s="1506">
        <f t="shared" si="12"/>
        <v>100</v>
      </c>
      <c r="X40" s="1499"/>
      <c r="Y40" s="3507"/>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1"/>
      <c r="M41" s="2013"/>
      <c r="N41" s="2013"/>
      <c r="O41" s="2020"/>
      <c r="P41" s="3507"/>
      <c r="Q41" s="1504">
        <f t="shared" si="14"/>
        <v>111</v>
      </c>
      <c r="R41" s="1505" t="s">
        <v>8</v>
      </c>
      <c r="S41" s="1506">
        <f t="shared" si="10"/>
        <v>100</v>
      </c>
      <c r="T41" s="1505" t="s">
        <v>8</v>
      </c>
      <c r="U41" s="1506">
        <f t="shared" si="11"/>
        <v>100</v>
      </c>
      <c r="V41" s="1505" t="s">
        <v>8</v>
      </c>
      <c r="W41" s="1506">
        <f t="shared" si="12"/>
        <v>100</v>
      </c>
      <c r="X41" s="1499"/>
      <c r="Y41" s="3507"/>
      <c r="Z41" s="1507">
        <f t="shared" si="13"/>
        <v>111</v>
      </c>
      <c r="AA41" s="1508">
        <f t="shared" si="3"/>
        <v>1</v>
      </c>
      <c r="AB41" s="1508">
        <f t="shared" si="4"/>
        <v>1</v>
      </c>
      <c r="AC41" s="1508">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9"/>
      <c r="M42" s="2049"/>
      <c r="N42" s="2049"/>
      <c r="O42" s="2022"/>
      <c r="P42" s="3507"/>
      <c r="Q42" s="1504">
        <f t="shared" si="14"/>
        <v>111</v>
      </c>
      <c r="R42" s="1509" t="s">
        <v>8</v>
      </c>
      <c r="S42" s="1510">
        <f t="shared" si="10"/>
        <v>100</v>
      </c>
      <c r="T42" s="1509" t="s">
        <v>8</v>
      </c>
      <c r="U42" s="1510">
        <f t="shared" si="11"/>
        <v>100</v>
      </c>
      <c r="V42" s="1509" t="s">
        <v>8</v>
      </c>
      <c r="W42" s="1510">
        <f t="shared" si="12"/>
        <v>100</v>
      </c>
      <c r="X42" s="1511"/>
      <c r="Y42" s="3507"/>
      <c r="Z42" s="1512">
        <f t="shared" si="13"/>
        <v>111</v>
      </c>
      <c r="AA42" s="1508">
        <f t="shared" si="3"/>
        <v>1</v>
      </c>
      <c r="AB42" s="1508">
        <f t="shared" si="4"/>
        <v>1</v>
      </c>
      <c r="AC42" s="1508">
        <f t="shared" si="5"/>
        <v>1</v>
      </c>
    </row>
    <row r="43" spans="1:29" ht="15">
      <c r="A43" s="600" t="s">
        <v>550</v>
      </c>
      <c r="B43" s="601" t="s">
        <v>2901</v>
      </c>
      <c r="C43" s="602" t="s">
        <v>1</v>
      </c>
      <c r="D43" s="603"/>
      <c r="E43" s="604"/>
      <c r="F43" s="605"/>
      <c r="G43" s="606"/>
      <c r="H43" s="607"/>
      <c r="I43" s="604"/>
      <c r="J43" s="607"/>
      <c r="K43" s="1293"/>
      <c r="L43" s="2023"/>
      <c r="M43" s="2013"/>
      <c r="N43" s="2013"/>
      <c r="O43" s="2024"/>
      <c r="P43" s="3502" t="str">
        <f>A43</f>
        <v>成交单价</v>
      </c>
      <c r="Q43" s="3502"/>
      <c r="R43" s="3516">
        <f>E43</f>
        <v>0</v>
      </c>
      <c r="S43" s="3516"/>
      <c r="T43" s="3516">
        <f>G43</f>
        <v>0</v>
      </c>
      <c r="U43" s="3516"/>
      <c r="V43" s="3516">
        <f>I43</f>
        <v>0</v>
      </c>
      <c r="W43" s="3516"/>
      <c r="X43" s="1494"/>
      <c r="Y43" s="1513"/>
      <c r="Z43" s="1494"/>
      <c r="AA43" s="1494"/>
      <c r="AB43" s="1494"/>
      <c r="AC43" s="1494"/>
    </row>
    <row r="44" spans="1:29" ht="15.75" thickBot="1">
      <c r="A44" s="608" t="s">
        <v>2673</v>
      </c>
      <c r="B44" s="609"/>
      <c r="C44" s="610" t="e">
        <f>R45</f>
        <v>#DIV/0!</v>
      </c>
      <c r="D44" s="3011" t="s">
        <v>2970</v>
      </c>
      <c r="E44" s="610" t="e">
        <f>R44</f>
        <v>#DIV/0!</v>
      </c>
      <c r="F44" s="3012"/>
      <c r="G44" s="611" t="e">
        <f>T44</f>
        <v>#DIV/0!</v>
      </c>
      <c r="H44" s="3012"/>
      <c r="I44" s="610" t="e">
        <f>V44</f>
        <v>#DIV/0!</v>
      </c>
      <c r="J44" s="3012"/>
      <c r="K44" s="3013">
        <f>F44+H44+J44</f>
        <v>0</v>
      </c>
      <c r="L44" s="2023"/>
      <c r="M44" s="2013"/>
      <c r="N44" s="2013"/>
      <c r="O44" s="2024"/>
      <c r="P44" s="3502" t="str">
        <f>A44</f>
        <v>比较价格（元/平方米）</v>
      </c>
      <c r="Q44" s="3502"/>
      <c r="R44" s="3528" t="e">
        <f>ROUND(PRODUCT(R43,AA9:AA42),0)</f>
        <v>#DIV/0!</v>
      </c>
      <c r="S44" s="3528"/>
      <c r="T44" s="3528" t="e">
        <f>ROUND(PRODUCT(T43,AB9:AB42),0)</f>
        <v>#DIV/0!</v>
      </c>
      <c r="U44" s="3528"/>
      <c r="V44" s="3528" t="e">
        <f>ROUND(PRODUCT(V43,AC9:AC42),0)</f>
        <v>#DIV/0!</v>
      </c>
      <c r="W44" s="3528"/>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4"/>
      <c r="L45" s="2023"/>
      <c r="M45" s="2013"/>
      <c r="N45" s="2013"/>
      <c r="O45" s="2024"/>
      <c r="P45" s="3525" t="str">
        <f>A45</f>
        <v>估价对象XX用房的比较价格（楼面单价，元/平方米）</v>
      </c>
      <c r="Q45" s="3526"/>
      <c r="R45" s="3534" t="e">
        <f>ROUND(IF(D44="简单平均",AVERAGE(R44:W44),R44*F44+T44*H44+V44*J44),0)</f>
        <v>#DIV/0!</v>
      </c>
      <c r="S45" s="3534"/>
      <c r="T45" s="3534"/>
      <c r="U45" s="3534"/>
      <c r="V45" s="3534"/>
      <c r="W45" s="3534"/>
      <c r="X45" s="1494"/>
      <c r="Y45" s="1494"/>
      <c r="Z45" s="1494"/>
      <c r="AA45" s="1494"/>
      <c r="AB45" s="1494"/>
      <c r="AC45" s="1494"/>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7" customFormat="1" ht="13.5" customHeight="1">
      <c r="A50" s="3212"/>
      <c r="B50" s="3212"/>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7"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20" t="s">
        <v>554</v>
      </c>
      <c r="B52" s="621" t="s">
        <v>555</v>
      </c>
      <c r="C52" s="1495" t="s">
        <v>1715</v>
      </c>
      <c r="D52" s="2104" t="s">
        <v>2280</v>
      </c>
      <c r="E52" s="622" t="s">
        <v>556</v>
      </c>
      <c r="F52" s="1862" t="s">
        <v>557</v>
      </c>
      <c r="G52" s="3529" t="s">
        <v>2271</v>
      </c>
      <c r="H52" s="3530"/>
      <c r="I52" s="1863" t="s">
        <v>1934</v>
      </c>
      <c r="J52" s="1491" t="str">
        <f>项目基本情况!F41</f>
        <v>石家庄市</v>
      </c>
      <c r="K52" s="2032" t="s">
        <v>1714</v>
      </c>
      <c r="L52" s="2028"/>
      <c r="M52" s="2024"/>
      <c r="N52" s="2024"/>
      <c r="O52" s="2024"/>
      <c r="P52" s="2024"/>
      <c r="Q52" s="2024"/>
      <c r="R52" s="2024"/>
      <c r="S52" s="2024"/>
      <c r="T52" s="2024"/>
      <c r="U52" s="2024"/>
      <c r="V52" s="2024"/>
      <c r="W52" s="2024"/>
      <c r="X52" s="2024"/>
      <c r="Y52" s="2024"/>
      <c r="Z52" s="2024"/>
      <c r="AA52" s="2024"/>
      <c r="AB52" s="2024"/>
      <c r="AC52" s="2024"/>
    </row>
    <row r="53" spans="1:29" s="1298" customFormat="1" ht="12.75">
      <c r="A53" s="624" t="s">
        <v>558</v>
      </c>
      <c r="B53" s="625" t="e">
        <f>C45</f>
        <v>#DIV/0!</v>
      </c>
      <c r="C53" s="626">
        <v>1</v>
      </c>
      <c r="D53" s="2105">
        <v>1</v>
      </c>
      <c r="E53" s="626">
        <f>'数据-汇总表'!E8+'数据-汇总表'!E9</f>
        <v>114482.58</v>
      </c>
      <c r="F53" s="1861" t="e">
        <f t="shared" ref="F53:F62" si="15">ROUND(B53*E53/10000,0)</f>
        <v>#DIV/0!</v>
      </c>
      <c r="G53" s="3531"/>
      <c r="H53" s="3532"/>
      <c r="I53" s="1864">
        <v>1</v>
      </c>
      <c r="J53" s="1492">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8" customFormat="1" ht="12.75">
      <c r="A54" s="628" t="s">
        <v>559</v>
      </c>
      <c r="B54" s="629" t="e">
        <f>ROUND($C$45*C54*D54,0)</f>
        <v>#DIV/0!</v>
      </c>
      <c r="C54" s="371">
        <f t="shared" ref="C54:C62" si="16">IF($C$52="北京市系数",I54,J54)</f>
        <v>0</v>
      </c>
      <c r="D54" s="2106">
        <v>0.25</v>
      </c>
      <c r="E54" s="630"/>
      <c r="F54" s="1861" t="e">
        <f t="shared" si="15"/>
        <v>#DIV/0!</v>
      </c>
      <c r="G54" s="3533" t="s">
        <v>2272</v>
      </c>
      <c r="H54" s="1865">
        <f>项目基本情况!B43</f>
        <v>0</v>
      </c>
      <c r="I54" s="1864">
        <f>SUMIF(修正!$A$45:$A$56,H54,修正!B45:B56)</f>
        <v>0</v>
      </c>
      <c r="J54" s="1493"/>
      <c r="K54" s="3216"/>
      <c r="L54" s="2033"/>
      <c r="M54" s="2033"/>
      <c r="N54" s="2033"/>
      <c r="O54" s="2033"/>
      <c r="P54" s="2033"/>
      <c r="Q54" s="2033"/>
      <c r="R54" s="2033"/>
      <c r="S54" s="2033"/>
      <c r="T54" s="2033"/>
      <c r="U54" s="2033"/>
      <c r="V54" s="2033"/>
      <c r="W54" s="2033"/>
      <c r="X54" s="2033"/>
      <c r="Y54" s="2033"/>
      <c r="Z54" s="2033"/>
      <c r="AA54" s="2033"/>
      <c r="AB54" s="2033"/>
      <c r="AC54" s="2033"/>
    </row>
    <row r="55" spans="1:29" s="1298" customFormat="1" ht="12.75">
      <c r="A55" s="628" t="s">
        <v>560</v>
      </c>
      <c r="B55" s="629" t="e">
        <f t="shared" ref="B55:B62" si="17">ROUND($C$45*C55*D55,0)</f>
        <v>#DIV/0!</v>
      </c>
      <c r="C55" s="371">
        <f t="shared" si="16"/>
        <v>0</v>
      </c>
      <c r="D55" s="2106">
        <v>0.25</v>
      </c>
      <c r="E55" s="630"/>
      <c r="F55" s="1861" t="e">
        <f t="shared" si="15"/>
        <v>#DIV/0!</v>
      </c>
      <c r="G55" s="3533"/>
      <c r="H55" s="1866">
        <f>项目基本情况!B43</f>
        <v>0</v>
      </c>
      <c r="I55" s="1864">
        <f>SUMIF(修正!$A$45:$A$56,H55,修正!C45:C56)</f>
        <v>0</v>
      </c>
      <c r="J55" s="1493"/>
      <c r="K55" s="3216"/>
      <c r="L55" s="2033"/>
      <c r="M55" s="2033"/>
      <c r="N55" s="2033"/>
      <c r="O55" s="2033"/>
      <c r="P55" s="2033"/>
      <c r="Q55" s="2033"/>
      <c r="R55" s="2033"/>
      <c r="S55" s="2033"/>
      <c r="T55" s="2033"/>
      <c r="U55" s="2033"/>
      <c r="V55" s="2033"/>
      <c r="W55" s="2033"/>
      <c r="X55" s="2033"/>
      <c r="Y55" s="2033"/>
      <c r="Z55" s="2033"/>
      <c r="AA55" s="2033"/>
      <c r="AB55" s="2033"/>
      <c r="AC55" s="2033"/>
    </row>
    <row r="56" spans="1:29" s="1298" customFormat="1" ht="12.75">
      <c r="A56" s="628" t="s">
        <v>561</v>
      </c>
      <c r="B56" s="629" t="e">
        <f t="shared" si="17"/>
        <v>#DIV/0!</v>
      </c>
      <c r="C56" s="371">
        <f t="shared" si="16"/>
        <v>0</v>
      </c>
      <c r="D56" s="2106">
        <v>0.25</v>
      </c>
      <c r="E56" s="630"/>
      <c r="F56" s="1861" t="e">
        <f t="shared" si="15"/>
        <v>#DIV/0!</v>
      </c>
      <c r="G56" s="3533"/>
      <c r="H56" s="1866">
        <f>项目基本情况!B43</f>
        <v>0</v>
      </c>
      <c r="I56" s="1864">
        <f>SUMIF(修正!$A$45:$A$56,H56,修正!D45:D56)</f>
        <v>0</v>
      </c>
      <c r="J56" s="1493"/>
      <c r="K56" s="3216"/>
      <c r="L56" s="2033"/>
      <c r="M56" s="2033"/>
      <c r="N56" s="2033"/>
      <c r="O56" s="2033"/>
      <c r="P56" s="2033"/>
      <c r="Q56" s="2033"/>
      <c r="R56" s="2033"/>
      <c r="S56" s="2033"/>
      <c r="T56" s="2033"/>
      <c r="U56" s="2033"/>
      <c r="V56" s="2033"/>
      <c r="W56" s="2033"/>
      <c r="X56" s="2033"/>
      <c r="Y56" s="2033"/>
      <c r="Z56" s="2033"/>
      <c r="AA56" s="2033"/>
      <c r="AB56" s="2033"/>
      <c r="AC56" s="2033"/>
    </row>
    <row r="57" spans="1:29" s="1298" customFormat="1" ht="12.75">
      <c r="A57" s="628" t="s">
        <v>562</v>
      </c>
      <c r="B57" s="629" t="e">
        <f t="shared" si="17"/>
        <v>#DIV/0!</v>
      </c>
      <c r="C57" s="371">
        <f t="shared" si="16"/>
        <v>0</v>
      </c>
      <c r="D57" s="2106">
        <v>0.25</v>
      </c>
      <c r="E57" s="630"/>
      <c r="F57" s="1861" t="e">
        <f t="shared" si="15"/>
        <v>#DIV/0!</v>
      </c>
      <c r="G57" s="3533"/>
      <c r="H57" s="1866">
        <f>项目基本情况!B43</f>
        <v>0</v>
      </c>
      <c r="I57" s="1864">
        <f>SUMIF(修正!$A$45:$A$56,H57,修正!E45:E56)</f>
        <v>0</v>
      </c>
      <c r="J57" s="1493"/>
      <c r="K57" s="3216"/>
      <c r="L57" s="2033"/>
      <c r="M57" s="2033"/>
      <c r="N57" s="2033"/>
      <c r="O57" s="2033"/>
      <c r="P57" s="2033"/>
      <c r="Q57" s="2033"/>
      <c r="R57" s="2033"/>
      <c r="S57" s="2033"/>
      <c r="T57" s="2033"/>
      <c r="U57" s="2033"/>
      <c r="V57" s="2033"/>
      <c r="W57" s="2033"/>
      <c r="X57" s="2033"/>
      <c r="Y57" s="2033"/>
      <c r="Z57" s="2033"/>
      <c r="AA57" s="2033"/>
      <c r="AB57" s="2033"/>
      <c r="AC57" s="2033"/>
    </row>
    <row r="58" spans="1:29" s="1298" customFormat="1" ht="12.75">
      <c r="A58" s="2208" t="s">
        <v>2315</v>
      </c>
      <c r="B58" s="629" t="e">
        <f t="shared" si="17"/>
        <v>#DIV/0!</v>
      </c>
      <c r="C58" s="371">
        <f t="shared" si="16"/>
        <v>0</v>
      </c>
      <c r="D58" s="2106">
        <v>0.25</v>
      </c>
      <c r="E58" s="632">
        <f>'数据-汇总表'!E11</f>
        <v>0</v>
      </c>
      <c r="F58" s="1861" t="e">
        <f t="shared" si="15"/>
        <v>#DIV/0!</v>
      </c>
      <c r="G58" s="1867" t="s">
        <v>2273</v>
      </c>
      <c r="H58" s="1866">
        <f>项目基本情况!C43</f>
        <v>0</v>
      </c>
      <c r="I58" s="1864">
        <f>SUMIF(修正!$A$45:$A$56,H58,修正!F45:F56)</f>
        <v>0</v>
      </c>
      <c r="J58" s="1493"/>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563</v>
      </c>
      <c r="B59" s="629" t="e">
        <f t="shared" si="17"/>
        <v>#DIV/0!</v>
      </c>
      <c r="C59" s="371">
        <f t="shared" si="16"/>
        <v>0</v>
      </c>
      <c r="D59" s="2106">
        <v>0.25</v>
      </c>
      <c r="E59" s="632">
        <f>'数据-汇总表'!E12</f>
        <v>11488</v>
      </c>
      <c r="F59" s="1861" t="e">
        <f t="shared" si="15"/>
        <v>#DIV/0!</v>
      </c>
      <c r="G59" s="1857" t="s">
        <v>1668</v>
      </c>
      <c r="H59" s="1865">
        <f>IF(G59="商业",项目基本情况!B43,IF(G59="办公",项目基本情况!C43,IF(G59="住宅",项目基本情况!D43,项目基本情况!E43)))</f>
        <v>0</v>
      </c>
      <c r="I59" s="1864">
        <f>SUMIF(修正!$A$45:$A$56,H59,修正!G45:G56)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564</v>
      </c>
      <c r="B60" s="629" t="e">
        <f t="shared" si="17"/>
        <v>#DIV/0!</v>
      </c>
      <c r="C60" s="371">
        <f t="shared" si="16"/>
        <v>0</v>
      </c>
      <c r="D60" s="2106">
        <v>0.25</v>
      </c>
      <c r="E60" s="632">
        <f>'数据-汇总表'!E13</f>
        <v>27101</v>
      </c>
      <c r="F60" s="1861" t="e">
        <f t="shared" si="15"/>
        <v>#DIV/0!</v>
      </c>
      <c r="G60" s="1857" t="s">
        <v>914</v>
      </c>
      <c r="H60" s="1865">
        <f>IF(G60="商业",项目基本情况!B43,IF(G60="办公",项目基本情况!C43,IF(G60="住宅",项目基本情况!D43,项目基本情况!E43)))</f>
        <v>0</v>
      </c>
      <c r="I60" s="1864">
        <f>SUMIF(修正!$A$45:$A$56,H60,修正!H45:H56)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565</v>
      </c>
      <c r="B61" s="629" t="e">
        <f t="shared" si="17"/>
        <v>#DIV/0!</v>
      </c>
      <c r="C61" s="371">
        <f t="shared" si="16"/>
        <v>0</v>
      </c>
      <c r="D61" s="2106">
        <v>0.25</v>
      </c>
      <c r="E61" s="632">
        <f>'数据-汇总表'!E14</f>
        <v>0</v>
      </c>
      <c r="F61" s="1861" t="e">
        <f t="shared" si="15"/>
        <v>#DIV/0!</v>
      </c>
      <c r="G61" s="1867" t="s">
        <v>2272</v>
      </c>
      <c r="H61" s="1866">
        <f>项目基本情况!B43</f>
        <v>0</v>
      </c>
      <c r="I61" s="1864">
        <f>SUMIF(修正!$A$45:$A$56,H61,修正!H45:H56)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3.5" thickBot="1">
      <c r="A62" s="628" t="s">
        <v>566</v>
      </c>
      <c r="B62" s="629" t="e">
        <f t="shared" si="17"/>
        <v>#DIV/0!</v>
      </c>
      <c r="C62" s="371">
        <f t="shared" si="16"/>
        <v>0</v>
      </c>
      <c r="D62" s="2106">
        <v>0.25</v>
      </c>
      <c r="E62" s="632">
        <f>'数据-汇总表'!E15</f>
        <v>0</v>
      </c>
      <c r="F62" s="1861" t="e">
        <f t="shared" si="15"/>
        <v>#DIV/0!</v>
      </c>
      <c r="G62" s="1868" t="s">
        <v>2273</v>
      </c>
      <c r="H62" s="1869">
        <f>项目基本情况!C43</f>
        <v>0</v>
      </c>
      <c r="I62" s="1864">
        <f>SUMIF(修正!$A$45:$A$56,H62,修正!H45:H56)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3.5" thickBot="1">
      <c r="A63" s="633" t="s">
        <v>567</v>
      </c>
      <c r="B63" s="634" t="s">
        <v>17</v>
      </c>
      <c r="C63" s="634" t="s">
        <v>18</v>
      </c>
      <c r="D63" s="634" t="s">
        <v>2281</v>
      </c>
      <c r="E63" s="634">
        <f>IF(B43="楼面地价",SUM(E53:E62),'数据-汇总表'!D3)</f>
        <v>49955.92</v>
      </c>
      <c r="F63" s="635"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2021-2-1</v>
      </c>
      <c r="D65" s="2513">
        <f>EDATE(C65,-3)</f>
        <v>44136</v>
      </c>
      <c r="E65" s="2513">
        <f t="shared" ref="E65:N65" si="18">EDATE(D65,-3)</f>
        <v>44044</v>
      </c>
      <c r="F65" s="2513">
        <f t="shared" si="18"/>
        <v>43952</v>
      </c>
      <c r="G65" s="2513">
        <f t="shared" si="18"/>
        <v>43862</v>
      </c>
      <c r="H65" s="2513">
        <f t="shared" si="18"/>
        <v>43770</v>
      </c>
      <c r="I65" s="2513">
        <f t="shared" si="18"/>
        <v>43678</v>
      </c>
      <c r="J65" s="2513">
        <f t="shared" si="18"/>
        <v>43586</v>
      </c>
      <c r="K65" s="2513">
        <f t="shared" si="18"/>
        <v>43497</v>
      </c>
      <c r="L65" s="2513">
        <f t="shared" si="18"/>
        <v>43405</v>
      </c>
      <c r="M65" s="2513">
        <f t="shared" si="18"/>
        <v>43313</v>
      </c>
      <c r="N65" s="2513">
        <f t="shared" si="18"/>
        <v>43221</v>
      </c>
      <c r="O65" s="2024"/>
      <c r="P65" s="2024"/>
      <c r="Q65" s="2024"/>
      <c r="R65" s="2024"/>
      <c r="S65" s="2024"/>
      <c r="T65" s="2024"/>
      <c r="U65" s="2024"/>
      <c r="V65" s="2024"/>
      <c r="W65" s="2024"/>
      <c r="X65" s="2024"/>
      <c r="Y65" s="2024"/>
      <c r="Z65" s="2024"/>
      <c r="AA65" s="2024"/>
      <c r="AB65" s="2024"/>
      <c r="AC65" s="2024"/>
    </row>
    <row r="66" spans="1:29" ht="21.75"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9" customFormat="1" ht="15">
      <c r="A67" s="2418" t="s">
        <v>2514</v>
      </c>
      <c r="B67" s="637"/>
      <c r="C67" s="2510" t="str">
        <f>YEAR(C65)&amp;"-"&amp;ROUNDUP(MONTH(C65)/3,0)</f>
        <v>2021-1</v>
      </c>
      <c r="D67" s="2515" t="str">
        <f t="shared" ref="D67:N67" si="19">YEAR(D65)&amp;"-"&amp;ROUNDUP(MONTH(D65)/3,0)</f>
        <v>2020-4</v>
      </c>
      <c r="E67" s="2515" t="str">
        <f t="shared" si="19"/>
        <v>2020-3</v>
      </c>
      <c r="F67" s="2515" t="str">
        <f t="shared" si="19"/>
        <v>2020-2</v>
      </c>
      <c r="G67" s="2515" t="str">
        <f t="shared" si="19"/>
        <v>2020-1</v>
      </c>
      <c r="H67" s="2515" t="str">
        <f t="shared" si="19"/>
        <v>2019-4</v>
      </c>
      <c r="I67" s="2515" t="str">
        <f t="shared" si="19"/>
        <v>2019-3</v>
      </c>
      <c r="J67" s="2515" t="str">
        <f t="shared" si="19"/>
        <v>2019-2</v>
      </c>
      <c r="K67" s="2515" t="str">
        <f t="shared" si="19"/>
        <v>2019-1</v>
      </c>
      <c r="L67" s="2515" t="str">
        <f t="shared" si="19"/>
        <v>2018-4</v>
      </c>
      <c r="M67" s="2515" t="str">
        <f t="shared" si="19"/>
        <v>2018-3</v>
      </c>
      <c r="N67" s="2515" t="str">
        <f t="shared" si="19"/>
        <v>2018-2</v>
      </c>
      <c r="O67" s="2037"/>
      <c r="P67" s="2038"/>
      <c r="Q67" s="2039"/>
      <c r="R67" s="2039"/>
      <c r="S67" s="2039"/>
      <c r="T67" s="2039"/>
      <c r="U67" s="2039"/>
      <c r="V67" s="2039"/>
      <c r="W67" s="2039"/>
      <c r="X67" s="2039"/>
      <c r="Y67" s="2039"/>
      <c r="Z67" s="2039"/>
      <c r="AA67" s="2039"/>
      <c r="AB67" s="2039"/>
      <c r="AC67" s="2039"/>
    </row>
    <row r="68" spans="1:29" s="1202" customFormat="1" ht="27.75" customHeight="1">
      <c r="A68" s="2512" t="s">
        <v>2629</v>
      </c>
      <c r="B68" s="472" t="str">
        <f>"北京市平均增长率"&amp;TEXT(基准地价!P24,"0.00%")</f>
        <v>北京市平均增长率1.28%</v>
      </c>
      <c r="C68" s="882">
        <v>100</v>
      </c>
      <c r="D68" s="721"/>
      <c r="E68" s="721"/>
      <c r="F68" s="721"/>
      <c r="G68" s="721"/>
      <c r="H68" s="721"/>
      <c r="I68" s="721"/>
      <c r="J68" s="721"/>
      <c r="K68" s="721"/>
      <c r="L68" s="721"/>
      <c r="M68" s="2508"/>
      <c r="N68" s="2509"/>
      <c r="O68" s="2040"/>
      <c r="P68" s="2036"/>
      <c r="Q68" s="1902"/>
      <c r="R68" s="1902"/>
      <c r="S68" s="1902"/>
      <c r="T68" s="1902"/>
      <c r="U68" s="1902"/>
      <c r="V68" s="1902"/>
      <c r="W68" s="1902"/>
      <c r="X68" s="1902"/>
      <c r="Y68" s="1902"/>
      <c r="Z68" s="1902"/>
      <c r="AA68" s="1902"/>
      <c r="AB68" s="1902"/>
      <c r="AC68" s="1902"/>
    </row>
    <row r="69" spans="1:29" s="1202" customFormat="1" ht="15.75" thickBot="1">
      <c r="A69" s="644" t="s">
        <v>569</v>
      </c>
      <c r="B69" s="645"/>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2" customFormat="1" ht="15">
      <c r="A70" s="650" t="s">
        <v>525</v>
      </c>
      <c r="B70" s="639"/>
      <c r="C70" s="651" t="s">
        <v>570</v>
      </c>
      <c r="D70" s="652"/>
      <c r="E70" s="652"/>
      <c r="F70" s="652"/>
      <c r="G70" s="652"/>
      <c r="H70" s="652"/>
      <c r="I70" s="652"/>
      <c r="J70" s="652"/>
      <c r="K70" s="652"/>
      <c r="L70" s="653"/>
      <c r="M70" s="654"/>
      <c r="N70" s="3225"/>
      <c r="O70" s="2040"/>
      <c r="P70" s="2041"/>
      <c r="Q70" s="2036"/>
      <c r="R70" s="1902"/>
      <c r="S70" s="1902"/>
      <c r="T70" s="1902"/>
      <c r="U70" s="1902"/>
      <c r="V70" s="1902"/>
      <c r="W70" s="1902"/>
      <c r="X70" s="1902"/>
      <c r="Y70" s="1902"/>
      <c r="Z70" s="1902"/>
      <c r="AA70" s="1902"/>
      <c r="AB70" s="1902"/>
      <c r="AC70" s="1902"/>
    </row>
    <row r="71" spans="1:29" s="1202" customFormat="1" ht="15.75" thickBot="1">
      <c r="A71" s="650"/>
      <c r="B71" s="639"/>
      <c r="C71" s="640">
        <v>100</v>
      </c>
      <c r="D71" s="641"/>
      <c r="E71" s="641"/>
      <c r="F71" s="641"/>
      <c r="G71" s="641"/>
      <c r="H71" s="641"/>
      <c r="I71" s="641"/>
      <c r="J71" s="641"/>
      <c r="K71" s="641"/>
      <c r="L71" s="641"/>
      <c r="M71" s="643"/>
      <c r="N71" s="3225"/>
      <c r="O71" s="2040"/>
      <c r="P71" s="2036"/>
      <c r="Q71" s="2036"/>
      <c r="R71" s="1902"/>
      <c r="S71" s="1902"/>
      <c r="T71" s="1902"/>
      <c r="U71" s="1902"/>
      <c r="V71" s="1902"/>
      <c r="W71" s="1902"/>
      <c r="X71" s="1902"/>
      <c r="Y71" s="1902"/>
      <c r="Z71" s="1902"/>
      <c r="AA71" s="1902"/>
      <c r="AB71" s="1902"/>
      <c r="AC71" s="1902"/>
    </row>
    <row r="72" spans="1:29">
      <c r="A72" s="655" t="s">
        <v>571</v>
      </c>
      <c r="B72" s="656" t="s">
        <v>528</v>
      </c>
      <c r="C72" s="591"/>
      <c r="D72" s="591"/>
      <c r="E72" s="591"/>
      <c r="F72" s="591"/>
      <c r="G72" s="591"/>
      <c r="H72" s="591"/>
      <c r="I72" s="591"/>
      <c r="J72" s="591"/>
      <c r="K72" s="657"/>
      <c r="L72" s="658"/>
      <c r="M72" s="659"/>
      <c r="N72" s="3226"/>
      <c r="O72" s="2042"/>
      <c r="P72" s="2043"/>
      <c r="Q72" s="2036"/>
      <c r="R72" s="2024"/>
      <c r="S72" s="2024"/>
      <c r="T72" s="2024"/>
      <c r="U72" s="2024"/>
      <c r="V72" s="2024"/>
      <c r="W72" s="2024"/>
      <c r="X72" s="2024"/>
      <c r="Y72" s="2024"/>
      <c r="Z72" s="2024"/>
      <c r="AA72" s="2024"/>
      <c r="AB72" s="2024"/>
      <c r="AC72" s="2024"/>
    </row>
    <row r="73" spans="1:29" ht="15.75" thickBot="1">
      <c r="A73" s="660"/>
      <c r="B73" s="661"/>
      <c r="C73" s="662"/>
      <c r="D73" s="662"/>
      <c r="E73" s="662"/>
      <c r="F73" s="662"/>
      <c r="G73" s="662"/>
      <c r="H73" s="662"/>
      <c r="I73" s="662"/>
      <c r="J73" s="662"/>
      <c r="K73" s="662"/>
      <c r="L73" s="662"/>
      <c r="M73" s="663"/>
      <c r="N73" s="3227"/>
      <c r="O73" s="2044"/>
      <c r="P73" s="2043"/>
      <c r="Q73" s="2036"/>
      <c r="R73" s="2024"/>
      <c r="S73" s="2024"/>
      <c r="T73" s="2024"/>
      <c r="U73" s="2024"/>
      <c r="V73" s="2024"/>
      <c r="W73" s="2024"/>
      <c r="X73" s="2024"/>
      <c r="Y73" s="2024"/>
      <c r="Z73" s="2024"/>
      <c r="AA73" s="2024"/>
      <c r="AB73" s="2024"/>
      <c r="AC73" s="2024"/>
    </row>
    <row r="74" spans="1:29" ht="27.75" thickTop="1">
      <c r="A74" s="660"/>
      <c r="B74" s="664" t="s">
        <v>531</v>
      </c>
      <c r="C74" s="665"/>
      <c r="D74" s="665"/>
      <c r="E74" s="665"/>
      <c r="F74" s="665"/>
      <c r="G74" s="665"/>
      <c r="H74" s="665"/>
      <c r="I74" s="665"/>
      <c r="J74" s="665"/>
      <c r="K74" s="666"/>
      <c r="L74" s="667"/>
      <c r="M74" s="668"/>
      <c r="N74" s="3226"/>
      <c r="O74" s="2042"/>
      <c r="P74" s="2043"/>
      <c r="Q74" s="2036"/>
      <c r="R74" s="2024"/>
      <c r="S74" s="2024"/>
      <c r="T74" s="2024"/>
      <c r="U74" s="2024"/>
      <c r="V74" s="2024"/>
      <c r="W74" s="2024"/>
      <c r="X74" s="2024"/>
      <c r="Y74" s="2024"/>
      <c r="Z74" s="2024"/>
      <c r="AA74" s="2024"/>
      <c r="AB74" s="2024"/>
      <c r="AC74" s="2024"/>
    </row>
    <row r="75" spans="1:29" ht="15.75" thickBot="1">
      <c r="A75" s="660"/>
      <c r="B75" s="669"/>
      <c r="C75" s="670"/>
      <c r="D75" s="670"/>
      <c r="E75" s="670"/>
      <c r="F75" s="670"/>
      <c r="G75" s="670"/>
      <c r="H75" s="670"/>
      <c r="I75" s="670"/>
      <c r="J75" s="670"/>
      <c r="K75" s="670"/>
      <c r="L75" s="670"/>
      <c r="M75" s="671"/>
      <c r="N75" s="3227"/>
      <c r="O75" s="2044"/>
      <c r="P75" s="2043"/>
      <c r="Q75" s="2036"/>
      <c r="R75" s="2024"/>
      <c r="S75" s="2024"/>
      <c r="T75" s="2024"/>
      <c r="U75" s="2024"/>
      <c r="V75" s="2024"/>
      <c r="W75" s="2024"/>
      <c r="X75" s="2024"/>
      <c r="Y75" s="2024"/>
      <c r="Z75" s="2024"/>
      <c r="AA75" s="2024"/>
      <c r="AB75" s="2024"/>
      <c r="AC75" s="2024"/>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60"/>
      <c r="B77" s="674"/>
      <c r="C77" s="534"/>
      <c r="D77" s="534"/>
      <c r="E77" s="534"/>
      <c r="F77" s="534"/>
      <c r="G77" s="534"/>
      <c r="H77" s="534"/>
      <c r="I77" s="534"/>
      <c r="J77" s="534"/>
      <c r="K77" s="675"/>
      <c r="L77" s="676"/>
      <c r="M77" s="677"/>
      <c r="N77" s="3226"/>
      <c r="O77" s="2042"/>
      <c r="P77" s="2043"/>
      <c r="Q77" s="2036"/>
      <c r="R77" s="2024"/>
      <c r="S77" s="2024"/>
      <c r="T77" s="2024"/>
      <c r="U77" s="2024"/>
      <c r="V77" s="2024"/>
      <c r="W77" s="2024"/>
      <c r="X77" s="2024"/>
      <c r="Y77" s="2024"/>
      <c r="Z77" s="2024"/>
      <c r="AA77" s="2024"/>
      <c r="AB77" s="2024"/>
      <c r="AC77" s="2024"/>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7"/>
      <c r="O78" s="2044"/>
      <c r="P78" s="2043"/>
      <c r="Q78" s="2036"/>
      <c r="R78" s="2024"/>
      <c r="S78" s="2024"/>
      <c r="T78" s="2024"/>
      <c r="U78" s="2024"/>
      <c r="V78" s="2024"/>
      <c r="W78" s="2024"/>
      <c r="X78" s="2024"/>
      <c r="Y78" s="2024"/>
      <c r="Z78" s="2024"/>
      <c r="AA78" s="2024"/>
      <c r="AB78" s="2024"/>
      <c r="AC78" s="2024"/>
    </row>
    <row r="79" spans="1:29" s="1292" customFormat="1" ht="15.75" thickTop="1">
      <c r="A79" s="678"/>
      <c r="B79" s="664">
        <f>B14</f>
        <v>111</v>
      </c>
      <c r="C79" s="679"/>
      <c r="D79" s="679"/>
      <c r="E79" s="679"/>
      <c r="F79" s="679"/>
      <c r="G79" s="679"/>
      <c r="H79" s="680"/>
      <c r="I79" s="680"/>
      <c r="J79" s="680"/>
      <c r="K79" s="680"/>
      <c r="L79" s="681"/>
      <c r="M79" s="682"/>
      <c r="N79" s="3228"/>
      <c r="O79" s="2045"/>
      <c r="P79" s="2046"/>
      <c r="Q79" s="2047"/>
      <c r="R79" s="2048"/>
      <c r="S79" s="2048"/>
      <c r="T79" s="2048"/>
      <c r="U79" s="2048"/>
      <c r="V79" s="2048"/>
      <c r="W79" s="2048"/>
      <c r="X79" s="2048"/>
      <c r="Y79" s="2048"/>
      <c r="Z79" s="2048"/>
      <c r="AA79" s="2048"/>
      <c r="AB79" s="2048"/>
      <c r="AC79" s="2048"/>
    </row>
    <row r="80" spans="1:29" s="1292" customFormat="1" ht="15.75" thickBot="1">
      <c r="A80" s="678"/>
      <c r="B80" s="669"/>
      <c r="C80" s="683"/>
      <c r="D80" s="662"/>
      <c r="E80" s="662"/>
      <c r="F80" s="662"/>
      <c r="G80" s="662"/>
      <c r="H80" s="662"/>
      <c r="I80" s="662"/>
      <c r="J80" s="662"/>
      <c r="K80" s="662"/>
      <c r="L80" s="662"/>
      <c r="M80" s="663"/>
      <c r="N80" s="3227"/>
      <c r="O80" s="2044"/>
      <c r="P80" s="2046"/>
      <c r="Q80" s="2047"/>
      <c r="R80" s="2048"/>
      <c r="S80" s="2048"/>
      <c r="T80" s="2048"/>
      <c r="U80" s="2048"/>
      <c r="V80" s="2048"/>
      <c r="W80" s="2048"/>
      <c r="X80" s="2048"/>
      <c r="Y80" s="2048"/>
      <c r="Z80" s="2048"/>
      <c r="AA80" s="2048"/>
      <c r="AB80" s="2048"/>
      <c r="AC80" s="2048"/>
    </row>
    <row r="81" spans="1:29" s="1292" customFormat="1" ht="15.75" thickTop="1">
      <c r="A81" s="678"/>
      <c r="B81" s="664">
        <f>B15</f>
        <v>111</v>
      </c>
      <c r="C81" s="679"/>
      <c r="D81" s="679"/>
      <c r="E81" s="679"/>
      <c r="F81" s="679"/>
      <c r="G81" s="679"/>
      <c r="H81" s="680"/>
      <c r="I81" s="680"/>
      <c r="J81" s="680"/>
      <c r="K81" s="680"/>
      <c r="L81" s="681"/>
      <c r="M81" s="682"/>
      <c r="N81" s="3228"/>
      <c r="O81" s="2045"/>
      <c r="P81" s="2049"/>
      <c r="Q81" s="2050"/>
      <c r="R81" s="2048"/>
      <c r="S81" s="2048"/>
      <c r="T81" s="2048"/>
      <c r="U81" s="2048"/>
      <c r="V81" s="2048"/>
      <c r="W81" s="2048"/>
      <c r="X81" s="2048"/>
      <c r="Y81" s="2048"/>
      <c r="Z81" s="2048"/>
      <c r="AA81" s="2048"/>
      <c r="AB81" s="2048"/>
      <c r="AC81" s="2048"/>
    </row>
    <row r="82" spans="1:29" s="1292" customFormat="1" ht="15.75" thickBot="1">
      <c r="A82" s="678"/>
      <c r="B82" s="669"/>
      <c r="C82" s="683"/>
      <c r="D82" s="683"/>
      <c r="E82" s="683"/>
      <c r="F82" s="683"/>
      <c r="G82" s="683"/>
      <c r="H82" s="684"/>
      <c r="I82" s="684"/>
      <c r="J82" s="684"/>
      <c r="K82" s="684"/>
      <c r="L82" s="684"/>
      <c r="M82" s="685"/>
      <c r="N82" s="3228"/>
      <c r="O82" s="2045"/>
      <c r="P82" s="2046"/>
      <c r="Q82" s="2047"/>
      <c r="R82" s="2048"/>
      <c r="S82" s="2048"/>
      <c r="T82" s="2048"/>
      <c r="U82" s="2048"/>
      <c r="V82" s="2048"/>
      <c r="W82" s="2048"/>
      <c r="X82" s="2048"/>
      <c r="Y82" s="2048"/>
      <c r="Z82" s="2048"/>
      <c r="AA82" s="2048"/>
      <c r="AB82" s="2048"/>
      <c r="AC82" s="2048"/>
    </row>
    <row r="83" spans="1:29" s="1292" customFormat="1" ht="15.75" thickTop="1">
      <c r="A83" s="678"/>
      <c r="B83" s="672">
        <f>B16</f>
        <v>111</v>
      </c>
      <c r="C83" s="652"/>
      <c r="D83" s="652"/>
      <c r="E83" s="652"/>
      <c r="F83" s="652"/>
      <c r="G83" s="652"/>
      <c r="H83" s="686"/>
      <c r="I83" s="686"/>
      <c r="J83" s="686"/>
      <c r="K83" s="686"/>
      <c r="L83" s="687"/>
      <c r="M83" s="688"/>
      <c r="N83" s="3228"/>
      <c r="O83" s="2045"/>
      <c r="P83" s="2051"/>
      <c r="Q83" s="2047"/>
      <c r="R83" s="2048"/>
      <c r="S83" s="2048"/>
      <c r="T83" s="2048"/>
      <c r="U83" s="2048"/>
      <c r="V83" s="2048"/>
      <c r="W83" s="2048"/>
      <c r="X83" s="2048"/>
      <c r="Y83" s="2048"/>
      <c r="Z83" s="2048"/>
      <c r="AA83" s="2048"/>
      <c r="AB83" s="2048"/>
      <c r="AC83" s="2048"/>
    </row>
    <row r="84" spans="1:29" s="1292" customFormat="1" ht="15.75" thickBot="1">
      <c r="A84" s="689"/>
      <c r="B84" s="690"/>
      <c r="C84" s="691"/>
      <c r="D84" s="691"/>
      <c r="E84" s="691"/>
      <c r="F84" s="691"/>
      <c r="G84" s="691"/>
      <c r="H84" s="692"/>
      <c r="I84" s="692"/>
      <c r="J84" s="692"/>
      <c r="K84" s="692"/>
      <c r="L84" s="692"/>
      <c r="M84" s="693"/>
      <c r="N84" s="3228"/>
      <c r="O84" s="2045"/>
      <c r="P84" s="2046"/>
      <c r="Q84" s="2047"/>
      <c r="R84" s="2048"/>
      <c r="S84" s="2048"/>
      <c r="T84" s="2048"/>
      <c r="U84" s="2048"/>
      <c r="V84" s="2048"/>
      <c r="W84" s="2048"/>
      <c r="X84" s="2048"/>
      <c r="Y84" s="2048"/>
      <c r="Z84" s="2048"/>
      <c r="AA84" s="2048"/>
      <c r="AB84" s="2048"/>
      <c r="AC84" s="2048"/>
    </row>
    <row r="85" spans="1:29">
      <c r="A85" s="655" t="s">
        <v>533</v>
      </c>
      <c r="B85" s="656" t="s">
        <v>596</v>
      </c>
      <c r="C85" s="694" t="s">
        <v>573</v>
      </c>
      <c r="D85" s="694" t="s">
        <v>574</v>
      </c>
      <c r="E85" s="694" t="s">
        <v>575</v>
      </c>
      <c r="F85" s="694" t="s">
        <v>576</v>
      </c>
      <c r="G85" s="694" t="s">
        <v>577</v>
      </c>
      <c r="H85" s="695"/>
      <c r="I85" s="695"/>
      <c r="J85" s="695"/>
      <c r="K85" s="696"/>
      <c r="L85" s="697"/>
      <c r="M85" s="698"/>
      <c r="N85" s="3226"/>
      <c r="O85" s="2042"/>
      <c r="P85" s="2052"/>
      <c r="Q85" s="2036"/>
      <c r="R85" s="2024"/>
      <c r="S85" s="2024"/>
      <c r="T85" s="2024"/>
      <c r="U85" s="2024"/>
      <c r="V85" s="2024"/>
      <c r="W85" s="2024"/>
      <c r="X85" s="2024"/>
      <c r="Y85" s="2024"/>
      <c r="Z85" s="2024"/>
      <c r="AA85" s="2024"/>
      <c r="AB85" s="2024"/>
      <c r="AC85" s="2024"/>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7"/>
      <c r="O86" s="2044"/>
      <c r="P86" s="2043"/>
      <c r="Q86" s="2036"/>
      <c r="R86" s="2024"/>
      <c r="S86" s="2024"/>
      <c r="T86" s="2024"/>
      <c r="U86" s="2024"/>
      <c r="V86" s="2024"/>
      <c r="W86" s="2024"/>
      <c r="X86" s="2024"/>
      <c r="Y86" s="2024"/>
      <c r="Z86" s="2024"/>
      <c r="AA86" s="2024"/>
      <c r="AB86" s="2024"/>
      <c r="AC86" s="2024"/>
    </row>
    <row r="87" spans="1:29" ht="15.75" thickTop="1">
      <c r="A87" s="660"/>
      <c r="B87" s="664" t="s">
        <v>580</v>
      </c>
      <c r="C87" s="699" t="s">
        <v>573</v>
      </c>
      <c r="D87" s="699" t="s">
        <v>574</v>
      </c>
      <c r="E87" s="699" t="s">
        <v>575</v>
      </c>
      <c r="F87" s="699" t="s">
        <v>576</v>
      </c>
      <c r="G87" s="699" t="s">
        <v>577</v>
      </c>
      <c r="H87" s="665"/>
      <c r="I87" s="665"/>
      <c r="J87" s="665"/>
      <c r="K87" s="666"/>
      <c r="L87" s="667"/>
      <c r="M87" s="668"/>
      <c r="N87" s="3226"/>
      <c r="O87" s="2042"/>
      <c r="P87" s="2043"/>
      <c r="Q87" s="2036"/>
      <c r="R87" s="2024"/>
      <c r="S87" s="2024"/>
      <c r="T87" s="2024"/>
      <c r="U87" s="2024"/>
      <c r="V87" s="2024"/>
      <c r="W87" s="2024"/>
      <c r="X87" s="2024"/>
      <c r="Y87" s="2024"/>
      <c r="Z87" s="2024"/>
      <c r="AA87" s="2024"/>
      <c r="AB87" s="2024"/>
      <c r="AC87" s="2024"/>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7"/>
      <c r="O88" s="2044"/>
      <c r="P88" s="2043"/>
      <c r="Q88" s="2036"/>
      <c r="R88" s="2024"/>
      <c r="S88" s="2024"/>
      <c r="T88" s="2024"/>
      <c r="U88" s="2024"/>
      <c r="V88" s="2024"/>
      <c r="W88" s="2024"/>
      <c r="X88" s="2024"/>
      <c r="Y88" s="2024"/>
      <c r="Z88" s="2024"/>
      <c r="AA88" s="2024"/>
      <c r="AB88" s="2024"/>
      <c r="AC88" s="2024"/>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5"/>
      <c r="O89" s="2040"/>
      <c r="P89" s="2043"/>
      <c r="Q89" s="2036"/>
      <c r="R89" s="1902"/>
      <c r="S89" s="1902"/>
      <c r="T89" s="1902"/>
      <c r="U89" s="1902"/>
      <c r="V89" s="1902"/>
      <c r="W89" s="1902"/>
      <c r="X89" s="1902"/>
      <c r="Y89" s="1902"/>
      <c r="Z89" s="1902"/>
      <c r="AA89" s="1902"/>
      <c r="AB89" s="1902"/>
      <c r="AC89" s="1902"/>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7"/>
      <c r="O90" s="2044"/>
      <c r="P90" s="2043"/>
      <c r="Q90" s="2036"/>
      <c r="R90" s="1902"/>
      <c r="S90" s="1902"/>
      <c r="T90" s="1902"/>
      <c r="U90" s="1902"/>
      <c r="V90" s="1902"/>
      <c r="W90" s="1902"/>
      <c r="X90" s="1902"/>
      <c r="Y90" s="1902"/>
      <c r="Z90" s="1902"/>
      <c r="AA90" s="1902"/>
      <c r="AB90" s="1902"/>
      <c r="AC90" s="1902"/>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5"/>
      <c r="O91" s="2040"/>
      <c r="P91" s="2043"/>
      <c r="Q91" s="2036"/>
      <c r="R91" s="1902"/>
      <c r="S91" s="1902"/>
      <c r="T91" s="1902"/>
      <c r="U91" s="1902"/>
      <c r="V91" s="1902"/>
      <c r="W91" s="1902"/>
      <c r="X91" s="1902"/>
      <c r="Y91" s="1902"/>
      <c r="Z91" s="1902"/>
      <c r="AA91" s="1902"/>
      <c r="AB91" s="1902"/>
      <c r="AC91" s="1902"/>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7"/>
      <c r="O92" s="2044"/>
      <c r="P92" s="2043"/>
      <c r="Q92" s="2036"/>
      <c r="R92" s="1902"/>
      <c r="S92" s="1902"/>
      <c r="T92" s="1902"/>
      <c r="U92" s="1902"/>
      <c r="V92" s="1902"/>
      <c r="W92" s="1902"/>
      <c r="X92" s="1902"/>
      <c r="Y92" s="1902"/>
      <c r="Z92" s="1902"/>
      <c r="AA92" s="1902"/>
      <c r="AB92" s="1902"/>
      <c r="AC92" s="1902"/>
    </row>
    <row r="93" spans="1:29" s="1292" customFormat="1" ht="15.75" thickTop="1">
      <c r="A93" s="678"/>
      <c r="B93" s="1807" t="s">
        <v>2529</v>
      </c>
      <c r="C93" s="694" t="s">
        <v>573</v>
      </c>
      <c r="D93" s="694" t="s">
        <v>574</v>
      </c>
      <c r="E93" s="694" t="s">
        <v>575</v>
      </c>
      <c r="F93" s="694" t="s">
        <v>576</v>
      </c>
      <c r="G93" s="694" t="s">
        <v>577</v>
      </c>
      <c r="H93" s="704"/>
      <c r="I93" s="704"/>
      <c r="J93" s="704"/>
      <c r="K93" s="704"/>
      <c r="L93" s="705"/>
      <c r="M93" s="706"/>
      <c r="N93" s="3228"/>
      <c r="O93" s="2045"/>
      <c r="P93" s="2046"/>
      <c r="Q93" s="2047"/>
      <c r="R93" s="2048"/>
      <c r="S93" s="2048"/>
      <c r="T93" s="2048"/>
      <c r="U93" s="2048"/>
      <c r="V93" s="2048"/>
      <c r="W93" s="2048"/>
      <c r="X93" s="2048"/>
      <c r="Y93" s="2048"/>
      <c r="Z93" s="2048"/>
      <c r="AA93" s="2048"/>
      <c r="AB93" s="2048"/>
      <c r="AC93" s="2048"/>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8"/>
      <c r="O94" s="2045"/>
      <c r="P94" s="2046"/>
      <c r="Q94" s="2047"/>
      <c r="R94" s="2048"/>
      <c r="S94" s="2048"/>
      <c r="T94" s="2048"/>
      <c r="U94" s="2048"/>
      <c r="V94" s="2048"/>
      <c r="W94" s="2048"/>
      <c r="X94" s="2048"/>
      <c r="Y94" s="2048"/>
      <c r="Z94" s="2048"/>
      <c r="AA94" s="2048"/>
      <c r="AB94" s="2048"/>
      <c r="AC94" s="2048"/>
    </row>
    <row r="95" spans="1:29" s="1292" customFormat="1" ht="15.75" thickTop="1">
      <c r="A95" s="678"/>
      <c r="B95" s="2438" t="s">
        <v>2531</v>
      </c>
      <c r="C95" s="2439" t="s">
        <v>2532</v>
      </c>
      <c r="D95" s="2439" t="s">
        <v>2533</v>
      </c>
      <c r="E95" s="2439" t="s">
        <v>2534</v>
      </c>
      <c r="F95" s="2439" t="s">
        <v>2535</v>
      </c>
      <c r="G95" s="2439" t="s">
        <v>2536</v>
      </c>
      <c r="H95" s="704"/>
      <c r="I95" s="704"/>
      <c r="J95" s="704"/>
      <c r="K95" s="704"/>
      <c r="L95" s="704"/>
      <c r="M95" s="706"/>
      <c r="N95" s="3228"/>
      <c r="O95" s="2045"/>
      <c r="P95" s="2046"/>
      <c r="Q95" s="2047"/>
      <c r="R95" s="2048"/>
      <c r="S95" s="2048"/>
      <c r="T95" s="2048"/>
      <c r="U95" s="2048"/>
      <c r="V95" s="2048"/>
      <c r="W95" s="2048"/>
      <c r="X95" s="2048"/>
      <c r="Y95" s="2048"/>
      <c r="Z95" s="2048"/>
      <c r="AA95" s="2048"/>
      <c r="AB95" s="2048"/>
      <c r="AC95" s="2048"/>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1"/>
      <c r="N96" s="3228"/>
      <c r="O96" s="2045"/>
      <c r="P96" s="2046"/>
      <c r="Q96" s="2047"/>
      <c r="R96" s="2048"/>
      <c r="S96" s="2048"/>
      <c r="T96" s="2048"/>
      <c r="U96" s="2048"/>
      <c r="V96" s="2048"/>
      <c r="W96" s="2048"/>
      <c r="X96" s="2048"/>
      <c r="Y96" s="2048"/>
      <c r="Z96" s="2048"/>
      <c r="AA96" s="2048"/>
      <c r="AB96" s="2048"/>
      <c r="AC96" s="2048"/>
    </row>
    <row r="97" spans="1:29" ht="15.75" thickTop="1">
      <c r="A97" s="660"/>
      <c r="B97" s="664" t="str">
        <f>B29</f>
        <v>临街状况</v>
      </c>
      <c r="C97" s="665" t="s">
        <v>583</v>
      </c>
      <c r="D97" s="665" t="s">
        <v>584</v>
      </c>
      <c r="E97" s="665" t="s">
        <v>585</v>
      </c>
      <c r="F97" s="665" t="s">
        <v>586</v>
      </c>
      <c r="G97" s="665"/>
      <c r="H97" s="665"/>
      <c r="I97" s="665"/>
      <c r="J97" s="665"/>
      <c r="K97" s="666"/>
      <c r="L97" s="667"/>
      <c r="M97" s="668"/>
      <c r="N97" s="3226"/>
      <c r="O97" s="2042"/>
      <c r="P97" s="2043"/>
      <c r="Q97" s="2036"/>
      <c r="R97" s="2024"/>
      <c r="S97" s="2024"/>
      <c r="T97" s="2024"/>
      <c r="U97" s="2024"/>
      <c r="V97" s="2024"/>
      <c r="W97" s="2024"/>
      <c r="X97" s="2024"/>
      <c r="Y97" s="2024"/>
      <c r="Z97" s="2024"/>
      <c r="AA97" s="2024"/>
      <c r="AB97" s="2024"/>
      <c r="AC97" s="2024"/>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60"/>
      <c r="B99" s="664" t="s">
        <v>542</v>
      </c>
      <c r="C99" s="679"/>
      <c r="D99" s="679"/>
      <c r="E99" s="679"/>
      <c r="F99" s="679"/>
      <c r="G99" s="679"/>
      <c r="H99" s="709"/>
      <c r="I99" s="709"/>
      <c r="J99" s="709"/>
      <c r="K99" s="710"/>
      <c r="L99" s="711"/>
      <c r="M99" s="712"/>
      <c r="N99" s="3226"/>
      <c r="O99" s="2042"/>
      <c r="P99" s="2043"/>
      <c r="Q99" s="2036"/>
      <c r="R99" s="2024"/>
      <c r="S99" s="2024"/>
      <c r="T99" s="2024"/>
      <c r="U99" s="2024"/>
      <c r="V99" s="2024"/>
      <c r="W99" s="2024"/>
      <c r="X99" s="2024"/>
      <c r="Y99" s="2024"/>
      <c r="Z99" s="2024"/>
      <c r="AA99" s="2024"/>
      <c r="AB99" s="2024"/>
      <c r="AC99" s="2024"/>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60"/>
      <c r="B101" s="664" t="s">
        <v>543</v>
      </c>
      <c r="C101" s="709"/>
      <c r="D101" s="709"/>
      <c r="E101" s="709"/>
      <c r="F101" s="709"/>
      <c r="G101" s="709"/>
      <c r="H101" s="709"/>
      <c r="I101" s="709"/>
      <c r="J101" s="709"/>
      <c r="K101" s="710"/>
      <c r="L101" s="711"/>
      <c r="M101" s="712"/>
      <c r="N101" s="3226"/>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60"/>
      <c r="B103" s="672">
        <f>B33</f>
        <v>111</v>
      </c>
      <c r="C103" s="679"/>
      <c r="D103" s="679"/>
      <c r="E103" s="679"/>
      <c r="F103" s="679"/>
      <c r="G103" s="713"/>
      <c r="H103" s="713"/>
      <c r="I103" s="713"/>
      <c r="J103" s="713"/>
      <c r="K103" s="714"/>
      <c r="L103" s="715"/>
      <c r="M103" s="716"/>
      <c r="N103" s="3226"/>
      <c r="O103" s="2042"/>
      <c r="P103" s="2043"/>
      <c r="Q103" s="2036"/>
      <c r="R103" s="2024"/>
      <c r="S103" s="2024"/>
      <c r="T103" s="2024"/>
      <c r="U103" s="2024"/>
      <c r="V103" s="2024"/>
      <c r="W103" s="2024"/>
      <c r="X103" s="2024"/>
      <c r="Y103" s="2024"/>
      <c r="Z103" s="2024"/>
      <c r="AA103" s="2024"/>
      <c r="AB103" s="2024"/>
      <c r="AC103" s="2024"/>
    </row>
    <row r="104" spans="1:29" ht="15.75" thickBot="1">
      <c r="A104" s="660"/>
      <c r="B104" s="690"/>
      <c r="C104" s="683"/>
      <c r="D104" s="662"/>
      <c r="E104" s="662"/>
      <c r="F104" s="662"/>
      <c r="G104" s="717"/>
      <c r="H104" s="717"/>
      <c r="I104" s="717"/>
      <c r="J104" s="717"/>
      <c r="K104" s="717"/>
      <c r="L104" s="717"/>
      <c r="M104" s="718"/>
      <c r="N104" s="3227"/>
      <c r="O104" s="2044"/>
      <c r="P104" s="2043"/>
      <c r="Q104" s="2036"/>
      <c r="R104" s="2024"/>
      <c r="S104" s="2024"/>
      <c r="T104" s="2024"/>
      <c r="U104" s="2024"/>
      <c r="V104" s="2024"/>
      <c r="W104" s="2024"/>
      <c r="X104" s="2024"/>
      <c r="Y104" s="2024"/>
      <c r="Z104" s="2024"/>
      <c r="AA104" s="2024"/>
      <c r="AB104" s="2024"/>
      <c r="AC104" s="2024"/>
    </row>
    <row r="105" spans="1:29" ht="15" thickTop="1">
      <c r="A105" s="580"/>
      <c r="B105" s="664">
        <f>B34</f>
        <v>111</v>
      </c>
      <c r="C105" s="679"/>
      <c r="D105" s="679"/>
      <c r="E105" s="679"/>
      <c r="F105" s="679"/>
      <c r="G105" s="709"/>
      <c r="H105" s="709"/>
      <c r="I105" s="709"/>
      <c r="J105" s="709"/>
      <c r="K105" s="710"/>
      <c r="L105" s="711"/>
      <c r="M105" s="712"/>
      <c r="N105" s="3226"/>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83"/>
      <c r="D106" s="683"/>
      <c r="E106" s="683"/>
      <c r="F106" s="683"/>
      <c r="G106" s="662"/>
      <c r="H106" s="662"/>
      <c r="I106" s="662"/>
      <c r="J106" s="662"/>
      <c r="K106" s="662"/>
      <c r="L106" s="662"/>
      <c r="M106" s="663"/>
      <c r="N106" s="3227"/>
      <c r="O106" s="2044"/>
      <c r="P106" s="2043"/>
      <c r="Q106" s="2036"/>
      <c r="R106" s="2024"/>
      <c r="S106" s="2024"/>
      <c r="T106" s="2024"/>
      <c r="U106" s="2024"/>
      <c r="V106" s="2024"/>
      <c r="W106" s="2024"/>
      <c r="X106" s="2024"/>
      <c r="Y106" s="2024"/>
      <c r="Z106" s="2024"/>
      <c r="AA106" s="2024"/>
      <c r="AB106" s="2024"/>
      <c r="AC106" s="2024"/>
    </row>
    <row r="107" spans="1:29" s="1292" customFormat="1" ht="15" thickTop="1">
      <c r="A107" s="719"/>
      <c r="B107" s="720">
        <f>B35</f>
        <v>111</v>
      </c>
      <c r="C107" s="652"/>
      <c r="D107" s="652"/>
      <c r="E107" s="652"/>
      <c r="F107" s="652"/>
      <c r="G107" s="721"/>
      <c r="H107" s="721"/>
      <c r="I107" s="721"/>
      <c r="J107" s="722"/>
      <c r="K107" s="722"/>
      <c r="L107" s="723"/>
      <c r="M107" s="724"/>
      <c r="N107" s="3228"/>
      <c r="O107" s="2045"/>
      <c r="P107" s="2046"/>
      <c r="Q107" s="2047"/>
      <c r="R107" s="2048"/>
      <c r="S107" s="2048"/>
      <c r="T107" s="2048"/>
      <c r="U107" s="2048"/>
      <c r="V107" s="2048"/>
      <c r="W107" s="2048"/>
      <c r="X107" s="2048"/>
      <c r="Y107" s="2048"/>
      <c r="Z107" s="2048"/>
      <c r="AA107" s="2048"/>
      <c r="AB107" s="2048"/>
      <c r="AC107" s="2048"/>
    </row>
    <row r="108" spans="1:29" s="1292" customFormat="1" ht="15.75" thickBot="1">
      <c r="A108" s="678"/>
      <c r="B108" s="672"/>
      <c r="C108" s="691"/>
      <c r="D108" s="691"/>
      <c r="E108" s="691"/>
      <c r="F108" s="691"/>
      <c r="G108" s="585"/>
      <c r="H108" s="585"/>
      <c r="I108" s="585"/>
      <c r="J108" s="585"/>
      <c r="K108" s="585"/>
      <c r="L108" s="585"/>
      <c r="M108" s="725"/>
      <c r="N108" s="3227"/>
      <c r="O108" s="2044"/>
      <c r="P108" s="2046"/>
      <c r="Q108" s="2047"/>
      <c r="R108" s="2048"/>
      <c r="S108" s="2048"/>
      <c r="T108" s="2048"/>
      <c r="U108" s="2048"/>
      <c r="V108" s="2048"/>
      <c r="W108" s="2048"/>
      <c r="X108" s="2048"/>
      <c r="Y108" s="2048"/>
      <c r="Z108" s="2048"/>
      <c r="AA108" s="2048"/>
      <c r="AB108" s="2048"/>
      <c r="AC108" s="2048"/>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60"/>
      <c r="B110" s="672"/>
      <c r="C110" s="721"/>
      <c r="D110" s="721"/>
      <c r="E110" s="721"/>
      <c r="F110" s="721"/>
      <c r="G110" s="721"/>
      <c r="H110" s="721"/>
      <c r="I110" s="721"/>
      <c r="J110" s="722"/>
      <c r="K110" s="722"/>
      <c r="L110" s="723"/>
      <c r="M110" s="724"/>
      <c r="N110" s="3226"/>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91"/>
      <c r="D111" s="717"/>
      <c r="E111" s="717"/>
      <c r="F111" s="717"/>
      <c r="G111" s="717"/>
      <c r="H111" s="717"/>
      <c r="I111" s="717"/>
      <c r="J111" s="717"/>
      <c r="K111" s="717"/>
      <c r="L111" s="717"/>
      <c r="M111" s="718"/>
      <c r="N111" s="3227"/>
      <c r="O111" s="2044"/>
      <c r="P111" s="2043"/>
      <c r="Q111" s="2036"/>
      <c r="R111" s="2024"/>
      <c r="S111" s="2024"/>
      <c r="T111" s="2024"/>
      <c r="U111" s="2024"/>
      <c r="V111" s="2024"/>
      <c r="W111" s="2024"/>
      <c r="X111" s="2024"/>
      <c r="Y111" s="2024"/>
      <c r="Z111" s="2024"/>
      <c r="AA111" s="2024"/>
      <c r="AB111" s="2024"/>
      <c r="AC111" s="2024"/>
    </row>
    <row r="112" spans="1:29" ht="15" thickTop="1">
      <c r="A112" s="726"/>
      <c r="B112" s="664" t="s">
        <v>588</v>
      </c>
      <c r="C112" s="709"/>
      <c r="D112" s="709"/>
      <c r="E112" s="709"/>
      <c r="F112" s="709"/>
      <c r="G112" s="709"/>
      <c r="H112" s="709"/>
      <c r="I112" s="709"/>
      <c r="J112" s="709"/>
      <c r="K112" s="710"/>
      <c r="L112" s="711"/>
      <c r="M112" s="712"/>
      <c r="N112" s="3226"/>
      <c r="O112" s="2042"/>
      <c r="P112" s="2043"/>
      <c r="Q112" s="2036"/>
      <c r="R112" s="2024"/>
      <c r="S112" s="2024"/>
      <c r="T112" s="2024"/>
      <c r="U112" s="2024"/>
      <c r="V112" s="2024"/>
      <c r="W112" s="2024"/>
      <c r="X112" s="2024"/>
      <c r="Y112" s="2024"/>
      <c r="Z112" s="2024"/>
      <c r="AA112" s="2024"/>
      <c r="AB112" s="2024"/>
      <c r="AC112" s="2024"/>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7"/>
      <c r="O113" s="2044"/>
      <c r="P113" s="2043"/>
      <c r="Q113" s="2036"/>
      <c r="R113" s="2024"/>
      <c r="S113" s="2024"/>
      <c r="T113" s="2024"/>
      <c r="U113" s="2024"/>
      <c r="V113" s="2024"/>
      <c r="W113" s="2024"/>
      <c r="X113" s="2024"/>
      <c r="Y113" s="2024"/>
      <c r="Z113" s="2024"/>
      <c r="AA113" s="2024"/>
      <c r="AB113" s="2024"/>
      <c r="AC113" s="2024"/>
    </row>
    <row r="114" spans="1:29" s="1292" customFormat="1" ht="15" thickTop="1">
      <c r="A114" s="719"/>
      <c r="B114" s="1807" t="s">
        <v>2409</v>
      </c>
      <c r="C114" s="1325"/>
      <c r="D114" s="1325"/>
      <c r="E114" s="1325"/>
      <c r="F114" s="1325"/>
      <c r="G114" s="1325"/>
      <c r="H114" s="709"/>
      <c r="I114" s="709"/>
      <c r="J114" s="709"/>
      <c r="K114" s="710"/>
      <c r="L114" s="711"/>
      <c r="M114" s="712"/>
      <c r="N114" s="3228"/>
      <c r="O114" s="2045"/>
      <c r="P114" s="2046"/>
      <c r="Q114" s="2047"/>
      <c r="R114" s="2048"/>
      <c r="S114" s="2048"/>
      <c r="T114" s="2048"/>
      <c r="U114" s="2048"/>
      <c r="V114" s="2048"/>
      <c r="W114" s="2048"/>
      <c r="X114" s="2048"/>
      <c r="Y114" s="2048"/>
      <c r="Z114" s="2048"/>
      <c r="AA114" s="2048"/>
      <c r="AB114" s="2048"/>
      <c r="AC114" s="2048"/>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6"/>
      <c r="B116" s="664" t="s">
        <v>590</v>
      </c>
      <c r="C116" s="679"/>
      <c r="D116" s="679"/>
      <c r="E116" s="709"/>
      <c r="F116" s="709"/>
      <c r="G116" s="709"/>
      <c r="H116" s="709"/>
      <c r="I116" s="709"/>
      <c r="J116" s="709"/>
      <c r="K116" s="710"/>
      <c r="L116" s="711"/>
      <c r="M116" s="712"/>
      <c r="N116" s="3226"/>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6"/>
      <c r="B118" s="664">
        <f>B40</f>
        <v>111</v>
      </c>
      <c r="C118" s="679"/>
      <c r="D118" s="679"/>
      <c r="E118" s="679"/>
      <c r="F118" s="679"/>
      <c r="G118" s="679"/>
      <c r="H118" s="709"/>
      <c r="I118" s="709"/>
      <c r="J118" s="709"/>
      <c r="K118" s="710"/>
      <c r="L118" s="711"/>
      <c r="M118" s="712"/>
      <c r="N118" s="3226"/>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3227"/>
      <c r="O119" s="2044"/>
      <c r="P119" s="2043"/>
      <c r="Q119" s="2036"/>
      <c r="R119" s="2024"/>
      <c r="S119" s="2024"/>
      <c r="T119" s="2024"/>
      <c r="U119" s="2024"/>
      <c r="V119" s="2024"/>
      <c r="W119" s="2024"/>
      <c r="X119" s="2024"/>
      <c r="Y119" s="2024"/>
      <c r="Z119" s="2024"/>
      <c r="AA119" s="2024"/>
      <c r="AB119" s="2024"/>
      <c r="AC119" s="2024"/>
    </row>
    <row r="120" spans="1:29" ht="15" thickTop="1">
      <c r="A120" s="726"/>
      <c r="B120" s="664">
        <f>B41</f>
        <v>111</v>
      </c>
      <c r="C120" s="679"/>
      <c r="D120" s="679"/>
      <c r="E120" s="679"/>
      <c r="F120" s="679"/>
      <c r="G120" s="709"/>
      <c r="H120" s="709"/>
      <c r="I120" s="709"/>
      <c r="J120" s="709"/>
      <c r="K120" s="710"/>
      <c r="L120" s="711"/>
      <c r="M120" s="712"/>
      <c r="N120" s="3226"/>
      <c r="O120" s="2042"/>
      <c r="P120" s="2043"/>
      <c r="Q120" s="2036"/>
      <c r="R120" s="2024"/>
      <c r="S120" s="2024"/>
      <c r="T120" s="2024"/>
      <c r="U120" s="2024"/>
      <c r="V120" s="2024"/>
      <c r="W120" s="2024"/>
      <c r="X120" s="2024"/>
      <c r="Y120" s="2024"/>
      <c r="Z120" s="2024"/>
      <c r="AA120" s="2024"/>
      <c r="AB120" s="2024"/>
      <c r="AC120" s="2024"/>
    </row>
    <row r="121" spans="1:29" ht="15.75" thickBot="1">
      <c r="A121" s="660"/>
      <c r="B121" s="669"/>
      <c r="C121" s="683"/>
      <c r="D121" s="683"/>
      <c r="E121" s="683"/>
      <c r="F121" s="683"/>
      <c r="G121" s="662"/>
      <c r="H121" s="662"/>
      <c r="I121" s="662"/>
      <c r="J121" s="662"/>
      <c r="K121" s="662"/>
      <c r="L121" s="662"/>
      <c r="M121" s="663"/>
      <c r="N121" s="3227"/>
      <c r="O121" s="2044"/>
      <c r="P121" s="2043"/>
      <c r="Q121" s="2036"/>
      <c r="R121" s="2024"/>
      <c r="S121" s="2024"/>
      <c r="T121" s="2024"/>
      <c r="U121" s="2024"/>
      <c r="V121" s="2024"/>
      <c r="W121" s="2024"/>
      <c r="X121" s="2024"/>
      <c r="Y121" s="2024"/>
      <c r="Z121" s="2024"/>
      <c r="AA121" s="2024"/>
      <c r="AB121" s="2024"/>
      <c r="AC121" s="2024"/>
    </row>
    <row r="122" spans="1:29" s="1292" customFormat="1" ht="15" thickTop="1">
      <c r="A122" s="719"/>
      <c r="B122" s="664">
        <f>B42</f>
        <v>111</v>
      </c>
      <c r="C122" s="652"/>
      <c r="D122" s="652"/>
      <c r="E122" s="652"/>
      <c r="F122" s="652"/>
      <c r="G122" s="680"/>
      <c r="H122" s="680"/>
      <c r="I122" s="680"/>
      <c r="J122" s="680"/>
      <c r="K122" s="680"/>
      <c r="L122" s="681"/>
      <c r="M122" s="682"/>
      <c r="N122" s="3228"/>
      <c r="O122" s="2045"/>
      <c r="P122" s="2046"/>
      <c r="Q122" s="2047"/>
      <c r="R122" s="2048"/>
      <c r="S122" s="2048"/>
      <c r="T122" s="2048"/>
      <c r="U122" s="2048"/>
      <c r="V122" s="2048"/>
      <c r="W122" s="2048"/>
      <c r="X122" s="2048"/>
      <c r="Y122" s="2048"/>
      <c r="Z122" s="2048"/>
      <c r="AA122" s="2048"/>
      <c r="AB122" s="2048"/>
      <c r="AC122" s="2048"/>
    </row>
    <row r="123" spans="1:29" s="1292" customFormat="1" ht="15.75" thickBot="1">
      <c r="A123" s="689"/>
      <c r="B123" s="727"/>
      <c r="C123" s="691"/>
      <c r="D123" s="691"/>
      <c r="E123" s="691"/>
      <c r="F123" s="691"/>
      <c r="G123" s="717"/>
      <c r="H123" s="717"/>
      <c r="I123" s="717"/>
      <c r="J123" s="717"/>
      <c r="K123" s="717"/>
      <c r="L123" s="717"/>
      <c r="M123" s="718"/>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2410</v>
      </c>
      <c r="D1" s="1458">
        <f>SUM(D29:D30,D33:D39)</f>
        <v>0</v>
      </c>
      <c r="E1" s="1352" t="s">
        <v>2411</v>
      </c>
      <c r="F1" s="2304"/>
      <c r="G1" s="1347"/>
      <c r="H1" s="1347"/>
      <c r="I1" s="1347"/>
      <c r="J1" s="1347"/>
      <c r="K1" s="2067"/>
      <c r="L1" s="1793" t="s">
        <v>2226</v>
      </c>
      <c r="M1" s="1794">
        <f>SUMPRODUCT((区片价!B5:B9=I2)*(区片价!C3:F3=E2)*(区片价!C5:F9))</f>
        <v>0</v>
      </c>
      <c r="N1" s="1795">
        <f>SUMPRODUCT((因素修正幅度!B5:B9=I2)*(因素修正幅度!C3:F3=E2)*(因素修正幅度!C5:F9))</f>
        <v>0</v>
      </c>
      <c r="O1" s="2067"/>
      <c r="P1" s="2067"/>
      <c r="Q1" s="2067"/>
      <c r="R1" s="2650" t="s">
        <v>2741</v>
      </c>
      <c r="S1" s="2650" t="s">
        <v>2742</v>
      </c>
      <c r="T1" s="2650" t="s">
        <v>2763</v>
      </c>
      <c r="U1" s="2650" t="s">
        <v>2764</v>
      </c>
      <c r="V1" s="2650" t="s">
        <v>2765</v>
      </c>
      <c r="W1" s="2067"/>
      <c r="X1" s="2067"/>
      <c r="Y1" s="2067"/>
      <c r="Z1" s="2067"/>
      <c r="AA1" s="2067"/>
      <c r="AB1" s="2067"/>
      <c r="AC1" s="2068"/>
    </row>
    <row r="2" spans="1:39" ht="15.75">
      <c r="A2" s="1352" t="s">
        <v>911</v>
      </c>
      <c r="B2" s="1024"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9"/>
      <c r="L2" s="1796" t="s">
        <v>2227</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7" t="s">
        <v>1678</v>
      </c>
      <c r="B3" s="1024" t="e">
        <f>ROUND(B2*10000/D1,0)</f>
        <v>#DIV/0!</v>
      </c>
      <c r="C3" s="1353" t="s">
        <v>918</v>
      </c>
      <c r="D3" s="1354" t="s">
        <v>919</v>
      </c>
      <c r="E3" s="1358"/>
      <c r="F3" s="1359"/>
      <c r="G3" s="1025">
        <f>IF(F3="宗地容积率",'数据-汇总表'!I4,IF(F3="估价对象容积率",'数据-汇总表'!I6,'数据-汇总表'!I7))</f>
        <v>2.31</v>
      </c>
      <c r="H3" s="1360" t="s">
        <v>920</v>
      </c>
      <c r="I3" s="1026">
        <v>8</v>
      </c>
      <c r="J3" s="1356" t="s">
        <v>921</v>
      </c>
      <c r="K3" s="3229"/>
      <c r="L3" s="1796" t="s">
        <v>2228</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2267</v>
      </c>
      <c r="B4" s="2305" t="e">
        <f>ROUND(B2*10000/F1,0)</f>
        <v>#DIV/0!</v>
      </c>
      <c r="C4" s="1805" t="s">
        <v>2242</v>
      </c>
      <c r="D4" s="1805" t="e">
        <f>ROUND(B2/(F1/666.67),0)</f>
        <v>#DIV/0!</v>
      </c>
      <c r="E4" s="1805" t="s">
        <v>2243</v>
      </c>
      <c r="F4" s="1803"/>
      <c r="G4" s="1803"/>
      <c r="H4" s="1803"/>
      <c r="I4" s="1803"/>
      <c r="J4" s="1804"/>
      <c r="K4" s="3230"/>
      <c r="L4" s="1796" t="s">
        <v>2229</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7" customFormat="1" ht="15.75" thickBot="1">
      <c r="A5" s="1564" t="s">
        <v>1814</v>
      </c>
      <c r="B5" s="1361" t="s">
        <v>922</v>
      </c>
      <c r="C5" s="1027" t="e">
        <f>ROUND(IF(E2="商业",C6*C7+C16,(IF(E2="住宅",C6*C12+C16,C6+C16))),0)</f>
        <v>#DIV/0!</v>
      </c>
      <c r="D5" s="2790" t="e">
        <f>ROUND(C6+C16,0)</f>
        <v>#DIV/0!</v>
      </c>
      <c r="E5" s="2790"/>
      <c r="F5" s="1362"/>
      <c r="G5" s="1363"/>
      <c r="H5" s="1363"/>
      <c r="I5" s="1363"/>
      <c r="J5" s="1364"/>
      <c r="K5" s="3231"/>
      <c r="L5" s="1796" t="s">
        <v>2230</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5"/>
      <c r="AE5" s="1365"/>
      <c r="AF5" s="1365"/>
      <c r="AG5" s="1365"/>
      <c r="AH5" s="1365"/>
      <c r="AI5" s="1365"/>
      <c r="AJ5" s="1366"/>
      <c r="AK5" s="1366"/>
      <c r="AL5" s="1366"/>
      <c r="AM5" s="1366"/>
    </row>
    <row r="6" spans="1:39" ht="15.75" thickBot="1">
      <c r="A6" s="1565" t="s">
        <v>1861</v>
      </c>
      <c r="B6" s="1368" t="s">
        <v>922</v>
      </c>
      <c r="C6" s="1028">
        <f>SUMIF(L1:L12,基准地价!G2,M1:M12)</f>
        <v>0</v>
      </c>
      <c r="D6" s="1369" t="s">
        <v>1686</v>
      </c>
      <c r="E6" s="1370"/>
      <c r="F6" s="1370"/>
      <c r="G6" s="1371"/>
      <c r="H6" s="1371"/>
      <c r="I6" s="1371"/>
      <c r="J6" s="1372"/>
      <c r="K6" s="3232"/>
      <c r="L6" s="1796" t="s">
        <v>2231</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5"/>
      <c r="AE6" s="1365"/>
      <c r="AF6" s="1365"/>
      <c r="AG6" s="1365"/>
      <c r="AH6" s="1365"/>
      <c r="AI6" s="1365"/>
      <c r="AJ6" s="1366"/>
    </row>
    <row r="7" spans="1:39" ht="24">
      <c r="A7" s="3543" t="str">
        <f>IF(E2="商业",IF(C8="不临58条商业街","",2),"")</f>
        <v/>
      </c>
      <c r="B7" s="1373" t="s">
        <v>923</v>
      </c>
      <c r="C7" s="1029" t="e">
        <f>IF(C8="不临58条商业街",1,ROUND(1+(1.6*E8+1.2*E9+0.8*E10+0.4*E11)*C9,4))</f>
        <v>#DIV/0!</v>
      </c>
      <c r="D7" s="1374" t="s">
        <v>924</v>
      </c>
      <c r="E7" s="1030"/>
      <c r="F7" s="1375"/>
      <c r="G7" s="1376"/>
      <c r="H7" s="1376"/>
      <c r="I7" s="1376"/>
      <c r="J7" s="1377"/>
      <c r="K7" s="3232"/>
      <c r="L7" s="1796" t="s">
        <v>2232</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2744</v>
      </c>
      <c r="X7" s="2641">
        <f>G2</f>
        <v>0</v>
      </c>
      <c r="Y7" s="2641" t="s">
        <v>2745</v>
      </c>
      <c r="Z7" s="2642">
        <f>G3</f>
        <v>2.31</v>
      </c>
      <c r="AA7" s="2070"/>
      <c r="AB7" s="2070"/>
      <c r="AC7" s="2071"/>
      <c r="AD7" s="2643"/>
      <c r="AE7" s="2643"/>
      <c r="AF7" s="2643"/>
      <c r="AG7" s="2643"/>
      <c r="AH7" s="2643"/>
      <c r="AI7" s="2643"/>
      <c r="AJ7" s="2644"/>
    </row>
    <row r="8" spans="1:39" ht="15">
      <c r="A8" s="3544"/>
      <c r="B8" s="1360" t="s">
        <v>925</v>
      </c>
      <c r="C8" s="1466"/>
      <c r="D8" s="1031" t="s">
        <v>926</v>
      </c>
      <c r="E8" s="1032" t="e">
        <f>ROUND(C11/E7,4)</f>
        <v>#DIV/0!</v>
      </c>
      <c r="F8" s="1378" t="s">
        <v>927</v>
      </c>
      <c r="G8" s="1379"/>
      <c r="H8" s="1379"/>
      <c r="I8" s="1379"/>
      <c r="J8" s="1380"/>
      <c r="K8" s="3232"/>
      <c r="L8" s="1796" t="s">
        <v>2233</v>
      </c>
      <c r="M8" s="1797">
        <f>SUMPRODUCT((区片价!B206:B244=I2)*(区片价!C3:F3=E2)*(区片价!C206:F244))</f>
        <v>0</v>
      </c>
      <c r="N8" s="1798">
        <f>SUMPRODUCT((因素修正幅度!B206:B244=I2)*(因素修正幅度!C3:F3=E2)*(因素修正幅度!C206:F244))</f>
        <v>0</v>
      </c>
      <c r="O8" s="3232"/>
      <c r="P8" s="2067"/>
      <c r="Q8" s="2067"/>
      <c r="R8" s="2651">
        <v>7</v>
      </c>
      <c r="S8" s="2640"/>
      <c r="T8" s="2651" t="e">
        <f t="shared" si="0"/>
        <v>#DIV/0!</v>
      </c>
      <c r="U8" s="2640"/>
      <c r="V8" s="2651" t="e">
        <f t="shared" si="1"/>
        <v>#DIV/0!</v>
      </c>
      <c r="W8" s="3554" t="s">
        <v>2762</v>
      </c>
      <c r="X8" s="3555"/>
      <c r="Y8" s="1760" t="s">
        <v>2746</v>
      </c>
      <c r="Z8" s="1760" t="s">
        <v>2747</v>
      </c>
      <c r="AA8" s="1760" t="s">
        <v>2748</v>
      </c>
      <c r="AB8" s="1760" t="s">
        <v>2749</v>
      </c>
      <c r="AC8" s="1760" t="s">
        <v>2750</v>
      </c>
      <c r="AD8" s="1760" t="s">
        <v>2751</v>
      </c>
      <c r="AE8" s="1760" t="s">
        <v>2752</v>
      </c>
      <c r="AF8" s="1760" t="s">
        <v>2753</v>
      </c>
      <c r="AG8" s="1760" t="s">
        <v>2754</v>
      </c>
      <c r="AH8" s="1760" t="s">
        <v>2755</v>
      </c>
      <c r="AI8" s="1760" t="s">
        <v>2756</v>
      </c>
      <c r="AJ8" s="1760" t="s">
        <v>2757</v>
      </c>
    </row>
    <row r="9" spans="1:39" ht="15">
      <c r="A9" s="3544"/>
      <c r="B9" s="1360" t="s">
        <v>928</v>
      </c>
      <c r="C9" s="1033">
        <f>SUMIF(修正!C59:C119,C8,修正!E59:E119)</f>
        <v>0</v>
      </c>
      <c r="D9" s="1034" t="s">
        <v>929</v>
      </c>
      <c r="E9" s="1034" t="e">
        <f>ROUND(C11/E7,4)</f>
        <v>#DIV/0!</v>
      </c>
      <c r="F9" s="1378" t="s">
        <v>930</v>
      </c>
      <c r="G9" s="1379"/>
      <c r="H9" s="1379"/>
      <c r="I9" s="1379"/>
      <c r="J9" s="1380"/>
      <c r="K9" s="3232"/>
      <c r="L9" s="1796" t="s">
        <v>2234</v>
      </c>
      <c r="M9" s="1797">
        <f>SUMPRODUCT((区片价!B245:B289=I2)*(区片价!C3:F3=E2)*(区片价!C245:F289))</f>
        <v>0</v>
      </c>
      <c r="N9" s="1798">
        <f>SUMPRODUCT((因素修正幅度!B245:B289=I2)*(因素修正幅度!C3:F3=E2)*(因素修正幅度!C245:F289))</f>
        <v>0</v>
      </c>
      <c r="O9" s="3232"/>
      <c r="P9" s="2067"/>
      <c r="Q9" s="2067"/>
      <c r="R9" s="2651">
        <v>8</v>
      </c>
      <c r="S9" s="2640"/>
      <c r="T9" s="2651" t="e">
        <f t="shared" si="0"/>
        <v>#DIV/0!</v>
      </c>
      <c r="U9" s="2640"/>
      <c r="V9" s="2651" t="e">
        <f t="shared" si="1"/>
        <v>#DIV/0!</v>
      </c>
      <c r="W9" s="3553" t="s">
        <v>2758</v>
      </c>
      <c r="X9" s="2645" t="s">
        <v>2759</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544"/>
      <c r="B10" s="1360" t="s">
        <v>931</v>
      </c>
      <c r="C10" s="1034">
        <f>SUMIF(修正!C59:C119,C8,修正!F59:F119)</f>
        <v>0</v>
      </c>
      <c r="D10" s="1034" t="s">
        <v>932</v>
      </c>
      <c r="E10" s="1034" t="e">
        <f>ROUND(C11/E7,4)</f>
        <v>#DIV/0!</v>
      </c>
      <c r="F10" s="1378" t="s">
        <v>933</v>
      </c>
      <c r="G10" s="1379"/>
      <c r="H10" s="1379"/>
      <c r="I10" s="1379"/>
      <c r="J10" s="1380"/>
      <c r="K10" s="3232"/>
      <c r="L10" s="1796" t="s">
        <v>2235</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t="e">
        <f t="shared" si="0"/>
        <v>#DIV/0!</v>
      </c>
      <c r="U10" s="2640"/>
      <c r="V10" s="2651" t="e">
        <f t="shared" si="1"/>
        <v>#DIV/0!</v>
      </c>
      <c r="W10" s="355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544"/>
      <c r="B11" s="1381" t="s">
        <v>934</v>
      </c>
      <c r="C11" s="1035">
        <f>C10/4</f>
        <v>0</v>
      </c>
      <c r="D11" s="1035" t="s">
        <v>935</v>
      </c>
      <c r="E11" s="1035" t="e">
        <f>ROUND(C11/E7,4)</f>
        <v>#DIV/0!</v>
      </c>
      <c r="F11" s="1382" t="s">
        <v>936</v>
      </c>
      <c r="G11" s="1383"/>
      <c r="H11" s="1383"/>
      <c r="I11" s="1383"/>
      <c r="J11" s="1384"/>
      <c r="K11" s="3232"/>
      <c r="L11" s="1796" t="s">
        <v>2236</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t="e">
        <f t="shared" si="0"/>
        <v>#DIV/0!</v>
      </c>
      <c r="U11" s="2640"/>
      <c r="V11" s="2651" t="e">
        <f t="shared" si="1"/>
        <v>#DIV/0!</v>
      </c>
      <c r="W11" s="3553" t="s">
        <v>2760</v>
      </c>
      <c r="X11" s="1034" t="s">
        <v>2745</v>
      </c>
      <c r="Y11" s="1579">
        <f>$G$3</f>
        <v>2.31</v>
      </c>
      <c r="Z11" s="1579">
        <f t="shared" ref="Z11:AJ11" si="3">$G$3</f>
        <v>2.31</v>
      </c>
      <c r="AA11" s="1579">
        <f t="shared" si="3"/>
        <v>2.31</v>
      </c>
      <c r="AB11" s="1579">
        <f t="shared" si="3"/>
        <v>2.31</v>
      </c>
      <c r="AC11" s="1579">
        <f t="shared" si="3"/>
        <v>2.31</v>
      </c>
      <c r="AD11" s="1579">
        <f t="shared" si="3"/>
        <v>2.31</v>
      </c>
      <c r="AE11" s="1579">
        <f t="shared" si="3"/>
        <v>2.31</v>
      </c>
      <c r="AF11" s="1579">
        <f t="shared" si="3"/>
        <v>2.31</v>
      </c>
      <c r="AG11" s="1579">
        <f t="shared" si="3"/>
        <v>2.31</v>
      </c>
      <c r="AH11" s="1579">
        <f t="shared" si="3"/>
        <v>2.31</v>
      </c>
      <c r="AI11" s="1579">
        <f t="shared" si="3"/>
        <v>2.31</v>
      </c>
      <c r="AJ11" s="1579">
        <f t="shared" si="3"/>
        <v>2.31</v>
      </c>
    </row>
    <row r="12" spans="1:39" ht="25.5" thickBot="1">
      <c r="A12" s="3543" t="s">
        <v>1862</v>
      </c>
      <c r="B12" s="1385" t="s">
        <v>937</v>
      </c>
      <c r="C12" s="1029">
        <f>ROUND(C15*D15*E15*F15*G15*H15*I15*J15,4)</f>
        <v>1</v>
      </c>
      <c r="D12" s="1386" t="s">
        <v>938</v>
      </c>
      <c r="E12" s="1387"/>
      <c r="F12" s="1387"/>
      <c r="G12" s="1388"/>
      <c r="H12" s="1388"/>
      <c r="I12" s="1388"/>
      <c r="J12" s="1389"/>
      <c r="K12" s="3232"/>
      <c r="L12" s="1799" t="s">
        <v>2237</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t="e">
        <f t="shared" si="0"/>
        <v>#DIV/0!</v>
      </c>
      <c r="U12" s="2640"/>
      <c r="V12" s="2651" t="e">
        <f t="shared" si="1"/>
        <v>#DIV/0!</v>
      </c>
      <c r="W12" s="3553"/>
      <c r="X12" s="2648" t="s">
        <v>2761</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545"/>
      <c r="B13" s="1390" t="s">
        <v>1687</v>
      </c>
      <c r="C13" s="1391" t="s">
        <v>1688</v>
      </c>
      <c r="D13" s="1071" t="s">
        <v>1689</v>
      </c>
      <c r="E13" s="1071" t="s">
        <v>1690</v>
      </c>
      <c r="F13" s="1392" t="s">
        <v>939</v>
      </c>
      <c r="G13" s="1393" t="s">
        <v>1633</v>
      </c>
      <c r="H13" s="1394" t="s">
        <v>1633</v>
      </c>
      <c r="I13" s="1395" t="s">
        <v>1633</v>
      </c>
      <c r="J13" s="1396" t="s">
        <v>1633</v>
      </c>
      <c r="K13" s="2840"/>
      <c r="L13" s="2840"/>
      <c r="M13" s="2840"/>
      <c r="N13" s="2840"/>
      <c r="O13" s="2840"/>
      <c r="P13" s="2067"/>
      <c r="Q13" s="2067"/>
      <c r="R13" s="2651">
        <v>12</v>
      </c>
      <c r="S13" s="2640"/>
      <c r="T13" s="2651" t="e">
        <f t="shared" si="0"/>
        <v>#DIV/0!</v>
      </c>
      <c r="U13" s="2640"/>
      <c r="V13" s="2651" t="e">
        <f t="shared" si="1"/>
        <v>#DIV/0!</v>
      </c>
      <c r="W13" s="3553"/>
      <c r="X13" s="2648"/>
      <c r="Y13" s="2647">
        <f>(-0.163*(Y12^2)-0.59*Y12+7617)*(10^(-4))/Y11</f>
        <v>0.32974025974025978</v>
      </c>
      <c r="Z13" s="2647">
        <f t="shared" ref="Z13:AJ13" si="5">(-0.163*(Z12^2)-0.59*Z12+7617)*(10^(-4))/Z11</f>
        <v>0.32974025974025978</v>
      </c>
      <c r="AA13" s="2647">
        <f t="shared" si="5"/>
        <v>0.32974025974025978</v>
      </c>
      <c r="AB13" s="2647">
        <f t="shared" si="5"/>
        <v>0.32974025974025978</v>
      </c>
      <c r="AC13" s="2647">
        <f t="shared" si="5"/>
        <v>0.32974025974025978</v>
      </c>
      <c r="AD13" s="2647">
        <f t="shared" si="5"/>
        <v>0.32974025974025978</v>
      </c>
      <c r="AE13" s="2647">
        <f t="shared" si="5"/>
        <v>0.32974025974025978</v>
      </c>
      <c r="AF13" s="2647">
        <f t="shared" si="5"/>
        <v>0.32974025974025978</v>
      </c>
      <c r="AG13" s="2647">
        <f t="shared" si="5"/>
        <v>0.32974025974025978</v>
      </c>
      <c r="AH13" s="2647">
        <f t="shared" si="5"/>
        <v>0.32974025974025978</v>
      </c>
      <c r="AI13" s="2647">
        <f t="shared" si="5"/>
        <v>0.32974025974025978</v>
      </c>
      <c r="AJ13" s="2647">
        <f t="shared" si="5"/>
        <v>0.32974025974025978</v>
      </c>
    </row>
    <row r="14" spans="1:39" ht="12.75" customHeight="1">
      <c r="A14" s="3545"/>
      <c r="B14" s="1397"/>
      <c r="C14" s="1398"/>
      <c r="D14" s="1399"/>
      <c r="E14" s="1399"/>
      <c r="F14" s="1400"/>
      <c r="G14" s="1401" t="s">
        <v>940</v>
      </c>
      <c r="H14" s="1402"/>
      <c r="I14" s="1403"/>
      <c r="J14" s="1404"/>
      <c r="K14" s="3233"/>
      <c r="L14" s="3233"/>
      <c r="M14" s="3233"/>
      <c r="N14" s="3233"/>
      <c r="O14" s="3233"/>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546"/>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543" t="s">
        <v>1829</v>
      </c>
      <c r="B16" s="1373" t="s">
        <v>941</v>
      </c>
      <c r="C16" s="1038" t="e">
        <f>ROUND(IF(F17="与级别开发程度一致",0,(G17-E17)/C17),0)</f>
        <v>#DIV/0!</v>
      </c>
      <c r="D16" s="3561" t="s">
        <v>945</v>
      </c>
      <c r="E16" s="3562"/>
      <c r="F16" s="3561" t="s">
        <v>942</v>
      </c>
      <c r="G16" s="3562"/>
      <c r="H16" s="1405"/>
      <c r="I16" s="1405"/>
      <c r="J16" s="1405"/>
      <c r="K16" s="1405"/>
      <c r="L16" s="1405"/>
      <c r="M16" s="1405"/>
      <c r="N16" s="1405"/>
      <c r="O16" s="2850"/>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547"/>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1820</v>
      </c>
      <c r="B18" s="2846" t="s">
        <v>946</v>
      </c>
      <c r="C18" s="2847">
        <f>SUMIF(修正!C18:C39,E3,修正!E18:E39)</f>
        <v>0</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1826</v>
      </c>
      <c r="B19" s="1408" t="s">
        <v>947</v>
      </c>
      <c r="C19" s="1039">
        <f>ROUND(IF(H19="按公示增长率计算",SUMPRODUCT((地价!A3:A33=YEAR(G19)&amp;"-"&amp;ROUNDUP(MONTH(G19)/3,0))*(地价!X2:AB2=E2)*(地价!X3:AB33)),IF(H19="地价指数",M20/M19,(1+I19)^O19)),4)</f>
        <v>0</v>
      </c>
      <c r="D19" s="1412" t="s">
        <v>948</v>
      </c>
      <c r="E19" s="1040">
        <v>41640</v>
      </c>
      <c r="F19" s="1412" t="s">
        <v>949</v>
      </c>
      <c r="G19" s="1041">
        <f>'数据-取费表'!B2</f>
        <v>44234</v>
      </c>
      <c r="H19" s="1413" t="s">
        <v>2954</v>
      </c>
      <c r="I19" s="2500" t="str">
        <f>IF(H19="季度增幅（自定义）",SUMIF(N21:N24,E2,O21:O24),"")</f>
        <v/>
      </c>
      <c r="J19" s="1409"/>
      <c r="K19" s="3231"/>
      <c r="L19" s="2750" t="s">
        <v>2820</v>
      </c>
      <c r="M19" s="2751">
        <f>ROUND(SUMIF(地价!B2:F2,E2,地价!B33:F33),0)</f>
        <v>0</v>
      </c>
      <c r="N19" s="2502" t="s">
        <v>1667</v>
      </c>
      <c r="O19" s="2501">
        <f>ROUNDDOWN(DATEDIF(E19,G19,"M")/3,0)</f>
        <v>28</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1827</v>
      </c>
      <c r="B20" s="2495" t="s">
        <v>962</v>
      </c>
      <c r="C20" s="2496" t="e">
        <f>ROUND(POWER(1+G20,J20-I20)*(POWER(1+G20,I20)-1)/(POWER(1+G20,J20)-1),4)</f>
        <v>#DIV/0!</v>
      </c>
      <c r="D20" s="2497" t="s">
        <v>963</v>
      </c>
      <c r="E20" s="2780">
        <f ca="1">存贷款利率!I4/100</f>
        <v>4.3499999999999997E-2</v>
      </c>
      <c r="F20" s="2497" t="s">
        <v>964</v>
      </c>
      <c r="G20" s="2498">
        <f>SUMIF(M26:P26,E2,M28:P28)</f>
        <v>0</v>
      </c>
      <c r="H20" s="2497" t="s">
        <v>965</v>
      </c>
      <c r="I20" s="2493" t="e">
        <f>SUMIF('数据-取费表'!C6:C15,E2,'数据-取费表'!F6:F15)/COUNTIF('数据-取费表'!C6:C15,E2)</f>
        <v>#DIV/0!</v>
      </c>
      <c r="J20" s="2499">
        <f>IF(E2="住宅",70,IF(E2="商业",40,50))</f>
        <v>50</v>
      </c>
      <c r="K20" s="2841"/>
      <c r="L20" s="2752" t="s">
        <v>2821</v>
      </c>
      <c r="M20" s="2834">
        <f>ROUND(SUMPRODUCT((地价!A4:A33=YEAR(G19)&amp;"-"&amp;ROUNDUP(MONTH(G19)/3,0))*(地价!B2:F2=E2)*(地价!B4:F33)),0)</f>
        <v>0</v>
      </c>
      <c r="N20" s="2505" t="s">
        <v>2625</v>
      </c>
      <c r="O20" s="2503" t="s">
        <v>2624</v>
      </c>
      <c r="P20" s="2504" t="s">
        <v>2630</v>
      </c>
      <c r="Q20" s="2639"/>
      <c r="R20" s="2073"/>
      <c r="S20" s="2073"/>
      <c r="T20" s="2073"/>
      <c r="U20" s="2073"/>
      <c r="V20" s="2073"/>
      <c r="W20" s="2073"/>
      <c r="X20" s="2073"/>
      <c r="Y20" s="1410"/>
      <c r="Z20" s="1410"/>
      <c r="AA20" s="1410"/>
      <c r="AB20" s="1410"/>
      <c r="AC20" s="1410"/>
      <c r="AD20" s="1410"/>
    </row>
    <row r="21" spans="1:40" s="1367" customFormat="1" ht="14.25">
      <c r="A21" s="1568" t="s">
        <v>1828</v>
      </c>
      <c r="B21" s="1418" t="s">
        <v>2990</v>
      </c>
      <c r="C21" s="1140">
        <f>IF(B21="容积率修正",IF(G3&lt;=10,D22,J22),C23)</f>
        <v>0</v>
      </c>
      <c r="D21" s="1419"/>
      <c r="E21" s="1419"/>
      <c r="F21" s="1419"/>
      <c r="G21" s="1419"/>
      <c r="H21" s="1419"/>
      <c r="I21" s="1419"/>
      <c r="J21" s="1420"/>
      <c r="K21" s="3231"/>
      <c r="L21" s="1419"/>
      <c r="M21" s="1419"/>
      <c r="N21" s="1416" t="s">
        <v>966</v>
      </c>
      <c r="O21" s="1479"/>
      <c r="P21" s="2492">
        <f>SUMPRODUCT((地价!A3:A33=YEAR(G19)&amp;"-"&amp;ROUNDUP(MONTH(G19)/3,0))*(地价!AD2:AH2=N21)*(地价!AD3:AH33))</f>
        <v>1.12E-2</v>
      </c>
      <c r="Q21" s="2639"/>
      <c r="R21" s="2073"/>
      <c r="S21" s="2073"/>
      <c r="T21" s="2073"/>
      <c r="U21" s="2073"/>
      <c r="V21" s="2073"/>
      <c r="W21" s="2073"/>
      <c r="X21" s="2073"/>
      <c r="Y21" s="1349"/>
      <c r="Z21" s="1349"/>
      <c r="AA21" s="1349"/>
      <c r="AB21" s="1349"/>
      <c r="AC21" s="1410"/>
      <c r="AD21" s="1410"/>
    </row>
    <row r="22" spans="1:40" s="1367" customFormat="1" ht="14.25">
      <c r="A22" s="1569" t="s">
        <v>1861</v>
      </c>
      <c r="B22" s="1421" t="s">
        <v>967</v>
      </c>
      <c r="C22" s="1042" t="s">
        <v>1693</v>
      </c>
      <c r="D22" s="1042">
        <f>IF(E22=G22,F22,IF(G3&lt;=10,ROUND(F22+(H22-F22)*(G3-E22)/(G22-E22),4),"——"))</f>
        <v>0</v>
      </c>
      <c r="E22" s="1025">
        <f>ROUNDDOWN(G3,1)</f>
        <v>2.2999999999999998</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19"/>
      <c r="M22" s="1419"/>
      <c r="N22" s="1416" t="s">
        <v>969</v>
      </c>
      <c r="O22" s="1479"/>
      <c r="P22" s="2492">
        <f>SUMPRODUCT((地价!A3:A33=YEAR(G19)&amp;"-"&amp;ROUNDUP(MONTH(G19)/3,0))*(地价!AD2:AH2=N22)*(地价!AD3:AH33))</f>
        <v>1.12E-2</v>
      </c>
      <c r="Q22" s="2639"/>
      <c r="R22" s="2073"/>
      <c r="S22" s="2073"/>
      <c r="T22" s="2073"/>
      <c r="U22" s="2073"/>
      <c r="V22" s="2073"/>
      <c r="W22" s="2073"/>
      <c r="X22" s="2073"/>
      <c r="Y22" s="1410"/>
      <c r="Z22" s="1410"/>
      <c r="AA22" s="1410"/>
      <c r="AB22" s="1410"/>
      <c r="AC22" s="1410"/>
      <c r="AD22" s="1410"/>
    </row>
    <row r="23" spans="1:40" ht="15.75" thickBot="1">
      <c r="A23" s="1569" t="s">
        <v>1862</v>
      </c>
      <c r="B23" s="1421" t="s">
        <v>970</v>
      </c>
      <c r="C23" s="1043">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914</v>
      </c>
      <c r="O23" s="1479"/>
      <c r="P23" s="2492">
        <f>SUMPRODUCT((地价!A3:A33=YEAR(G19)&amp;"-"&amp;ROUNDUP(MONTH(G19)/3,0))*(地价!AD2:AH2=N23)*(地价!AD3:AH33))</f>
        <v>1.9300000000000001E-2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4">
        <f>SUMIF(A44:A87,E2,B44:B87)</f>
        <v>0</v>
      </c>
      <c r="D24" s="1472"/>
      <c r="E24" s="1473"/>
      <c r="F24" s="1473"/>
      <c r="G24" s="1473"/>
      <c r="H24" s="1473"/>
      <c r="I24" s="1473"/>
      <c r="J24" s="1473"/>
      <c r="K24" s="3238"/>
      <c r="L24" s="1419"/>
      <c r="M24" s="1419"/>
      <c r="N24" s="1416" t="s">
        <v>972</v>
      </c>
      <c r="O24" s="2833"/>
      <c r="P24" s="2492">
        <f>SUMPRODUCT((地价!A3:A33=YEAR(G19)&amp;"-"&amp;ROUNDUP(MONTH(G19)/3,0))*(地价!AD2:AH2=N24)*(地价!AD3:AH33))</f>
        <v>1.2800000000000001E-2</v>
      </c>
      <c r="Q24" s="2639"/>
      <c r="R24" s="2073"/>
      <c r="S24" s="2073"/>
      <c r="T24" s="2073"/>
      <c r="U24" s="2073"/>
      <c r="V24" s="2073"/>
      <c r="W24" s="2073"/>
      <c r="X24" s="2073"/>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2"/>
      <c r="L25" s="2073"/>
      <c r="M25" s="2073"/>
      <c r="N25" s="2835" t="s">
        <v>2628</v>
      </c>
      <c r="O25" s="2836"/>
      <c r="P25" s="2299">
        <f>SUMPRODUCT((地价!A3:A33=YEAR(G19)&amp;"-"&amp;ROUNDUP(MONTH(G19)/3,0))*(地价!AD2:AH2=N25)*(地价!AD3:AH33))</f>
        <v>1.7500000000000002E-2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977</v>
      </c>
      <c r="C26" s="3014" t="e">
        <f>IF(B21="容积率修正",E29+SUM(E33:E39),SUM(V2:V16)+SUM(E33:E39))</f>
        <v>#DIV/0!</v>
      </c>
      <c r="D26" s="1427"/>
      <c r="E26" s="1402"/>
      <c r="F26" s="1428"/>
      <c r="G26" s="1402"/>
      <c r="H26" s="1402"/>
      <c r="I26" s="1402"/>
      <c r="J26" s="1429"/>
      <c r="K26" s="3232"/>
      <c r="L26" s="1526" t="s">
        <v>889</v>
      </c>
      <c r="M26" s="1374" t="s">
        <v>974</v>
      </c>
      <c r="N26" s="1374" t="s">
        <v>975</v>
      </c>
      <c r="O26" s="1374" t="s">
        <v>893</v>
      </c>
      <c r="P26" s="1414" t="s">
        <v>976</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979</v>
      </c>
      <c r="C27" s="1046" t="e">
        <f>E30+SUM(I33:I39)</f>
        <v>#DIV/0!</v>
      </c>
      <c r="D27" s="1431"/>
      <c r="E27" s="1432"/>
      <c r="F27" s="1433"/>
      <c r="G27" s="1432"/>
      <c r="H27" s="1432"/>
      <c r="I27" s="1432"/>
      <c r="J27" s="1434"/>
      <c r="K27" s="3232"/>
      <c r="L27" s="1406" t="s">
        <v>978</v>
      </c>
      <c r="M27" s="1033">
        <v>0.25</v>
      </c>
      <c r="N27" s="1033">
        <v>0.2</v>
      </c>
      <c r="O27" s="1033">
        <v>0.15</v>
      </c>
      <c r="P27" s="1476">
        <v>0.1</v>
      </c>
      <c r="Q27" s="2073"/>
      <c r="R27" s="2639"/>
      <c r="S27" s="2639"/>
      <c r="T27" s="2639"/>
      <c r="U27" s="2639"/>
      <c r="V27" s="2639"/>
      <c r="W27" s="2073"/>
      <c r="X27" s="2073"/>
      <c r="Y27" s="2073"/>
      <c r="Z27" s="2073"/>
      <c r="AA27" s="2073"/>
      <c r="AB27" s="2073"/>
      <c r="AC27" s="2073"/>
    </row>
    <row r="28" spans="1:40" ht="15" thickBot="1">
      <c r="A28" s="1422"/>
      <c r="B28" s="1435" t="s">
        <v>980</v>
      </c>
      <c r="C28" s="1436" t="s">
        <v>981</v>
      </c>
      <c r="D28" s="1436" t="s">
        <v>982</v>
      </c>
      <c r="E28" s="1437" t="s">
        <v>983</v>
      </c>
      <c r="F28" s="1438"/>
      <c r="G28" s="1388"/>
      <c r="H28" s="1388"/>
      <c r="I28" s="1388"/>
      <c r="J28" s="1389"/>
      <c r="K28" s="3232"/>
      <c r="L28" s="1407" t="s">
        <v>964</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984</v>
      </c>
      <c r="C29" s="1045" t="e">
        <f>ROUND(C5*C18*C19*C20*C21*C24,0)</f>
        <v>#DIV/0!</v>
      </c>
      <c r="D29" s="1441"/>
      <c r="E29" s="1760" t="e">
        <f>ROUND(C29*D29/10000,0)</f>
        <v>#DIV/0!</v>
      </c>
      <c r="F29" s="1442" t="s">
        <v>1692</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985</v>
      </c>
      <c r="C30" s="1037" t="e">
        <f>ROUND(IF(E2="工业",C29*M39,C29*M38),0)</f>
        <v>#DIV/0!</v>
      </c>
      <c r="D30" s="1447"/>
      <c r="E30" s="1760" t="e">
        <f>ROUND(C30*D30/10000,0)</f>
        <v>#DIV/0!</v>
      </c>
      <c r="F30" s="1448" t="s">
        <v>986</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550"/>
      <c r="B33" s="1461" t="s">
        <v>990</v>
      </c>
      <c r="C33" s="1045" t="e">
        <f>ROUND(D5*C19*C20*C24*F33,0)</f>
        <v>#DIV/0!</v>
      </c>
      <c r="D33" s="1474"/>
      <c r="E33" s="1034" t="e">
        <f>ROUND(C33*D33/10000,0)</f>
        <v>#DIV/0!</v>
      </c>
      <c r="F33" s="1034">
        <f>SUMIF(修正!A45:A56,G2,修正!B45:B56)</f>
        <v>0</v>
      </c>
      <c r="G33" s="1034" t="e">
        <f t="shared" ref="G33" si="6">ROUND(IF(E2="工业",C33*$M$39,C33*$M$38),0)</f>
        <v>#DIV/0!</v>
      </c>
      <c r="H33" s="1034">
        <f>D33</f>
        <v>0</v>
      </c>
      <c r="I33" s="1034" t="e">
        <f>ROUND(G33*H33/10000,0)</f>
        <v>#DIV/0!</v>
      </c>
      <c r="J33" s="3550" t="s">
        <v>2994</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551"/>
      <c r="B34" s="1391" t="s">
        <v>991</v>
      </c>
      <c r="C34" s="1045" t="e">
        <f>ROUND(D5*C19*C20*C24*F34,0)</f>
        <v>#DIV/0!</v>
      </c>
      <c r="D34" s="1474"/>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51"/>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551"/>
      <c r="B35" s="1391" t="s">
        <v>992</v>
      </c>
      <c r="C35" s="1045" t="e">
        <f>ROUND(D5*C19*C20*C24*F35,0)</f>
        <v>#DIV/0!</v>
      </c>
      <c r="D35" s="1474"/>
      <c r="E35" s="1034" t="e">
        <f t="shared" si="7"/>
        <v>#DIV/0!</v>
      </c>
      <c r="F35" s="1034">
        <f>SUMIF(修正!A45:A56,G2,修正!D45:D56)</f>
        <v>0</v>
      </c>
      <c r="G35" s="1034" t="e">
        <f>ROUND(IF(E2="工业",C35*$M$39,C35*$M$38),0)</f>
        <v>#DIV/0!</v>
      </c>
      <c r="H35" s="1034">
        <f t="shared" si="8"/>
        <v>0</v>
      </c>
      <c r="I35" s="1034" t="e">
        <f t="shared" si="9"/>
        <v>#DIV/0!</v>
      </c>
      <c r="J35" s="3551"/>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552"/>
      <c r="B36" s="1391" t="s">
        <v>993</v>
      </c>
      <c r="C36" s="1045" t="e">
        <f>ROUND(D5*C19*C20*C24*F36,0)</f>
        <v>#DIV/0!</v>
      </c>
      <c r="D36" s="1474"/>
      <c r="E36" s="1034" t="e">
        <f t="shared" si="7"/>
        <v>#DIV/0!</v>
      </c>
      <c r="F36" s="1034">
        <f>SUMIF(修正!A45:A56,G2,修正!E45:E56)</f>
        <v>0</v>
      </c>
      <c r="G36" s="1034" t="e">
        <f>ROUND(IF(E2="工业",C36*$M$39,C36*$M$38),0)</f>
        <v>#DIV/0!</v>
      </c>
      <c r="H36" s="1034">
        <f t="shared" si="8"/>
        <v>0</v>
      </c>
      <c r="I36" s="1034" t="e">
        <f t="shared" si="9"/>
        <v>#DIV/0!</v>
      </c>
      <c r="J36" s="3552"/>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994</v>
      </c>
      <c r="C37" s="1034" t="e">
        <f>ROUND(D5*C19*C20*C24*F37,0)</f>
        <v>#DIV/0!</v>
      </c>
      <c r="D37" s="1474"/>
      <c r="E37" s="1034" t="e">
        <f t="shared" si="7"/>
        <v>#DIV/0!</v>
      </c>
      <c r="F37" s="1045">
        <f>SUMIF(修正!A45:A56,G2,修正!F45:F56)</f>
        <v>0</v>
      </c>
      <c r="G37" s="1034" t="e">
        <f>ROUND(IF(E2="工业",C37*$M$39,C37*$M$38),0)</f>
        <v>#DIV/0!</v>
      </c>
      <c r="H37" s="1034">
        <f t="shared" si="8"/>
        <v>0</v>
      </c>
      <c r="I37" s="1034" t="e">
        <f t="shared" si="9"/>
        <v>#DIV/0!</v>
      </c>
      <c r="J37" s="1462"/>
      <c r="K37" s="2067"/>
      <c r="L37" s="1480" t="s">
        <v>1694</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995</v>
      </c>
      <c r="C38" s="1034" t="e">
        <f>ROUND(D5*C19*C41*C24*F38,0)</f>
        <v>#DIV/0!</v>
      </c>
      <c r="D38" s="1474"/>
      <c r="E38" s="1034" t="e">
        <f t="shared" si="7"/>
        <v>#DIV/0!</v>
      </c>
      <c r="F38" s="1045">
        <f>SUMIF(修正!A45:A56,G2,修正!G45:G56)</f>
        <v>0</v>
      </c>
      <c r="G38" s="1034" t="e">
        <f>ROUND(IF(E2="工业",C38*$M$39,C38*$M$38),0)</f>
        <v>#DIV/0!</v>
      </c>
      <c r="H38" s="1034">
        <f t="shared" si="8"/>
        <v>0</v>
      </c>
      <c r="I38" s="1034" t="e">
        <f t="shared" si="9"/>
        <v>#DIV/0!</v>
      </c>
      <c r="J38" s="1462"/>
      <c r="K38" s="2067"/>
      <c r="L38" s="1482" t="s">
        <v>1696</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996</v>
      </c>
      <c r="C39" s="1037" t="e">
        <f>ROUND(D5*C19*C41*C24*F39,0)</f>
        <v>#DIV/0!</v>
      </c>
      <c r="D39" s="1475"/>
      <c r="E39" s="1037" t="e">
        <f t="shared" si="7"/>
        <v>#DIV/0!</v>
      </c>
      <c r="F39" s="1047">
        <f>SUMIF(修正!A45:A56,G2,修正!H45:H56)</f>
        <v>0</v>
      </c>
      <c r="G39" s="1037" t="e">
        <f>ROUND(IF(E2="工业",C39*$M$39,C39*$M$38),0)</f>
        <v>#DIV/0!</v>
      </c>
      <c r="H39" s="1037">
        <f t="shared" si="8"/>
        <v>0</v>
      </c>
      <c r="I39" s="1037" t="e">
        <f t="shared" si="9"/>
        <v>#DIV/0!</v>
      </c>
      <c r="J39" s="1464"/>
      <c r="K39" s="2067"/>
      <c r="L39" s="1484" t="s">
        <v>1695</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2948</v>
      </c>
      <c r="C41" s="827" t="e">
        <f>ROUND(POWER(1+E41,H41-G41)*(POWER(1+E41,G41)-1)/(POWER(1+E41,H41)-1),4)</f>
        <v>#DIV/0!</v>
      </c>
      <c r="D41" s="371" t="s">
        <v>2946</v>
      </c>
      <c r="E41" s="2829">
        <f>G20</f>
        <v>0</v>
      </c>
      <c r="F41" s="371" t="s">
        <v>2947</v>
      </c>
      <c r="G41" s="389"/>
      <c r="H41" s="371">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997</v>
      </c>
      <c r="B44" s="2272"/>
      <c r="C44" s="2273"/>
      <c r="D44" s="2274"/>
      <c r="E44" s="2274"/>
      <c r="F44" s="2275"/>
      <c r="G44" s="1048"/>
      <c r="H44" s="2275"/>
      <c r="I44" s="1048"/>
      <c r="J44" s="1048"/>
      <c r="K44" s="1048"/>
      <c r="L44" s="1048"/>
      <c r="M44" s="1048"/>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998</v>
      </c>
      <c r="B45" s="2277">
        <f>1+E47</f>
        <v>1</v>
      </c>
      <c r="C45" s="2278"/>
      <c r="D45" s="2279"/>
      <c r="E45" s="2280"/>
      <c r="F45" s="2281"/>
      <c r="G45" s="2275"/>
      <c r="H45" s="2275"/>
      <c r="I45" s="1048"/>
      <c r="J45" s="1048"/>
      <c r="K45" s="1048"/>
      <c r="L45" s="1048"/>
      <c r="M45" s="1048"/>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9" t="s">
        <v>999</v>
      </c>
      <c r="B46" s="2260" t="s">
        <v>1000</v>
      </c>
      <c r="C46" s="2282" t="s">
        <v>1001</v>
      </c>
      <c r="D46" s="2283" t="s">
        <v>1002</v>
      </c>
      <c r="E46" s="2284" t="s">
        <v>1004</v>
      </c>
      <c r="F46" s="2285" t="s">
        <v>2238</v>
      </c>
      <c r="G46" s="2283" t="s">
        <v>1005</v>
      </c>
      <c r="H46" s="2266" t="s">
        <v>2402</v>
      </c>
      <c r="I46" s="2283" t="s">
        <v>1003</v>
      </c>
      <c r="J46" s="2286" t="s">
        <v>1006</v>
      </c>
      <c r="K46" s="2286" t="s">
        <v>1007</v>
      </c>
      <c r="L46" s="2286" t="s">
        <v>1008</v>
      </c>
      <c r="M46" s="2286" t="s">
        <v>1009</v>
      </c>
      <c r="N46" s="2286" t="s">
        <v>1010</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c r="A47" s="1049" t="s">
        <v>1011</v>
      </c>
      <c r="B47" s="2263" t="str">
        <f>估价对象房地状况!C16</f>
        <v>估价对象位于XX商圈，周边商业氛围成熟，人流量大，商业繁华度好</v>
      </c>
      <c r="C47" s="1036"/>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c r="A48" s="1049" t="s">
        <v>1012</v>
      </c>
      <c r="B48" s="2260" t="str">
        <f>估价对象房地状况!C18</f>
        <v>估价对象周边道路状况、公共交通通达情况、停车便捷程度，综合评价交通便捷度较好</v>
      </c>
      <c r="C48" s="1036"/>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9" t="s">
        <v>1013</v>
      </c>
      <c r="B49" s="2260">
        <f>估价对象房地状况!C19</f>
        <v>0</v>
      </c>
      <c r="C49" s="1036"/>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9" t="s">
        <v>1014</v>
      </c>
      <c r="B50" s="2782" t="s">
        <v>2904</v>
      </c>
      <c r="C50" s="1036"/>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9" t="s">
        <v>1015</v>
      </c>
      <c r="B51" s="2260">
        <f>估价对象房地状况!C24</f>
        <v>0</v>
      </c>
      <c r="C51" s="1036"/>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9" t="s">
        <v>1016</v>
      </c>
      <c r="B52" s="2781" t="s">
        <v>2903</v>
      </c>
      <c r="C52" s="1036"/>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1017</v>
      </c>
      <c r="B53" s="2261" t="str">
        <f>估价对象房地状况!C21</f>
        <v>估价对象所在区域公共配套设施齐备情况</v>
      </c>
      <c r="C53" s="1036"/>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1018</v>
      </c>
      <c r="B54" s="2260" t="str">
        <f>估价对象房地状况!C22</f>
        <v>估价对象所在区域基础设施水平</v>
      </c>
      <c r="C54" s="1036"/>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1019</v>
      </c>
      <c r="B55" s="2264" t="str">
        <f>估价对象房地状况!C20</f>
        <v>区域自然环境：；人文环境；综合评价环境状况一般</v>
      </c>
      <c r="C55" s="1036"/>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1020</v>
      </c>
      <c r="B56" s="2277">
        <f>1+E58</f>
        <v>1</v>
      </c>
      <c r="C56" s="2296"/>
      <c r="D56" s="2279"/>
      <c r="E56" s="2280"/>
      <c r="F56" s="2281"/>
      <c r="G56" s="2275"/>
      <c r="H56" s="2275"/>
      <c r="I56" s="2275"/>
      <c r="J56" s="1048"/>
      <c r="K56" s="1048"/>
      <c r="L56" s="1048"/>
      <c r="M56" s="1048"/>
      <c r="N56" s="1048"/>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9" t="s">
        <v>999</v>
      </c>
      <c r="B57" s="2260"/>
      <c r="C57" s="2282" t="s">
        <v>1001</v>
      </c>
      <c r="D57" s="2283" t="s">
        <v>1002</v>
      </c>
      <c r="E57" s="2284" t="s">
        <v>1004</v>
      </c>
      <c r="F57" s="2285" t="s">
        <v>2239</v>
      </c>
      <c r="G57" s="2283" t="s">
        <v>1005</v>
      </c>
      <c r="H57" s="2266" t="s">
        <v>2402</v>
      </c>
      <c r="I57" s="2283" t="s">
        <v>1003</v>
      </c>
      <c r="J57" s="2286" t="s">
        <v>1006</v>
      </c>
      <c r="K57" s="2286" t="s">
        <v>1007</v>
      </c>
      <c r="L57" s="2286" t="s">
        <v>1008</v>
      </c>
      <c r="M57" s="2286" t="s">
        <v>1009</v>
      </c>
      <c r="N57" s="2286" t="s">
        <v>1010</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9" t="s">
        <v>1021</v>
      </c>
      <c r="B58" s="2263" t="str">
        <f>估价对象房地状况!C17</f>
        <v>估价对象位于XX商圈，周边办公楼项目较多，入驻率高，办公集聚程度较好</v>
      </c>
      <c r="C58" s="1036"/>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9" t="s">
        <v>1012</v>
      </c>
      <c r="B59" s="2260" t="str">
        <f>估价对象房地状况!C18</f>
        <v>估价对象周边道路状况、公共交通通达情况、停车便捷程度，综合评价交通便捷度较好</v>
      </c>
      <c r="C59" s="1036"/>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9" t="s">
        <v>1013</v>
      </c>
      <c r="B60" s="2260">
        <f>估价对象房地状况!C19</f>
        <v>0</v>
      </c>
      <c r="C60" s="1036"/>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9" t="s">
        <v>1014</v>
      </c>
      <c r="B61" s="2782" t="s">
        <v>2905</v>
      </c>
      <c r="C61" s="1036"/>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9" t="s">
        <v>1015</v>
      </c>
      <c r="B62" s="2260">
        <f>估价对象房地状况!C24</f>
        <v>0</v>
      </c>
      <c r="C62" s="1036"/>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9" t="s">
        <v>1016</v>
      </c>
      <c r="B63" s="2781" t="s">
        <v>2903</v>
      </c>
      <c r="C63" s="1036"/>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9" t="s">
        <v>1017</v>
      </c>
      <c r="B64" s="2261" t="str">
        <f>估价对象房地状况!C21</f>
        <v>估价对象所在区域公共配套设施齐备情况</v>
      </c>
      <c r="C64" s="1036"/>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9" t="s">
        <v>1018</v>
      </c>
      <c r="B65" s="2261" t="str">
        <f>估价对象房地状况!C22</f>
        <v>估价对象所在区域基础设施水平</v>
      </c>
      <c r="C65" s="1036"/>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1019</v>
      </c>
      <c r="B66" s="2265" t="str">
        <f>估价对象房地状况!C20</f>
        <v>区域自然环境：；人文环境；综合评价环境状况一般</v>
      </c>
      <c r="C66" s="1036"/>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1022</v>
      </c>
      <c r="B67" s="2277">
        <f>1+E69</f>
        <v>1</v>
      </c>
      <c r="C67" s="2296"/>
      <c r="D67" s="2279"/>
      <c r="E67" s="2280"/>
      <c r="F67" s="2281"/>
      <c r="G67" s="2275"/>
      <c r="H67" s="2275"/>
      <c r="I67" s="2275"/>
      <c r="J67" s="1048"/>
      <c r="K67" s="1048"/>
      <c r="L67" s="1048"/>
      <c r="M67" s="1048"/>
      <c r="N67" s="1048"/>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9" t="s">
        <v>999</v>
      </c>
      <c r="B68" s="2260"/>
      <c r="C68" s="2282" t="s">
        <v>1001</v>
      </c>
      <c r="D68" s="2283" t="s">
        <v>1002</v>
      </c>
      <c r="E68" s="2284" t="s">
        <v>1004</v>
      </c>
      <c r="F68" s="2285" t="s">
        <v>2240</v>
      </c>
      <c r="G68" s="2283" t="s">
        <v>1005</v>
      </c>
      <c r="H68" s="2266" t="s">
        <v>2402</v>
      </c>
      <c r="I68" s="2283" t="s">
        <v>1003</v>
      </c>
      <c r="J68" s="2286" t="s">
        <v>1006</v>
      </c>
      <c r="K68" s="2286" t="s">
        <v>1007</v>
      </c>
      <c r="L68" s="2286" t="s">
        <v>1008</v>
      </c>
      <c r="M68" s="2286" t="s">
        <v>1009</v>
      </c>
      <c r="N68" s="2286" t="s">
        <v>1010</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9" t="s">
        <v>1023</v>
      </c>
      <c r="B69" s="2263" t="str">
        <f>估价对象房地状况!C15</f>
        <v>估价对象周边居住用地比例、居住小区规模和社区发展完善程度，综合评价居住社区成熟度一般</v>
      </c>
      <c r="C69" s="1141"/>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9" t="s">
        <v>1024</v>
      </c>
      <c r="B70" s="2260" t="str">
        <f>估价对象房地状况!C18</f>
        <v>估价对象周边道路状况、公共交通通达情况、停车便捷程度，综合评价交通便捷度较好</v>
      </c>
      <c r="C70" s="1141"/>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9" t="s">
        <v>1013</v>
      </c>
      <c r="B71" s="2260">
        <f>估价对象房地状况!C19</f>
        <v>0</v>
      </c>
      <c r="C71" s="1141"/>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9" t="s">
        <v>1025</v>
      </c>
      <c r="B72" s="2260">
        <f>估价对象房地状况!C24</f>
        <v>0</v>
      </c>
      <c r="C72" s="1141"/>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9" t="s">
        <v>1017</v>
      </c>
      <c r="B73" s="2261" t="str">
        <f>估价对象房地状况!C21</f>
        <v>估价对象所在区域公共配套设施齐备情况</v>
      </c>
      <c r="C73" s="1141"/>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9" t="s">
        <v>1018</v>
      </c>
      <c r="B74" s="2261" t="str">
        <f>估价对象房地状况!C22</f>
        <v>估价对象所在区域基础设施水平</v>
      </c>
      <c r="C74" s="1141"/>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9" t="s">
        <v>1016</v>
      </c>
      <c r="B75" s="2781" t="s">
        <v>2903</v>
      </c>
      <c r="C75" s="1141"/>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9" t="s">
        <v>1019</v>
      </c>
      <c r="B76" s="2263" t="str">
        <f>估价对象房地状况!C20</f>
        <v>区域自然环境：；人文环境；综合评价环境状况一般</v>
      </c>
      <c r="C76" s="1141"/>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1026</v>
      </c>
      <c r="B77" s="1761"/>
      <c r="C77" s="1141"/>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1"/>
      <c r="AD77" s="1350"/>
      <c r="AJ77" s="1349"/>
      <c r="AN77" s="1350"/>
    </row>
    <row r="78" spans="1:40" ht="15">
      <c r="A78" s="2276" t="s">
        <v>1027</v>
      </c>
      <c r="B78" s="2277">
        <f>1+E80</f>
        <v>1</v>
      </c>
      <c r="C78" s="2296"/>
      <c r="D78" s="2279"/>
      <c r="E78" s="2280"/>
      <c r="F78" s="2281"/>
      <c r="G78" s="2275"/>
      <c r="H78" s="2275"/>
      <c r="I78" s="2275"/>
      <c r="J78" s="1048"/>
      <c r="K78" s="1048"/>
      <c r="L78" s="1048"/>
      <c r="M78" s="1048"/>
      <c r="N78" s="1048"/>
      <c r="AC78" s="1351"/>
      <c r="AD78" s="1350"/>
      <c r="AJ78" s="1349"/>
      <c r="AN78" s="1350"/>
    </row>
    <row r="79" spans="1:40" ht="24">
      <c r="A79" s="1049" t="s">
        <v>999</v>
      </c>
      <c r="B79" s="2260"/>
      <c r="C79" s="2282" t="s">
        <v>1001</v>
      </c>
      <c r="D79" s="2283" t="s">
        <v>1002</v>
      </c>
      <c r="E79" s="2284" t="s">
        <v>1004</v>
      </c>
      <c r="F79" s="2285" t="s">
        <v>2241</v>
      </c>
      <c r="G79" s="2283" t="s">
        <v>1005</v>
      </c>
      <c r="H79" s="2266" t="s">
        <v>2402</v>
      </c>
      <c r="I79" s="2283" t="s">
        <v>1003</v>
      </c>
      <c r="J79" s="2286" t="s">
        <v>1006</v>
      </c>
      <c r="K79" s="2286" t="s">
        <v>1007</v>
      </c>
      <c r="L79" s="2286" t="s">
        <v>1008</v>
      </c>
      <c r="M79" s="2286" t="s">
        <v>1009</v>
      </c>
      <c r="N79" s="2286" t="s">
        <v>1010</v>
      </c>
      <c r="AC79" s="1351"/>
      <c r="AD79" s="1350"/>
      <c r="AJ79" s="1349"/>
      <c r="AN79" s="1350"/>
    </row>
    <row r="80" spans="1:40" ht="36">
      <c r="A80" s="1049" t="s">
        <v>1028</v>
      </c>
      <c r="B80" s="2260" t="str">
        <f>估价对象房地状况!G15</f>
        <v>估价对象位于XX开发区，园区建设成熟度XX，产业集聚程度XX</v>
      </c>
      <c r="C80" s="1036"/>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48">
      <c r="A81" s="1049" t="s">
        <v>1024</v>
      </c>
      <c r="B81" s="2260" t="str">
        <f>估价对象房地状况!G16</f>
        <v>估价对象周边道路状况、公共交通通达情况、停车便捷程度，综合评价交通便捷度较好</v>
      </c>
      <c r="C81" s="1036"/>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9" t="s">
        <v>1013</v>
      </c>
      <c r="B82" s="2260">
        <f>估价对象房地状况!G17</f>
        <v>0</v>
      </c>
      <c r="C82" s="1036"/>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4.25">
      <c r="A83" s="1049" t="s">
        <v>1025</v>
      </c>
      <c r="B83" s="2260">
        <f>估价对象房地状况!G22</f>
        <v>0</v>
      </c>
      <c r="C83" s="1036"/>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9" t="s">
        <v>1017</v>
      </c>
      <c r="B84" s="2261" t="str">
        <f>估价对象房地状况!G19</f>
        <v>估价对象所在区域公共配套设施齐备情况</v>
      </c>
      <c r="C84" s="1036"/>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9" t="s">
        <v>1018</v>
      </c>
      <c r="B85" s="2261" t="str">
        <f>估价对象房地状况!G20</f>
        <v>估价对象所在区域基础设施水平</v>
      </c>
      <c r="C85" s="1036"/>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24">
      <c r="A86" s="1049" t="s">
        <v>1016</v>
      </c>
      <c r="B86" s="2781" t="s">
        <v>2903</v>
      </c>
      <c r="C86" s="1036"/>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36.75" thickBot="1">
      <c r="A87" s="2293" t="s">
        <v>1029</v>
      </c>
      <c r="B87" s="2262" t="str">
        <f>估价对象房地状况!G18</f>
        <v>该园区内是否有污染型企业，绿化情况，卫生条件，整体环境状况判断</v>
      </c>
      <c r="C87" s="1036"/>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548" t="s">
        <v>1624</v>
      </c>
      <c r="B90" s="3548"/>
      <c r="C90" s="3548"/>
      <c r="D90" s="3548"/>
      <c r="E90" s="3548"/>
      <c r="F90" s="3548"/>
      <c r="G90" s="3548"/>
      <c r="H90" s="3548"/>
      <c r="I90" s="3548"/>
      <c r="J90" s="3548"/>
      <c r="K90" s="2302"/>
      <c r="L90" s="2302"/>
      <c r="M90" s="2302"/>
      <c r="N90" s="2302"/>
    </row>
    <row r="91" spans="1:40">
      <c r="A91" s="3549" t="s">
        <v>1434</v>
      </c>
      <c r="B91" s="3549" t="s">
        <v>1625</v>
      </c>
      <c r="C91" s="1122" t="s">
        <v>1626</v>
      </c>
      <c r="D91" s="1123"/>
      <c r="E91" s="1123"/>
      <c r="F91" s="1123"/>
      <c r="G91" s="1123"/>
      <c r="H91" s="1123"/>
      <c r="I91" s="1123"/>
      <c r="J91" s="1124"/>
      <c r="K91" s="1116"/>
      <c r="L91" s="1116"/>
      <c r="M91" s="1116"/>
      <c r="N91" s="1116"/>
    </row>
    <row r="92" spans="1:40">
      <c r="A92" s="3549"/>
      <c r="B92" s="3549"/>
      <c r="C92" s="2301" t="s">
        <v>898</v>
      </c>
      <c r="D92" s="2301" t="s">
        <v>876</v>
      </c>
      <c r="E92" s="2301" t="s">
        <v>877</v>
      </c>
      <c r="F92" s="2301" t="s">
        <v>901</v>
      </c>
      <c r="G92" s="2301" t="s">
        <v>879</v>
      </c>
      <c r="H92" s="2301" t="s">
        <v>880</v>
      </c>
      <c r="I92" s="2301" t="s">
        <v>881</v>
      </c>
      <c r="J92" s="2301" t="s">
        <v>882</v>
      </c>
      <c r="K92" s="2301" t="s">
        <v>906</v>
      </c>
      <c r="L92" s="2301" t="s">
        <v>884</v>
      </c>
      <c r="M92" s="2301" t="s">
        <v>885</v>
      </c>
      <c r="N92" s="2301" t="s">
        <v>909</v>
      </c>
    </row>
    <row r="93" spans="1:40">
      <c r="A93" s="3556"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57"/>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57"/>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57"/>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57"/>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57"/>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57"/>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58"/>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56" t="s">
        <v>1628</v>
      </c>
      <c r="B101" s="1129" t="s">
        <v>897</v>
      </c>
      <c r="C101" s="1130">
        <f>$G$3</f>
        <v>2.31</v>
      </c>
      <c r="D101" s="1130">
        <f t="shared" ref="D101:N101" si="31">$G$3</f>
        <v>2.31</v>
      </c>
      <c r="E101" s="1130">
        <f t="shared" si="31"/>
        <v>2.31</v>
      </c>
      <c r="F101" s="1130">
        <f t="shared" si="31"/>
        <v>2.31</v>
      </c>
      <c r="G101" s="1130">
        <f t="shared" si="31"/>
        <v>2.31</v>
      </c>
      <c r="H101" s="1130">
        <f t="shared" si="31"/>
        <v>2.31</v>
      </c>
      <c r="I101" s="1130">
        <f t="shared" si="31"/>
        <v>2.31</v>
      </c>
      <c r="J101" s="1130">
        <f t="shared" si="31"/>
        <v>2.31</v>
      </c>
      <c r="K101" s="1130">
        <f t="shared" si="31"/>
        <v>2.31</v>
      </c>
      <c r="L101" s="1130">
        <f t="shared" si="31"/>
        <v>2.31</v>
      </c>
      <c r="M101" s="1130">
        <f t="shared" si="31"/>
        <v>2.31</v>
      </c>
      <c r="N101" s="1130">
        <f t="shared" si="31"/>
        <v>2.31</v>
      </c>
    </row>
    <row r="102" spans="1:14">
      <c r="A102" s="3557"/>
      <c r="B102" s="1125">
        <v>1</v>
      </c>
      <c r="C102" s="1126">
        <f>1.9362/C101</f>
        <v>0.83818181818181814</v>
      </c>
      <c r="D102" s="1126">
        <f>1.9362/D101</f>
        <v>0.83818181818181814</v>
      </c>
      <c r="E102" s="1126">
        <f>1.8629/E101</f>
        <v>0.80645021645021642</v>
      </c>
      <c r="F102" s="1126">
        <f>1.8629/F101</f>
        <v>0.80645021645021642</v>
      </c>
      <c r="G102" s="1126">
        <f>1.8629/G101</f>
        <v>0.80645021645021642</v>
      </c>
      <c r="H102" s="1126">
        <f>1.8629/H101</f>
        <v>0.80645021645021642</v>
      </c>
      <c r="I102" s="1126">
        <f>1.8629/I101</f>
        <v>0.80645021645021642</v>
      </c>
      <c r="J102" s="1126">
        <f>1.942/J101</f>
        <v>0.8406926406926406</v>
      </c>
      <c r="K102" s="1126">
        <f>1.942/K101</f>
        <v>0.8406926406926406</v>
      </c>
      <c r="L102" s="1126">
        <f>1.942/L101</f>
        <v>0.8406926406926406</v>
      </c>
      <c r="M102" s="1126">
        <f>1.942/M101</f>
        <v>0.8406926406926406</v>
      </c>
      <c r="N102" s="1126">
        <f>1.942/N101</f>
        <v>0.8406926406926406</v>
      </c>
    </row>
    <row r="103" spans="1:14">
      <c r="A103" s="3557"/>
      <c r="B103" s="1125">
        <v>2</v>
      </c>
      <c r="C103" s="1126">
        <f>1.4198/C101</f>
        <v>0.61463203463203464</v>
      </c>
      <c r="D103" s="1126">
        <f>1.4198/D101</f>
        <v>0.61463203463203464</v>
      </c>
      <c r="E103" s="1126">
        <f>1.3372/E101</f>
        <v>0.57887445887445887</v>
      </c>
      <c r="F103" s="1126">
        <f>1.3372/F101</f>
        <v>0.57887445887445887</v>
      </c>
      <c r="G103" s="1126">
        <f>1.3372/G101</f>
        <v>0.57887445887445887</v>
      </c>
      <c r="H103" s="1126">
        <f>1.3372/H101</f>
        <v>0.57887445887445887</v>
      </c>
      <c r="I103" s="1126">
        <f>1.3372/I101</f>
        <v>0.57887445887445887</v>
      </c>
      <c r="J103" s="1126">
        <f>1.2799/J101</f>
        <v>0.55406926406926404</v>
      </c>
      <c r="K103" s="1126">
        <f>1.2799/K101</f>
        <v>0.55406926406926404</v>
      </c>
      <c r="L103" s="1126">
        <f>1.2799/L101</f>
        <v>0.55406926406926404</v>
      </c>
      <c r="M103" s="1126">
        <f>1.2799/M101</f>
        <v>0.55406926406926404</v>
      </c>
      <c r="N103" s="1126">
        <f>1.2799/N101</f>
        <v>0.55406926406926404</v>
      </c>
    </row>
    <row r="104" spans="1:14">
      <c r="A104" s="3557"/>
      <c r="B104" s="1125">
        <v>3</v>
      </c>
      <c r="C104" s="1126">
        <f>1.1594/C101</f>
        <v>0.50190476190476185</v>
      </c>
      <c r="D104" s="1126">
        <f>1.1594/D101</f>
        <v>0.50190476190476185</v>
      </c>
      <c r="E104" s="1126">
        <f>1.0788/E101</f>
        <v>0.46701298701298699</v>
      </c>
      <c r="F104" s="1126">
        <f>1.0788/F101</f>
        <v>0.46701298701298699</v>
      </c>
      <c r="G104" s="1126">
        <f>1.0788/G101</f>
        <v>0.46701298701298699</v>
      </c>
      <c r="H104" s="1126">
        <f>1.0788/H101</f>
        <v>0.46701298701298699</v>
      </c>
      <c r="I104" s="1126">
        <f>1.0788/I101</f>
        <v>0.46701298701298699</v>
      </c>
      <c r="J104" s="1126">
        <f>1.0072/J101</f>
        <v>0.43601731601731603</v>
      </c>
      <c r="K104" s="1126">
        <f>1.0072/K101</f>
        <v>0.43601731601731603</v>
      </c>
      <c r="L104" s="1126">
        <f>1.0072/L101</f>
        <v>0.43601731601731603</v>
      </c>
      <c r="M104" s="1126">
        <f>1.0072/M101</f>
        <v>0.43601731601731603</v>
      </c>
      <c r="N104" s="1126">
        <f>1.0072/N101</f>
        <v>0.43601731601731603</v>
      </c>
    </row>
    <row r="105" spans="1:14">
      <c r="A105" s="3557"/>
      <c r="B105" s="1125">
        <v>4</v>
      </c>
      <c r="C105" s="1126">
        <f>0.9622/C101</f>
        <v>0.41653679653679654</v>
      </c>
      <c r="D105" s="1126">
        <f>0.9622/D101</f>
        <v>0.41653679653679654</v>
      </c>
      <c r="E105" s="1126">
        <f>0.8656/E101</f>
        <v>0.37471861471861473</v>
      </c>
      <c r="F105" s="1126">
        <f>0.8656/F101</f>
        <v>0.37471861471861473</v>
      </c>
      <c r="G105" s="1126">
        <f>0.8656/G101</f>
        <v>0.37471861471861473</v>
      </c>
      <c r="H105" s="1126">
        <f>0.8656/H101</f>
        <v>0.37471861471861473</v>
      </c>
      <c r="I105" s="1126">
        <f>0.8656/I101</f>
        <v>0.37471861471861473</v>
      </c>
      <c r="J105" s="1126">
        <f>0.7525/J101</f>
        <v>0.32575757575757575</v>
      </c>
      <c r="K105" s="1126">
        <f>0.7525/K101</f>
        <v>0.32575757575757575</v>
      </c>
      <c r="L105" s="1126">
        <f>0.7525/L101</f>
        <v>0.32575757575757575</v>
      </c>
      <c r="M105" s="1126">
        <f>0.7525/M101</f>
        <v>0.32575757575757575</v>
      </c>
      <c r="N105" s="1126">
        <f>0.7525/N101</f>
        <v>0.32575757575757575</v>
      </c>
    </row>
    <row r="106" spans="1:14">
      <c r="A106" s="3557"/>
      <c r="B106" s="1125">
        <v>5</v>
      </c>
      <c r="C106" s="1126">
        <f>0.8417/C101</f>
        <v>0.36437229437229435</v>
      </c>
      <c r="D106" s="1126">
        <f>0.8417/D101</f>
        <v>0.36437229437229435</v>
      </c>
      <c r="E106" s="1126">
        <f>0.7371/E101</f>
        <v>0.31909090909090909</v>
      </c>
      <c r="F106" s="1126">
        <f>0.7371/F101</f>
        <v>0.31909090909090909</v>
      </c>
      <c r="G106" s="1126">
        <f>0.7371/G101</f>
        <v>0.31909090909090909</v>
      </c>
      <c r="H106" s="1126">
        <f>0.7371/H101</f>
        <v>0.31909090909090909</v>
      </c>
      <c r="I106" s="1126">
        <f>0.7371/I101</f>
        <v>0.31909090909090909</v>
      </c>
      <c r="J106" s="1126">
        <f>0.5659/J101</f>
        <v>0.24497835497835496</v>
      </c>
      <c r="K106" s="1126">
        <f>0.5659/K101</f>
        <v>0.24497835497835496</v>
      </c>
      <c r="L106" s="1126">
        <f>0.5659/L101</f>
        <v>0.24497835497835496</v>
      </c>
      <c r="M106" s="1126">
        <f>0.5659/M101</f>
        <v>0.24497835497835496</v>
      </c>
      <c r="N106" s="1126">
        <f>0.5659/N101</f>
        <v>0.24497835497835496</v>
      </c>
    </row>
    <row r="107" spans="1:14">
      <c r="A107" s="3557"/>
      <c r="B107" s="1125">
        <v>6</v>
      </c>
      <c r="C107" s="1126">
        <f>0.7608/C101</f>
        <v>0.32935064935064934</v>
      </c>
      <c r="D107" s="1126">
        <f>0.7608/D101</f>
        <v>0.32935064935064934</v>
      </c>
      <c r="E107" s="1126">
        <f>0.6482/E101</f>
        <v>0.28060606060606058</v>
      </c>
      <c r="F107" s="1126">
        <f>0.6482/F101</f>
        <v>0.28060606060606058</v>
      </c>
      <c r="G107" s="1126">
        <f>0.6482/G101</f>
        <v>0.28060606060606058</v>
      </c>
      <c r="H107" s="1126">
        <f>0.6482/H101</f>
        <v>0.28060606060606058</v>
      </c>
      <c r="I107" s="1126">
        <f>0.6482/I101</f>
        <v>0.28060606060606058</v>
      </c>
      <c r="J107" s="1126">
        <f>0.4525/J101</f>
        <v>0.19588744588744589</v>
      </c>
      <c r="K107" s="1126">
        <f>0.4525/K101</f>
        <v>0.19588744588744589</v>
      </c>
      <c r="L107" s="1126">
        <f>0.4525/L101</f>
        <v>0.19588744588744589</v>
      </c>
      <c r="M107" s="1126">
        <f>0.4525/M101</f>
        <v>0.19588744588744589</v>
      </c>
      <c r="N107" s="1126">
        <f>0.4525/N101</f>
        <v>0.19588744588744589</v>
      </c>
    </row>
    <row r="108" spans="1:14">
      <c r="A108" s="3557"/>
      <c r="B108" s="3559"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58"/>
      <c r="B109" s="3560"/>
      <c r="C109" s="1128">
        <f>(-0.163*(C108^2)-0.59*C108+7617)*(10^(-4))/C101</f>
        <v>0.32908432900432899</v>
      </c>
      <c r="D109" s="1128">
        <f>(-0.163*(D108^2)-0.59*D108+7617)*(10^(-4))/D101</f>
        <v>0.32908432900432899</v>
      </c>
      <c r="E109" s="1128">
        <f>(-0.161*(E108^2)-7.509*E108+6533)*(10^(-4))/E101</f>
        <v>0.27976727272727275</v>
      </c>
      <c r="F109" s="1128">
        <f>(-0.161*(F108^2)-7.509*F108+6533)*(10^(-4))/F101</f>
        <v>0.27976727272727275</v>
      </c>
      <c r="G109" s="1128">
        <f>(-0.161*(G108^2)-7.509*G108+6533)*(10^(-4))/G101</f>
        <v>0.27976727272727275</v>
      </c>
      <c r="H109" s="1128">
        <f>(-0.161*(H108^2)-7.509*H108+6533)*(10^(-4))/H101</f>
        <v>0.27976727272727275</v>
      </c>
      <c r="I109" s="1128">
        <f>(-0.161*(I108^2)-7.509*I108+6533)*(10^(-4))/I101</f>
        <v>0.27976727272727275</v>
      </c>
      <c r="J109" s="1128">
        <f>(-0.214*(J108^2)-21.991*J108+4665)*(10^(-4))/J101</f>
        <v>0.19373922077922079</v>
      </c>
      <c r="K109" s="1128">
        <f>(-0.214*(K108^2)-21.991*K108+4665)*(10^(-4))/K101</f>
        <v>0.19373922077922079</v>
      </c>
      <c r="L109" s="1128">
        <f>(-0.214*(L108^2)-21.991*L108+4665)*(10^(-4))/L101</f>
        <v>0.19373922077922079</v>
      </c>
      <c r="M109" s="1128">
        <f>(-0.214*(M108^2)-21.991*M108+4665)*(10^(-4))/M101</f>
        <v>0.19373922077922079</v>
      </c>
      <c r="N109" s="1128">
        <f>(-0.214*(N108^2)-21.991*N108+4665)*(10^(-4))/N101</f>
        <v>0.19373922077922079</v>
      </c>
    </row>
    <row r="110" spans="1:14">
      <c r="A110" s="3542" t="s">
        <v>1630</v>
      </c>
      <c r="B110" s="3542"/>
      <c r="C110" s="3542"/>
      <c r="D110" s="3542"/>
      <c r="E110" s="3542"/>
      <c r="F110" s="3542"/>
      <c r="G110" s="3542"/>
      <c r="H110" s="3542"/>
      <c r="I110" s="3542"/>
      <c r="J110" s="3542"/>
      <c r="K110" s="2300"/>
      <c r="L110" s="2300"/>
      <c r="M110" s="2300"/>
      <c r="N110" s="2300"/>
    </row>
    <row r="112" spans="1:14" ht="12.75" thickBot="1"/>
    <row r="113" spans="1:13" ht="25.5" thickBot="1">
      <c r="A113" s="1002" t="s">
        <v>887</v>
      </c>
      <c r="B113" s="2303">
        <f>G3</f>
        <v>2.31</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0.91180000000000005</v>
      </c>
      <c r="C115" s="1016">
        <f>B115</f>
        <v>0.91180000000000005</v>
      </c>
      <c r="D115" s="1016">
        <f>ROUND(0.8331-0.0109*B113,4)</f>
        <v>0.80789999999999995</v>
      </c>
      <c r="E115" s="1016">
        <f>D115</f>
        <v>0.80789999999999995</v>
      </c>
      <c r="F115" s="1016">
        <f>E115</f>
        <v>0.80789999999999995</v>
      </c>
      <c r="G115" s="1016">
        <f>F115</f>
        <v>0.80789999999999995</v>
      </c>
      <c r="H115" s="1016">
        <f>G115</f>
        <v>0.80789999999999995</v>
      </c>
      <c r="I115" s="1016">
        <f>ROUND(0.689-0.0155*B113,4)</f>
        <v>0.6532</v>
      </c>
      <c r="J115" s="1016">
        <f t="shared" ref="J115:M118" si="33">I115</f>
        <v>0.6532</v>
      </c>
      <c r="K115" s="1016">
        <f t="shared" si="33"/>
        <v>0.6532</v>
      </c>
      <c r="L115" s="1016">
        <f t="shared" si="33"/>
        <v>0.6532</v>
      </c>
      <c r="M115" s="1017">
        <f t="shared" si="33"/>
        <v>0.6532</v>
      </c>
    </row>
    <row r="116" spans="1:13" ht="12.75">
      <c r="A116" s="1015" t="s">
        <v>892</v>
      </c>
      <c r="B116" s="1016">
        <f>ROUND(0.949-0.012*B113,4)</f>
        <v>0.92130000000000001</v>
      </c>
      <c r="C116" s="1016">
        <f>B116</f>
        <v>0.92130000000000001</v>
      </c>
      <c r="D116" s="1016">
        <f>ROUND(0.8567-0.013*B113,4)</f>
        <v>0.82669999999999999</v>
      </c>
      <c r="E116" s="1016">
        <f t="shared" ref="E116:H117" si="34">D116</f>
        <v>0.82669999999999999</v>
      </c>
      <c r="F116" s="1016">
        <f t="shared" si="34"/>
        <v>0.82669999999999999</v>
      </c>
      <c r="G116" s="1016">
        <f t="shared" si="34"/>
        <v>0.82669999999999999</v>
      </c>
      <c r="H116" s="1016">
        <f t="shared" si="34"/>
        <v>0.82669999999999999</v>
      </c>
      <c r="I116" s="1016">
        <f>ROUND(0.7694-0.014*B113,4)</f>
        <v>0.73709999999999998</v>
      </c>
      <c r="J116" s="1016">
        <f t="shared" si="33"/>
        <v>0.73709999999999998</v>
      </c>
      <c r="K116" s="1016">
        <f t="shared" si="33"/>
        <v>0.73709999999999998</v>
      </c>
      <c r="L116" s="1016">
        <f t="shared" si="33"/>
        <v>0.73709999999999998</v>
      </c>
      <c r="M116" s="1017">
        <f t="shared" si="33"/>
        <v>0.73709999999999998</v>
      </c>
    </row>
    <row r="117" spans="1:13" ht="12.75">
      <c r="A117" s="1018" t="s">
        <v>893</v>
      </c>
      <c r="B117" s="1016">
        <f>ROUND(0.8808-0.006*B113,4)</f>
        <v>0.8669</v>
      </c>
      <c r="C117" s="1016">
        <f>B117</f>
        <v>0.8669</v>
      </c>
      <c r="D117" s="1016">
        <f>ROUND(0.8748-0.008*B113,4)</f>
        <v>0.85629999999999995</v>
      </c>
      <c r="E117" s="1016">
        <f t="shared" si="34"/>
        <v>0.85629999999999995</v>
      </c>
      <c r="F117" s="1016">
        <f t="shared" si="34"/>
        <v>0.85629999999999995</v>
      </c>
      <c r="G117" s="1016">
        <f t="shared" si="34"/>
        <v>0.85629999999999995</v>
      </c>
      <c r="H117" s="1016">
        <f t="shared" si="34"/>
        <v>0.85629999999999995</v>
      </c>
      <c r="I117" s="1016">
        <f>ROUND(0.7412-0.0095*B113,4)</f>
        <v>0.71930000000000005</v>
      </c>
      <c r="J117" s="1016">
        <f t="shared" si="33"/>
        <v>0.71930000000000005</v>
      </c>
      <c r="K117" s="1016">
        <f t="shared" si="33"/>
        <v>0.71930000000000005</v>
      </c>
      <c r="L117" s="1016">
        <f t="shared" si="33"/>
        <v>0.71930000000000005</v>
      </c>
      <c r="M117" s="1017">
        <f t="shared" si="33"/>
        <v>0.71930000000000005</v>
      </c>
    </row>
    <row r="118" spans="1:13" ht="13.5" thickBot="1">
      <c r="A118" s="1019" t="s">
        <v>894</v>
      </c>
      <c r="B118" s="1020">
        <f>ROUND(0.7275-0.01*B113,4)</f>
        <v>0.70440000000000003</v>
      </c>
      <c r="C118" s="1020">
        <f>B118</f>
        <v>0.70440000000000003</v>
      </c>
      <c r="D118" s="1020">
        <f>ROUND(0.7043-0.012*B113,4)</f>
        <v>0.67659999999999998</v>
      </c>
      <c r="E118" s="1020">
        <f>D118</f>
        <v>0.67659999999999998</v>
      </c>
      <c r="F118" s="1020">
        <f>E118</f>
        <v>0.67659999999999998</v>
      </c>
      <c r="G118" s="1020">
        <f>ROUND(0.6299-0.0122*B113,4)</f>
        <v>0.60170000000000001</v>
      </c>
      <c r="H118" s="1020">
        <f>G118</f>
        <v>0.60170000000000001</v>
      </c>
      <c r="I118" s="1020">
        <f>ROUND(0.5667-0.0136*B113,4)</f>
        <v>0.5353</v>
      </c>
      <c r="J118" s="1020">
        <f t="shared" si="33"/>
        <v>0.5353</v>
      </c>
      <c r="K118" s="1020">
        <f t="shared" si="33"/>
        <v>0.5353</v>
      </c>
      <c r="L118" s="1020">
        <f t="shared" si="33"/>
        <v>0.5353</v>
      </c>
      <c r="M118" s="1021">
        <f t="shared" si="33"/>
        <v>0.5353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7" customFormat="1" ht="19.5" customHeight="1">
      <c r="A18" s="3549" t="s">
        <v>998</v>
      </c>
      <c r="B18" s="1136" t="s">
        <v>1437</v>
      </c>
      <c r="C18" s="1113" t="s">
        <v>1438</v>
      </c>
      <c r="D18" s="1114"/>
      <c r="E18" s="1136">
        <v>1</v>
      </c>
      <c r="F18" s="1115" t="s">
        <v>1439</v>
      </c>
      <c r="G18" s="1116"/>
      <c r="H18" s="1087"/>
      <c r="I18" s="1087"/>
    </row>
    <row r="19" spans="1:9" s="1527" customFormat="1" ht="19.5" customHeight="1">
      <c r="A19" s="3549"/>
      <c r="B19" s="3549" t="s">
        <v>1440</v>
      </c>
      <c r="C19" s="1113" t="s">
        <v>1441</v>
      </c>
      <c r="D19" s="1114"/>
      <c r="E19" s="1136">
        <v>0.9</v>
      </c>
      <c r="F19" s="1115" t="s">
        <v>1442</v>
      </c>
      <c r="G19" s="1116"/>
      <c r="H19" s="1087"/>
      <c r="I19" s="1087"/>
    </row>
    <row r="20" spans="1:9" s="1527" customFormat="1" ht="19.5" customHeight="1">
      <c r="A20" s="3549"/>
      <c r="B20" s="3549"/>
      <c r="C20" s="1113" t="s">
        <v>1443</v>
      </c>
      <c r="D20" s="1114"/>
      <c r="E20" s="1136">
        <v>1.1000000000000001</v>
      </c>
      <c r="F20" s="1115" t="s">
        <v>1444</v>
      </c>
      <c r="G20" s="1116"/>
      <c r="H20" s="1087"/>
      <c r="I20" s="1087"/>
    </row>
    <row r="21" spans="1:9" s="1527" customFormat="1" ht="19.5" customHeight="1">
      <c r="A21" s="3549"/>
      <c r="B21" s="3549"/>
      <c r="C21" s="1113" t="s">
        <v>1445</v>
      </c>
      <c r="D21" s="1114"/>
      <c r="E21" s="1136">
        <v>0.8</v>
      </c>
      <c r="F21" s="1115" t="s">
        <v>1446</v>
      </c>
      <c r="G21" s="1116"/>
      <c r="H21" s="1087"/>
      <c r="I21" s="1087"/>
    </row>
    <row r="22" spans="1:9" s="1527" customFormat="1" ht="19.5" customHeight="1">
      <c r="A22" s="3549"/>
      <c r="B22" s="3549"/>
      <c r="C22" s="1113" t="s">
        <v>1447</v>
      </c>
      <c r="D22" s="1114"/>
      <c r="E22" s="1136">
        <v>0.5</v>
      </c>
      <c r="F22" s="1115"/>
      <c r="G22" s="1116"/>
      <c r="H22" s="1087"/>
      <c r="I22" s="1087"/>
    </row>
    <row r="23" spans="1:9" s="1527" customFormat="1" ht="19.5" customHeight="1">
      <c r="A23" s="3549" t="s">
        <v>1020</v>
      </c>
      <c r="B23" s="1136" t="s">
        <v>1437</v>
      </c>
      <c r="C23" s="1113" t="s">
        <v>1448</v>
      </c>
      <c r="D23" s="1114"/>
      <c r="E23" s="1136">
        <v>1</v>
      </c>
      <c r="F23" s="1115" t="s">
        <v>1449</v>
      </c>
      <c r="G23" s="1116"/>
      <c r="H23" s="1087"/>
      <c r="I23" s="1087"/>
    </row>
    <row r="24" spans="1:9" s="1527" customFormat="1" ht="19.5" customHeight="1">
      <c r="A24" s="3549"/>
      <c r="B24" s="3549" t="s">
        <v>1440</v>
      </c>
      <c r="C24" s="1113" t="s">
        <v>1450</v>
      </c>
      <c r="D24" s="1114"/>
      <c r="E24" s="1136">
        <v>0.5</v>
      </c>
      <c r="F24" s="1115"/>
      <c r="G24" s="1116"/>
      <c r="H24" s="1087"/>
      <c r="I24" s="1087"/>
    </row>
    <row r="25" spans="1:9" s="1527" customFormat="1" ht="19.5" customHeight="1">
      <c r="A25" s="3549"/>
      <c r="B25" s="3549"/>
      <c r="C25" s="1113" t="s">
        <v>1451</v>
      </c>
      <c r="D25" s="1114"/>
      <c r="E25" s="1136">
        <v>1.1000000000000001</v>
      </c>
      <c r="F25" s="1115"/>
      <c r="G25" s="1116"/>
      <c r="H25" s="1087"/>
      <c r="I25" s="1087"/>
    </row>
    <row r="26" spans="1:9" s="1527" customFormat="1" ht="19.5" customHeight="1">
      <c r="A26" s="3549"/>
      <c r="B26" s="3549"/>
      <c r="C26" s="1113" t="s">
        <v>1452</v>
      </c>
      <c r="D26" s="1114"/>
      <c r="E26" s="1136">
        <v>1.1000000000000001</v>
      </c>
      <c r="F26" s="1115"/>
      <c r="G26" s="1116"/>
      <c r="H26" s="1087"/>
      <c r="I26" s="1087"/>
    </row>
    <row r="27" spans="1:9" s="1527" customFormat="1" ht="19.5" customHeight="1">
      <c r="A27" s="3549"/>
      <c r="B27" s="3549"/>
      <c r="C27" s="1113" t="s">
        <v>1453</v>
      </c>
      <c r="D27" s="1114"/>
      <c r="E27" s="1136">
        <v>0.9</v>
      </c>
      <c r="F27" s="1115" t="s">
        <v>1454</v>
      </c>
      <c r="G27" s="1116"/>
      <c r="H27" s="1087"/>
      <c r="I27" s="1087"/>
    </row>
    <row r="28" spans="1:9" s="1527" customFormat="1" ht="19.5" customHeight="1">
      <c r="A28" s="3549"/>
      <c r="B28" s="3549"/>
      <c r="C28" s="1113" t="s">
        <v>1455</v>
      </c>
      <c r="D28" s="1114"/>
      <c r="E28" s="1136">
        <v>0.9</v>
      </c>
      <c r="F28" s="1115" t="s">
        <v>1456</v>
      </c>
      <c r="G28" s="1116"/>
      <c r="H28" s="1087"/>
      <c r="I28" s="1087"/>
    </row>
    <row r="29" spans="1:9" s="1527" customFormat="1" ht="19.5" customHeight="1">
      <c r="A29" s="3549"/>
      <c r="B29" s="3549"/>
      <c r="C29" s="1113" t="s">
        <v>1457</v>
      </c>
      <c r="D29" s="1114"/>
      <c r="E29" s="1136">
        <v>0.9</v>
      </c>
      <c r="F29" s="1115" t="s">
        <v>1458</v>
      </c>
      <c r="G29" s="1116"/>
      <c r="H29" s="1087"/>
      <c r="I29" s="1087"/>
    </row>
    <row r="30" spans="1:9" s="1527" customFormat="1" ht="19.5" customHeight="1">
      <c r="A30" s="3549"/>
      <c r="B30" s="3549"/>
      <c r="C30" s="1113" t="s">
        <v>1459</v>
      </c>
      <c r="D30" s="1114"/>
      <c r="E30" s="1136">
        <v>0.9</v>
      </c>
      <c r="F30" s="1115" t="s">
        <v>1460</v>
      </c>
      <c r="G30" s="1116"/>
      <c r="H30" s="1087"/>
      <c r="I30" s="1087"/>
    </row>
    <row r="31" spans="1:9" s="1527" customFormat="1" ht="19.5" customHeight="1">
      <c r="A31" s="3549"/>
      <c r="B31" s="3549"/>
      <c r="C31" s="1113" t="s">
        <v>1461</v>
      </c>
      <c r="D31" s="1114"/>
      <c r="E31" s="1136">
        <v>0.8</v>
      </c>
      <c r="F31" s="1115" t="s">
        <v>1462</v>
      </c>
      <c r="G31" s="1116"/>
      <c r="H31" s="1087"/>
      <c r="I31" s="1087"/>
    </row>
    <row r="32" spans="1:9" s="1527" customFormat="1" ht="19.5" customHeight="1">
      <c r="A32" s="3549"/>
      <c r="B32" s="3549"/>
      <c r="C32" s="1113" t="s">
        <v>1463</v>
      </c>
      <c r="D32" s="1114"/>
      <c r="E32" s="1136">
        <v>0.8</v>
      </c>
      <c r="F32" s="1115" t="s">
        <v>1464</v>
      </c>
      <c r="G32" s="1116"/>
      <c r="H32" s="1087"/>
      <c r="I32" s="1087"/>
    </row>
    <row r="33" spans="1:9" s="1527" customFormat="1" ht="19.5" customHeight="1">
      <c r="A33" s="3549" t="s">
        <v>1465</v>
      </c>
      <c r="B33" s="1136" t="s">
        <v>1437</v>
      </c>
      <c r="C33" s="1113" t="s">
        <v>1466</v>
      </c>
      <c r="D33" s="1114"/>
      <c r="E33" s="1136">
        <v>1</v>
      </c>
      <c r="F33" s="1115" t="s">
        <v>1467</v>
      </c>
      <c r="G33" s="1116"/>
      <c r="H33" s="1087"/>
      <c r="I33" s="1087"/>
    </row>
    <row r="34" spans="1:9" s="1527" customFormat="1" ht="19.5" customHeight="1">
      <c r="A34" s="3549"/>
      <c r="B34" s="1136" t="s">
        <v>1440</v>
      </c>
      <c r="C34" s="1113" t="s">
        <v>1468</v>
      </c>
      <c r="D34" s="1114"/>
      <c r="E34" s="1136">
        <v>1.5</v>
      </c>
      <c r="F34" s="1115" t="s">
        <v>1469</v>
      </c>
      <c r="G34" s="1116"/>
      <c r="H34" s="1087"/>
      <c r="I34" s="1087"/>
    </row>
    <row r="35" spans="1:9" s="1527" customFormat="1" ht="19.5" customHeight="1">
      <c r="A35" s="3549" t="s">
        <v>1423</v>
      </c>
      <c r="B35" s="1136" t="s">
        <v>1437</v>
      </c>
      <c r="C35" s="1113" t="s">
        <v>1470</v>
      </c>
      <c r="D35" s="1114"/>
      <c r="E35" s="1136">
        <v>1</v>
      </c>
      <c r="F35" s="1115" t="s">
        <v>1471</v>
      </c>
      <c r="G35" s="1116"/>
      <c r="H35" s="1087"/>
      <c r="I35" s="1087"/>
    </row>
    <row r="36" spans="1:9" s="1527" customFormat="1" ht="19.5" customHeight="1">
      <c r="A36" s="3549"/>
      <c r="B36" s="3549" t="s">
        <v>1440</v>
      </c>
      <c r="C36" s="1113" t="s">
        <v>1472</v>
      </c>
      <c r="D36" s="1114"/>
      <c r="E36" s="1136">
        <v>1</v>
      </c>
      <c r="F36" s="1115" t="s">
        <v>1473</v>
      </c>
      <c r="G36" s="1116"/>
      <c r="H36" s="1087"/>
      <c r="I36" s="1087"/>
    </row>
    <row r="37" spans="1:9" s="1527" customFormat="1" ht="19.5" customHeight="1">
      <c r="A37" s="3549"/>
      <c r="B37" s="3549"/>
      <c r="C37" s="1113" t="s">
        <v>1474</v>
      </c>
      <c r="D37" s="1114"/>
      <c r="E37" s="1136">
        <v>1.5</v>
      </c>
      <c r="F37" s="1115" t="s">
        <v>1475</v>
      </c>
      <c r="G37" s="1116"/>
      <c r="H37" s="1087"/>
      <c r="I37" s="1087"/>
    </row>
    <row r="38" spans="1:9" s="1527" customFormat="1" ht="19.5" customHeight="1">
      <c r="A38" s="3549"/>
      <c r="B38" s="3549"/>
      <c r="C38" s="1113" t="s">
        <v>1476</v>
      </c>
      <c r="D38" s="1114"/>
      <c r="E38" s="1136">
        <v>1</v>
      </c>
      <c r="F38" s="1115" t="s">
        <v>1477</v>
      </c>
      <c r="G38" s="1116"/>
      <c r="H38" s="1087"/>
      <c r="I38" s="1087"/>
    </row>
    <row r="39" spans="1:9" s="1527" customFormat="1" ht="19.5" customHeight="1">
      <c r="A39" s="3549"/>
      <c r="B39" s="3549"/>
      <c r="C39" s="1113" t="s">
        <v>1478</v>
      </c>
      <c r="D39" s="1114"/>
      <c r="E39" s="1136">
        <v>1</v>
      </c>
      <c r="F39" s="1115" t="s">
        <v>1479</v>
      </c>
      <c r="G39" s="1116"/>
      <c r="H39" s="1087"/>
      <c r="I39" s="1087"/>
    </row>
    <row r="40" spans="1:9" s="1527" customFormat="1" ht="19.5" customHeight="1">
      <c r="A40" s="1528" t="s">
        <v>1480</v>
      </c>
      <c r="B40" s="1528"/>
      <c r="C40" s="1528"/>
      <c r="D40" s="1528"/>
      <c r="E40" s="1528"/>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49" t="s">
        <v>1492</v>
      </c>
      <c r="C61" s="1050" t="s">
        <v>1493</v>
      </c>
      <c r="D61" s="1050" t="s">
        <v>1494</v>
      </c>
      <c r="E61" s="1121">
        <v>0.5</v>
      </c>
      <c r="F61" s="1136">
        <v>80</v>
      </c>
      <c r="H61" s="1087">
        <f>SUMIF(C59:C119,基准地价!C8,E59:E119)</f>
        <v>0</v>
      </c>
    </row>
    <row r="62" spans="1:8" s="1087" customFormat="1" ht="24">
      <c r="A62" s="1136">
        <v>2</v>
      </c>
      <c r="B62" s="3549"/>
      <c r="C62" s="1050" t="s">
        <v>1495</v>
      </c>
      <c r="D62" s="1050" t="s">
        <v>1496</v>
      </c>
      <c r="E62" s="1121">
        <v>0.5</v>
      </c>
      <c r="F62" s="1136">
        <v>80</v>
      </c>
    </row>
    <row r="63" spans="1:8" s="1087" customFormat="1" ht="36">
      <c r="A63" s="1136">
        <v>3</v>
      </c>
      <c r="B63" s="3549"/>
      <c r="C63" s="1050" t="s">
        <v>1497</v>
      </c>
      <c r="D63" s="1050" t="s">
        <v>1498</v>
      </c>
      <c r="E63" s="1121">
        <v>0.5</v>
      </c>
      <c r="F63" s="1136">
        <v>80</v>
      </c>
    </row>
    <row r="64" spans="1:8" s="1087" customFormat="1" ht="36">
      <c r="A64" s="1136">
        <v>4</v>
      </c>
      <c r="B64" s="3549"/>
      <c r="C64" s="1050" t="s">
        <v>1499</v>
      </c>
      <c r="D64" s="1050" t="s">
        <v>1500</v>
      </c>
      <c r="E64" s="1121">
        <v>0.4</v>
      </c>
      <c r="F64" s="1136">
        <v>60</v>
      </c>
    </row>
    <row r="65" spans="1:6" s="1087" customFormat="1" ht="36">
      <c r="A65" s="1136">
        <v>5</v>
      </c>
      <c r="B65" s="3549"/>
      <c r="C65" s="1050" t="s">
        <v>1501</v>
      </c>
      <c r="D65" s="1050" t="s">
        <v>1502</v>
      </c>
      <c r="E65" s="1121">
        <v>0.2</v>
      </c>
      <c r="F65" s="1136">
        <v>30</v>
      </c>
    </row>
    <row r="66" spans="1:6" s="1087" customFormat="1" ht="36">
      <c r="A66" s="1136">
        <v>6</v>
      </c>
      <c r="B66" s="3549"/>
      <c r="C66" s="1050" t="s">
        <v>1503</v>
      </c>
      <c r="D66" s="1050" t="s">
        <v>1504</v>
      </c>
      <c r="E66" s="1121">
        <v>0.3</v>
      </c>
      <c r="F66" s="1136">
        <v>50</v>
      </c>
    </row>
    <row r="67" spans="1:6" s="1087" customFormat="1" ht="36">
      <c r="A67" s="1136">
        <v>7</v>
      </c>
      <c r="B67" s="3549"/>
      <c r="C67" s="1050" t="s">
        <v>1505</v>
      </c>
      <c r="D67" s="1050" t="s">
        <v>1506</v>
      </c>
      <c r="E67" s="1121">
        <v>0.2</v>
      </c>
      <c r="F67" s="1136">
        <v>30</v>
      </c>
    </row>
    <row r="68" spans="1:6" s="1087" customFormat="1" ht="36">
      <c r="A68" s="1136">
        <v>8</v>
      </c>
      <c r="B68" s="3549"/>
      <c r="C68" s="1050" t="s">
        <v>1507</v>
      </c>
      <c r="D68" s="1050" t="s">
        <v>1508</v>
      </c>
      <c r="E68" s="1121">
        <v>0.2</v>
      </c>
      <c r="F68" s="1136">
        <v>30</v>
      </c>
    </row>
    <row r="69" spans="1:6" s="1087" customFormat="1" ht="36">
      <c r="A69" s="1136">
        <v>9</v>
      </c>
      <c r="B69" s="3549"/>
      <c r="C69" s="1050" t="s">
        <v>1509</v>
      </c>
      <c r="D69" s="1050" t="s">
        <v>1510</v>
      </c>
      <c r="E69" s="1121">
        <v>0.2</v>
      </c>
      <c r="F69" s="1136">
        <v>30</v>
      </c>
    </row>
    <row r="70" spans="1:6" s="1087" customFormat="1" ht="48">
      <c r="A70" s="1136">
        <v>10</v>
      </c>
      <c r="B70" s="3549"/>
      <c r="C70" s="1050" t="s">
        <v>1511</v>
      </c>
      <c r="D70" s="1050" t="s">
        <v>1512</v>
      </c>
      <c r="E70" s="1121">
        <v>0.2</v>
      </c>
      <c r="F70" s="1136">
        <v>30</v>
      </c>
    </row>
    <row r="71" spans="1:6" s="1087" customFormat="1" ht="48">
      <c r="A71" s="1136">
        <v>11</v>
      </c>
      <c r="B71" s="3549"/>
      <c r="C71" s="1050" t="s">
        <v>1513</v>
      </c>
      <c r="D71" s="1050" t="s">
        <v>1514</v>
      </c>
      <c r="E71" s="1121">
        <v>0.2</v>
      </c>
      <c r="F71" s="1136">
        <v>30</v>
      </c>
    </row>
    <row r="72" spans="1:6" s="1087" customFormat="1" ht="36">
      <c r="A72" s="1136">
        <v>12</v>
      </c>
      <c r="B72" s="3549"/>
      <c r="C72" s="1050" t="s">
        <v>1515</v>
      </c>
      <c r="D72" s="1050" t="s">
        <v>1516</v>
      </c>
      <c r="E72" s="1121">
        <v>0.5</v>
      </c>
      <c r="F72" s="1136">
        <v>80</v>
      </c>
    </row>
    <row r="73" spans="1:6" s="1087" customFormat="1" ht="24">
      <c r="A73" s="1136">
        <v>13</v>
      </c>
      <c r="B73" s="3549"/>
      <c r="C73" s="1050" t="s">
        <v>1517</v>
      </c>
      <c r="D73" s="1050" t="s">
        <v>1518</v>
      </c>
      <c r="E73" s="1121">
        <v>0.4</v>
      </c>
      <c r="F73" s="1136">
        <v>60</v>
      </c>
    </row>
    <row r="74" spans="1:6" s="1087" customFormat="1" ht="24">
      <c r="A74" s="1136">
        <v>14</v>
      </c>
      <c r="B74" s="3549"/>
      <c r="C74" s="1050" t="s">
        <v>1519</v>
      </c>
      <c r="D74" s="1050" t="s">
        <v>1520</v>
      </c>
      <c r="E74" s="1121">
        <v>0.2</v>
      </c>
      <c r="F74" s="1136">
        <v>30</v>
      </c>
    </row>
    <row r="75" spans="1:6" s="1087" customFormat="1" ht="24">
      <c r="A75" s="1136">
        <v>15</v>
      </c>
      <c r="B75" s="3549"/>
      <c r="C75" s="1050" t="s">
        <v>1521</v>
      </c>
      <c r="D75" s="1050" t="s">
        <v>1522</v>
      </c>
      <c r="E75" s="1121">
        <v>0.2</v>
      </c>
      <c r="F75" s="1136">
        <v>30</v>
      </c>
    </row>
    <row r="76" spans="1:6" s="1087" customFormat="1" ht="24">
      <c r="A76" s="1136">
        <v>16</v>
      </c>
      <c r="B76" s="3549" t="s">
        <v>1523</v>
      </c>
      <c r="C76" s="1050" t="s">
        <v>1524</v>
      </c>
      <c r="D76" s="1050" t="s">
        <v>1525</v>
      </c>
      <c r="E76" s="1121">
        <v>0.5</v>
      </c>
      <c r="F76" s="1136">
        <v>80</v>
      </c>
    </row>
    <row r="77" spans="1:6" s="1087" customFormat="1" ht="24">
      <c r="A77" s="1136">
        <v>17</v>
      </c>
      <c r="B77" s="3549"/>
      <c r="C77" s="1050" t="s">
        <v>1526</v>
      </c>
      <c r="D77" s="1050" t="s">
        <v>1527</v>
      </c>
      <c r="E77" s="1121">
        <v>0.5</v>
      </c>
      <c r="F77" s="1136">
        <v>80</v>
      </c>
    </row>
    <row r="78" spans="1:6" s="1087" customFormat="1" ht="24">
      <c r="A78" s="1136">
        <v>18</v>
      </c>
      <c r="B78" s="3549"/>
      <c r="C78" s="1050" t="s">
        <v>1528</v>
      </c>
      <c r="D78" s="1050" t="s">
        <v>1529</v>
      </c>
      <c r="E78" s="1121">
        <v>0.2</v>
      </c>
      <c r="F78" s="1136">
        <v>30</v>
      </c>
    </row>
    <row r="79" spans="1:6" s="1087" customFormat="1" ht="24">
      <c r="A79" s="1136">
        <v>19</v>
      </c>
      <c r="B79" s="3549"/>
      <c r="C79" s="1050" t="s">
        <v>1530</v>
      </c>
      <c r="D79" s="1050" t="s">
        <v>1531</v>
      </c>
      <c r="E79" s="1121">
        <v>0.5</v>
      </c>
      <c r="F79" s="1136">
        <v>80</v>
      </c>
    </row>
    <row r="80" spans="1:6" s="1087" customFormat="1" ht="36">
      <c r="A80" s="1136">
        <v>20</v>
      </c>
      <c r="B80" s="3549"/>
      <c r="C80" s="1050" t="s">
        <v>1532</v>
      </c>
      <c r="D80" s="1050" t="s">
        <v>1533</v>
      </c>
      <c r="E80" s="1121">
        <v>0.2</v>
      </c>
      <c r="F80" s="1136">
        <v>30</v>
      </c>
    </row>
    <row r="81" spans="1:6" s="1087" customFormat="1" ht="36">
      <c r="A81" s="1136">
        <v>21</v>
      </c>
      <c r="B81" s="3549"/>
      <c r="C81" s="1050" t="s">
        <v>1534</v>
      </c>
      <c r="D81" s="1050" t="s">
        <v>1535</v>
      </c>
      <c r="E81" s="1121">
        <v>0.2</v>
      </c>
      <c r="F81" s="1136">
        <v>30</v>
      </c>
    </row>
    <row r="82" spans="1:6" s="1087" customFormat="1" ht="48">
      <c r="A82" s="1136">
        <v>22</v>
      </c>
      <c r="B82" s="3549"/>
      <c r="C82" s="1050" t="s">
        <v>1536</v>
      </c>
      <c r="D82" s="1050" t="s">
        <v>1537</v>
      </c>
      <c r="E82" s="1121">
        <v>0.2</v>
      </c>
      <c r="F82" s="1136">
        <v>30</v>
      </c>
    </row>
    <row r="83" spans="1:6" s="1087" customFormat="1" ht="48">
      <c r="A83" s="1136">
        <v>23</v>
      </c>
      <c r="B83" s="3549"/>
      <c r="C83" s="1050" t="s">
        <v>1538</v>
      </c>
      <c r="D83" s="1050" t="s">
        <v>1539</v>
      </c>
      <c r="E83" s="1121">
        <v>0.2</v>
      </c>
      <c r="F83" s="1136">
        <v>30</v>
      </c>
    </row>
    <row r="84" spans="1:6" s="1087" customFormat="1" ht="36">
      <c r="A84" s="1136">
        <v>24</v>
      </c>
      <c r="B84" s="3549"/>
      <c r="C84" s="1050" t="s">
        <v>1540</v>
      </c>
      <c r="D84" s="1050" t="s">
        <v>1541</v>
      </c>
      <c r="E84" s="1121">
        <v>0.2</v>
      </c>
      <c r="F84" s="1136">
        <v>30</v>
      </c>
    </row>
    <row r="85" spans="1:6" s="1087" customFormat="1" ht="36">
      <c r="A85" s="1136">
        <v>25</v>
      </c>
      <c r="B85" s="3549"/>
      <c r="C85" s="1050" t="s">
        <v>1542</v>
      </c>
      <c r="D85" s="1050" t="s">
        <v>1543</v>
      </c>
      <c r="E85" s="1121">
        <v>0.5</v>
      </c>
      <c r="F85" s="1136">
        <v>80</v>
      </c>
    </row>
    <row r="86" spans="1:6" s="1087" customFormat="1" ht="36">
      <c r="A86" s="1136">
        <v>26</v>
      </c>
      <c r="B86" s="3549"/>
      <c r="C86" s="1050" t="s">
        <v>1544</v>
      </c>
      <c r="D86" s="1050" t="s">
        <v>1545</v>
      </c>
      <c r="E86" s="1121">
        <v>0.2</v>
      </c>
      <c r="F86" s="1136">
        <v>30</v>
      </c>
    </row>
    <row r="87" spans="1:6" s="1087" customFormat="1" ht="36">
      <c r="A87" s="1136">
        <v>27</v>
      </c>
      <c r="B87" s="3549"/>
      <c r="C87" s="1050" t="s">
        <v>1546</v>
      </c>
      <c r="D87" s="1050" t="s">
        <v>1547</v>
      </c>
      <c r="E87" s="1121">
        <v>0.2</v>
      </c>
      <c r="F87" s="1136">
        <v>30</v>
      </c>
    </row>
    <row r="88" spans="1:6" s="1087" customFormat="1" ht="36">
      <c r="A88" s="1136">
        <v>28</v>
      </c>
      <c r="B88" s="3549"/>
      <c r="C88" s="1050" t="s">
        <v>1548</v>
      </c>
      <c r="D88" s="1050" t="s">
        <v>1549</v>
      </c>
      <c r="E88" s="1121">
        <v>0.2</v>
      </c>
      <c r="F88" s="1136">
        <v>30</v>
      </c>
    </row>
    <row r="89" spans="1:6" s="1087" customFormat="1" ht="24">
      <c r="A89" s="1136">
        <v>29</v>
      </c>
      <c r="B89" s="3549"/>
      <c r="C89" s="1050" t="s">
        <v>1550</v>
      </c>
      <c r="D89" s="1050" t="s">
        <v>1551</v>
      </c>
      <c r="E89" s="1121">
        <v>0.2</v>
      </c>
      <c r="F89" s="1136">
        <v>30</v>
      </c>
    </row>
    <row r="90" spans="1:6" s="1087" customFormat="1" ht="24">
      <c r="A90" s="1136">
        <v>30</v>
      </c>
      <c r="B90" s="3549"/>
      <c r="C90" s="1050" t="s">
        <v>1552</v>
      </c>
      <c r="D90" s="1050" t="s">
        <v>1553</v>
      </c>
      <c r="E90" s="1121">
        <v>0.2</v>
      </c>
      <c r="F90" s="1136">
        <v>30</v>
      </c>
    </row>
    <row r="91" spans="1:6" s="1087" customFormat="1" ht="36">
      <c r="A91" s="1136">
        <v>31</v>
      </c>
      <c r="B91" s="3549"/>
      <c r="C91" s="1050" t="s">
        <v>1554</v>
      </c>
      <c r="D91" s="1050" t="s">
        <v>1555</v>
      </c>
      <c r="E91" s="1121">
        <v>0.2</v>
      </c>
      <c r="F91" s="1136">
        <v>30</v>
      </c>
    </row>
    <row r="92" spans="1:6" s="1087" customFormat="1" ht="24">
      <c r="A92" s="1136">
        <v>32</v>
      </c>
      <c r="B92" s="3549" t="s">
        <v>1556</v>
      </c>
      <c r="C92" s="1136" t="s">
        <v>1557</v>
      </c>
      <c r="D92" s="1050" t="s">
        <v>1558</v>
      </c>
      <c r="E92" s="1121">
        <v>0.2</v>
      </c>
      <c r="F92" s="1136">
        <v>30</v>
      </c>
    </row>
    <row r="93" spans="1:6" s="1087" customFormat="1" ht="36">
      <c r="A93" s="1136">
        <v>33</v>
      </c>
      <c r="B93" s="3549"/>
      <c r="C93" s="1136" t="s">
        <v>1559</v>
      </c>
      <c r="D93" s="1050" t="s">
        <v>1560</v>
      </c>
      <c r="E93" s="1121">
        <v>0.2</v>
      </c>
      <c r="F93" s="1136">
        <v>30</v>
      </c>
    </row>
    <row r="94" spans="1:6" s="1087" customFormat="1" ht="48">
      <c r="A94" s="1136">
        <v>34</v>
      </c>
      <c r="B94" s="3549"/>
      <c r="C94" s="1136" t="s">
        <v>1561</v>
      </c>
      <c r="D94" s="1050" t="s">
        <v>1562</v>
      </c>
      <c r="E94" s="1121">
        <v>0.2</v>
      </c>
      <c r="F94" s="1136">
        <v>30</v>
      </c>
    </row>
    <row r="95" spans="1:6" s="1087" customFormat="1" ht="36">
      <c r="A95" s="1136">
        <v>35</v>
      </c>
      <c r="B95" s="3549"/>
      <c r="C95" s="1136" t="s">
        <v>1563</v>
      </c>
      <c r="D95" s="1050" t="s">
        <v>1564</v>
      </c>
      <c r="E95" s="1121">
        <v>0.2</v>
      </c>
      <c r="F95" s="1136">
        <v>30</v>
      </c>
    </row>
    <row r="96" spans="1:6" s="1087" customFormat="1" ht="48">
      <c r="A96" s="1136">
        <v>36</v>
      </c>
      <c r="B96" s="3549"/>
      <c r="C96" s="1050" t="s">
        <v>1565</v>
      </c>
      <c r="D96" s="1050" t="s">
        <v>1566</v>
      </c>
      <c r="E96" s="1121">
        <v>0.2</v>
      </c>
      <c r="F96" s="1136">
        <v>30</v>
      </c>
    </row>
    <row r="97" spans="1:6" s="1087" customFormat="1" ht="36">
      <c r="A97" s="1136">
        <v>37</v>
      </c>
      <c r="B97" s="3549"/>
      <c r="C97" s="1136" t="s">
        <v>1567</v>
      </c>
      <c r="D97" s="1050" t="s">
        <v>1568</v>
      </c>
      <c r="E97" s="1121">
        <v>0.2</v>
      </c>
      <c r="F97" s="1136">
        <v>30</v>
      </c>
    </row>
    <row r="98" spans="1:6" s="1087" customFormat="1" ht="36">
      <c r="A98" s="1136">
        <v>38</v>
      </c>
      <c r="B98" s="3549"/>
      <c r="C98" s="1136" t="s">
        <v>1569</v>
      </c>
      <c r="D98" s="1050" t="s">
        <v>1570</v>
      </c>
      <c r="E98" s="1121">
        <v>0.2</v>
      </c>
      <c r="F98" s="1136">
        <v>30</v>
      </c>
    </row>
    <row r="99" spans="1:6" s="1087" customFormat="1" ht="36">
      <c r="A99" s="1136">
        <v>39</v>
      </c>
      <c r="B99" s="3549" t="s">
        <v>1571</v>
      </c>
      <c r="C99" s="1136" t="s">
        <v>1572</v>
      </c>
      <c r="D99" s="1050" t="s">
        <v>1573</v>
      </c>
      <c r="E99" s="1121">
        <v>0.3</v>
      </c>
      <c r="F99" s="1136">
        <v>50</v>
      </c>
    </row>
    <row r="100" spans="1:6" s="1087" customFormat="1" ht="24">
      <c r="A100" s="1136">
        <v>40</v>
      </c>
      <c r="B100" s="3549"/>
      <c r="C100" s="1136" t="s">
        <v>1574</v>
      </c>
      <c r="D100" s="1050" t="s">
        <v>1575</v>
      </c>
      <c r="E100" s="1121">
        <v>0.2</v>
      </c>
      <c r="F100" s="1136">
        <v>30</v>
      </c>
    </row>
    <row r="101" spans="1:6" s="1087" customFormat="1" ht="36">
      <c r="A101" s="1136">
        <v>41</v>
      </c>
      <c r="B101" s="3549"/>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49" t="s">
        <v>1586</v>
      </c>
      <c r="C105" s="1136" t="s">
        <v>1587</v>
      </c>
      <c r="D105" s="1050" t="s">
        <v>1588</v>
      </c>
      <c r="E105" s="1121">
        <v>0.2</v>
      </c>
      <c r="F105" s="1136">
        <v>30</v>
      </c>
    </row>
    <row r="106" spans="1:6" s="1087" customFormat="1" ht="36">
      <c r="A106" s="1136">
        <v>46</v>
      </c>
      <c r="B106" s="3549"/>
      <c r="C106" s="1136" t="s">
        <v>1589</v>
      </c>
      <c r="D106" s="1050" t="s">
        <v>1590</v>
      </c>
      <c r="E106" s="1121">
        <v>0.2</v>
      </c>
      <c r="F106" s="1136">
        <v>30</v>
      </c>
    </row>
    <row r="107" spans="1:6" s="1087" customFormat="1" ht="36">
      <c r="A107" s="1136">
        <v>47</v>
      </c>
      <c r="B107" s="3549" t="s">
        <v>1591</v>
      </c>
      <c r="C107" s="1136" t="s">
        <v>1592</v>
      </c>
      <c r="D107" s="1050" t="s">
        <v>1593</v>
      </c>
      <c r="E107" s="1121">
        <v>0.3</v>
      </c>
      <c r="F107" s="1136">
        <v>50</v>
      </c>
    </row>
    <row r="108" spans="1:6" s="1087" customFormat="1" ht="36">
      <c r="A108" s="1136">
        <v>48</v>
      </c>
      <c r="B108" s="3549"/>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49" t="s">
        <v>1602</v>
      </c>
      <c r="C111" s="1136" t="s">
        <v>1603</v>
      </c>
      <c r="D111" s="1050" t="s">
        <v>1604</v>
      </c>
      <c r="E111" s="1121">
        <v>0.2</v>
      </c>
      <c r="F111" s="1136">
        <v>30</v>
      </c>
    </row>
    <row r="112" spans="1:6" s="1087" customFormat="1" ht="24">
      <c r="A112" s="1136">
        <v>52</v>
      </c>
      <c r="B112" s="3549"/>
      <c r="C112" s="1136" t="s">
        <v>1605</v>
      </c>
      <c r="D112" s="1050" t="s">
        <v>1606</v>
      </c>
      <c r="E112" s="1121">
        <v>0.2</v>
      </c>
      <c r="F112" s="1136">
        <v>30</v>
      </c>
    </row>
    <row r="113" spans="1:14" s="1087" customFormat="1" ht="24">
      <c r="A113" s="1136">
        <v>53</v>
      </c>
      <c r="B113" s="3549"/>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49" t="s">
        <v>1615</v>
      </c>
      <c r="C116" s="1136" t="s">
        <v>1616</v>
      </c>
      <c r="D116" s="1050" t="s">
        <v>1617</v>
      </c>
      <c r="E116" s="1121">
        <v>0.2</v>
      </c>
      <c r="F116" s="1136">
        <v>30</v>
      </c>
    </row>
    <row r="117" spans="1:14" ht="36">
      <c r="A117" s="1136">
        <v>57</v>
      </c>
      <c r="B117" s="3549"/>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48" t="s">
        <v>1624</v>
      </c>
      <c r="B121" s="3548"/>
      <c r="C121" s="3548"/>
      <c r="D121" s="3548"/>
      <c r="E121" s="3548"/>
      <c r="F121" s="3548"/>
      <c r="G121" s="3548"/>
      <c r="H121" s="3548"/>
      <c r="I121" s="3548"/>
      <c r="J121" s="3548"/>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63" t="s">
        <v>1030</v>
      </c>
      <c r="B1" s="3563"/>
      <c r="C1" s="3563"/>
      <c r="D1" s="3563"/>
      <c r="E1" s="3563"/>
      <c r="F1" s="3563"/>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64" t="s">
        <v>1043</v>
      </c>
      <c r="B2" s="3564"/>
      <c r="C2" s="3564"/>
      <c r="D2" s="3564"/>
      <c r="E2" s="3564"/>
      <c r="F2" s="3564"/>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65"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66"/>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567" t="s">
        <v>2067</v>
      </c>
      <c r="B1" s="3567"/>
    </row>
    <row r="2" spans="1:6" ht="14.25" thickBot="1">
      <c r="A2" s="1762"/>
      <c r="B2" s="1762"/>
    </row>
    <row r="3" spans="1:6" ht="14.25" thickBot="1">
      <c r="A3" s="1762"/>
      <c r="B3" s="1762"/>
      <c r="C3" s="1763" t="s">
        <v>2068</v>
      </c>
      <c r="D3" s="1763" t="s">
        <v>2069</v>
      </c>
      <c r="E3" s="1763" t="s">
        <v>2070</v>
      </c>
      <c r="F3" s="1763" t="s">
        <v>2071</v>
      </c>
    </row>
    <row r="4" spans="1:6" ht="14.25" thickBot="1">
      <c r="A4" s="1764" t="s">
        <v>2072</v>
      </c>
      <c r="B4" s="1765" t="s">
        <v>2073</v>
      </c>
      <c r="C4" s="1763"/>
      <c r="D4" s="1763"/>
      <c r="E4" s="1763"/>
      <c r="F4" s="1763"/>
    </row>
    <row r="5" spans="1:6" ht="14.25" thickBot="1">
      <c r="A5" s="1766" t="s">
        <v>2074</v>
      </c>
      <c r="B5" s="1767" t="s">
        <v>2075</v>
      </c>
      <c r="C5" s="1768">
        <v>8.8999999999999996E-2</v>
      </c>
      <c r="D5" s="1768">
        <v>7.3999999999999996E-2</v>
      </c>
      <c r="E5" s="1768">
        <v>7.4999999999999997E-2</v>
      </c>
      <c r="F5" s="1769">
        <v>0.1</v>
      </c>
    </row>
    <row r="6" spans="1:6" ht="14.25" thickBot="1">
      <c r="A6" s="1766" t="s">
        <v>1087</v>
      </c>
      <c r="B6" s="1770" t="s">
        <v>2076</v>
      </c>
      <c r="C6" s="1771">
        <v>0.1</v>
      </c>
      <c r="D6" s="1771">
        <v>9.0999999999999998E-2</v>
      </c>
      <c r="E6" s="1771">
        <v>9.0999999999999998E-2</v>
      </c>
      <c r="F6" s="1772">
        <v>0.1</v>
      </c>
    </row>
    <row r="7" spans="1:6" ht="14.25" thickBot="1">
      <c r="A7" s="1766" t="s">
        <v>1087</v>
      </c>
      <c r="B7" s="1773" t="s">
        <v>1075</v>
      </c>
      <c r="C7" s="1771">
        <v>8.5999999999999993E-2</v>
      </c>
      <c r="D7" s="1771">
        <v>9.6000000000000002E-2</v>
      </c>
      <c r="E7" s="1771">
        <v>7.5999999999999998E-2</v>
      </c>
      <c r="F7" s="1772">
        <v>0.1</v>
      </c>
    </row>
    <row r="8" spans="1:6" ht="14.25" thickBot="1">
      <c r="A8" s="1766" t="s">
        <v>1087</v>
      </c>
      <c r="B8" s="1770" t="s">
        <v>1088</v>
      </c>
      <c r="C8" s="1771">
        <v>9.9000000000000005E-2</v>
      </c>
      <c r="D8" s="1771">
        <v>9.8000000000000004E-2</v>
      </c>
      <c r="E8" s="1771">
        <v>9.8000000000000004E-2</v>
      </c>
      <c r="F8" s="1772">
        <v>0.1</v>
      </c>
    </row>
    <row r="9" spans="1:6" ht="14.25" thickBot="1">
      <c r="A9" s="1774" t="s">
        <v>1087</v>
      </c>
      <c r="B9" s="1775" t="s">
        <v>1102</v>
      </c>
      <c r="C9" s="1776">
        <v>0.05</v>
      </c>
      <c r="D9" s="1777"/>
      <c r="E9" s="1777"/>
      <c r="F9" s="1778"/>
    </row>
    <row r="10" spans="1:6" ht="14.25" thickBot="1">
      <c r="A10" s="1766" t="s">
        <v>1146</v>
      </c>
      <c r="B10" s="1767" t="s">
        <v>2077</v>
      </c>
      <c r="C10" s="1768">
        <v>8.8999999999999996E-2</v>
      </c>
      <c r="D10" s="1768">
        <v>7.2999999999999995E-2</v>
      </c>
      <c r="E10" s="1768">
        <v>8.2000000000000003E-2</v>
      </c>
      <c r="F10" s="1769">
        <v>0.1</v>
      </c>
    </row>
    <row r="11" spans="1:6" ht="14.25" thickBot="1">
      <c r="A11" s="1766" t="s">
        <v>1146</v>
      </c>
      <c r="B11" s="1773" t="s">
        <v>1062</v>
      </c>
      <c r="C11" s="1771">
        <v>8.8999999999999996E-2</v>
      </c>
      <c r="D11" s="1771">
        <v>7.2999999999999995E-2</v>
      </c>
      <c r="E11" s="1771">
        <v>8.2000000000000003E-2</v>
      </c>
      <c r="F11" s="1772">
        <v>0.1</v>
      </c>
    </row>
    <row r="12" spans="1:6" ht="14.25" thickBot="1">
      <c r="A12" s="1766" t="s">
        <v>1146</v>
      </c>
      <c r="B12" s="1773" t="s">
        <v>1076</v>
      </c>
      <c r="C12" s="1771">
        <v>6.0999999999999999E-2</v>
      </c>
      <c r="D12" s="1771">
        <v>7.0999999999999994E-2</v>
      </c>
      <c r="E12" s="1771">
        <v>9.6000000000000002E-2</v>
      </c>
      <c r="F12" s="1772">
        <v>0.1</v>
      </c>
    </row>
    <row r="13" spans="1:6" ht="14.25" thickBot="1">
      <c r="A13" s="1766" t="s">
        <v>1146</v>
      </c>
      <c r="B13" s="1773" t="s">
        <v>1089</v>
      </c>
      <c r="C13" s="1771">
        <v>6.9000000000000006E-2</v>
      </c>
      <c r="D13" s="1771">
        <v>6.5000000000000002E-2</v>
      </c>
      <c r="E13" s="1771">
        <v>6.6000000000000003E-2</v>
      </c>
      <c r="F13" s="1772">
        <v>0.1</v>
      </c>
    </row>
    <row r="14" spans="1:6" ht="14.25" thickBot="1">
      <c r="A14" s="1766" t="s">
        <v>1146</v>
      </c>
      <c r="B14" s="1773" t="s">
        <v>1103</v>
      </c>
      <c r="C14" s="1771">
        <v>0.1</v>
      </c>
      <c r="D14" s="1771">
        <v>6.5000000000000002E-2</v>
      </c>
      <c r="E14" s="1771">
        <v>7.0000000000000007E-2</v>
      </c>
      <c r="F14" s="1772">
        <v>0.1</v>
      </c>
    </row>
    <row r="15" spans="1:6" ht="14.25" thickBot="1">
      <c r="A15" s="1766" t="s">
        <v>1146</v>
      </c>
      <c r="B15" s="1773" t="s">
        <v>1114</v>
      </c>
      <c r="C15" s="1771">
        <v>9.8000000000000004E-2</v>
      </c>
      <c r="D15" s="1771">
        <v>8.8999999999999996E-2</v>
      </c>
      <c r="E15" s="1771">
        <v>8.8999999999999996E-2</v>
      </c>
      <c r="F15" s="1772">
        <v>0.1</v>
      </c>
    </row>
    <row r="16" spans="1:6" ht="14.25" thickBot="1">
      <c r="A16" s="1766" t="s">
        <v>1146</v>
      </c>
      <c r="B16" s="1773" t="s">
        <v>1125</v>
      </c>
      <c r="C16" s="1771">
        <v>7.0000000000000007E-2</v>
      </c>
      <c r="D16" s="1771">
        <v>9.2999999999999999E-2</v>
      </c>
      <c r="E16" s="1771">
        <v>9.6000000000000002E-2</v>
      </c>
      <c r="F16" s="1772">
        <v>0.1</v>
      </c>
    </row>
    <row r="17" spans="1:6" ht="14.25" thickBot="1">
      <c r="A17" s="1766" t="s">
        <v>1146</v>
      </c>
      <c r="B17" s="1773" t="s">
        <v>1136</v>
      </c>
      <c r="C17" s="1771">
        <v>9.5000000000000001E-2</v>
      </c>
      <c r="D17" s="1771">
        <v>0.1</v>
      </c>
      <c r="E17" s="1771">
        <v>0.1</v>
      </c>
      <c r="F17" s="1779"/>
    </row>
    <row r="18" spans="1:6" ht="14.25" thickBot="1">
      <c r="A18" s="1766" t="s">
        <v>1146</v>
      </c>
      <c r="B18" s="1773" t="s">
        <v>1148</v>
      </c>
      <c r="C18" s="1771">
        <v>7.3999999999999996E-2</v>
      </c>
      <c r="D18" s="1771">
        <v>9.9000000000000005E-2</v>
      </c>
      <c r="E18" s="1771">
        <v>0.1</v>
      </c>
      <c r="F18" s="1779"/>
    </row>
    <row r="19" spans="1:6" ht="14.25" thickBot="1">
      <c r="A19" s="1766" t="s">
        <v>1146</v>
      </c>
      <c r="B19" s="1773" t="s">
        <v>1158</v>
      </c>
      <c r="C19" s="1771">
        <v>9.9000000000000005E-2</v>
      </c>
      <c r="D19" s="1771">
        <v>7.5999999999999998E-2</v>
      </c>
      <c r="E19" s="1771">
        <v>8.6999999999999994E-2</v>
      </c>
      <c r="F19" s="1779"/>
    </row>
    <row r="20" spans="1:6" ht="14.25" thickBot="1">
      <c r="A20" s="1766" t="s">
        <v>1146</v>
      </c>
      <c r="B20" s="1773" t="s">
        <v>1168</v>
      </c>
      <c r="C20" s="1771">
        <v>9.8000000000000004E-2</v>
      </c>
      <c r="D20" s="1771">
        <v>8.5000000000000006E-2</v>
      </c>
      <c r="E20" s="1771">
        <v>8.2000000000000003E-2</v>
      </c>
      <c r="F20" s="1779"/>
    </row>
    <row r="21" spans="1:6" ht="14.25" thickBot="1">
      <c r="A21" s="1766" t="s">
        <v>1146</v>
      </c>
      <c r="B21" s="1773" t="s">
        <v>1178</v>
      </c>
      <c r="C21" s="1771">
        <v>6.6000000000000003E-2</v>
      </c>
      <c r="D21" s="1771">
        <v>6.4000000000000001E-2</v>
      </c>
      <c r="E21" s="1771">
        <v>6.5000000000000002E-2</v>
      </c>
      <c r="F21" s="1779"/>
    </row>
    <row r="22" spans="1:6" ht="14.25" thickBot="1">
      <c r="A22" s="1766" t="s">
        <v>1146</v>
      </c>
      <c r="B22" s="1773" t="s">
        <v>2078</v>
      </c>
      <c r="C22" s="1771">
        <v>0.08</v>
      </c>
      <c r="D22" s="1771">
        <v>9.8000000000000004E-2</v>
      </c>
      <c r="E22" s="1771">
        <v>9.8000000000000004E-2</v>
      </c>
      <c r="F22" s="1779"/>
    </row>
    <row r="23" spans="1:6" ht="14.25" thickBot="1">
      <c r="A23" s="1766" t="s">
        <v>1146</v>
      </c>
      <c r="B23" s="1773" t="s">
        <v>1198</v>
      </c>
      <c r="C23" s="1771">
        <v>9.9000000000000005E-2</v>
      </c>
      <c r="D23" s="1771">
        <v>9.8000000000000004E-2</v>
      </c>
      <c r="E23" s="1771">
        <v>9.0999999999999998E-2</v>
      </c>
      <c r="F23" s="1779"/>
    </row>
    <row r="24" spans="1:6" ht="14.25" thickBot="1">
      <c r="A24" s="1766" t="s">
        <v>1146</v>
      </c>
      <c r="B24" s="1773" t="s">
        <v>1208</v>
      </c>
      <c r="C24" s="1771">
        <v>8.8999999999999996E-2</v>
      </c>
      <c r="D24" s="1771">
        <v>9.7000000000000003E-2</v>
      </c>
      <c r="E24" s="1771">
        <v>7.0000000000000007E-2</v>
      </c>
      <c r="F24" s="1779"/>
    </row>
    <row r="25" spans="1:6" ht="14.25" thickBot="1">
      <c r="A25" s="1766" t="s">
        <v>1146</v>
      </c>
      <c r="B25" s="1773" t="s">
        <v>1218</v>
      </c>
      <c r="C25" s="1771">
        <v>8.8999999999999996E-2</v>
      </c>
      <c r="D25" s="1771">
        <v>0.1</v>
      </c>
      <c r="E25" s="1771">
        <v>8.1000000000000003E-2</v>
      </c>
      <c r="F25" s="1779"/>
    </row>
    <row r="26" spans="1:6" ht="14.25" thickBot="1">
      <c r="A26" s="1766" t="s">
        <v>1146</v>
      </c>
      <c r="B26" s="1773" t="s">
        <v>1228</v>
      </c>
      <c r="C26" s="1780"/>
      <c r="D26" s="1771">
        <v>9.6000000000000002E-2</v>
      </c>
      <c r="E26" s="1771">
        <v>9.2999999999999999E-2</v>
      </c>
      <c r="F26" s="1779"/>
    </row>
    <row r="27" spans="1:6" ht="14.25" thickBot="1">
      <c r="A27" s="1766" t="s">
        <v>1146</v>
      </c>
      <c r="B27" s="1773" t="s">
        <v>1238</v>
      </c>
      <c r="C27" s="1780"/>
      <c r="D27" s="1771">
        <v>7.5999999999999998E-2</v>
      </c>
      <c r="E27" s="1771">
        <v>9.1999999999999998E-2</v>
      </c>
      <c r="F27" s="1779"/>
    </row>
    <row r="28" spans="1:6" ht="14.25" thickBot="1">
      <c r="A28" s="1774" t="s">
        <v>1146</v>
      </c>
      <c r="B28" s="1775" t="s">
        <v>1248</v>
      </c>
      <c r="C28" s="1777"/>
      <c r="D28" s="1776">
        <v>7.5999999999999998E-2</v>
      </c>
      <c r="E28" s="1776">
        <v>9.1999999999999998E-2</v>
      </c>
      <c r="F28" s="1778"/>
    </row>
    <row r="29" spans="1:6" ht="14.25" thickBot="1">
      <c r="A29" s="1766" t="s">
        <v>1317</v>
      </c>
      <c r="B29" s="1767" t="s">
        <v>2079</v>
      </c>
      <c r="C29" s="1768">
        <v>6.4000000000000001E-2</v>
      </c>
      <c r="D29" s="1768">
        <v>6.5000000000000002E-2</v>
      </c>
      <c r="E29" s="1768">
        <v>6.9000000000000006E-2</v>
      </c>
      <c r="F29" s="1769">
        <v>0.1</v>
      </c>
    </row>
    <row r="30" spans="1:6" ht="14.25" thickBot="1">
      <c r="A30" s="1766" t="s">
        <v>1317</v>
      </c>
      <c r="B30" s="1773" t="s">
        <v>1063</v>
      </c>
      <c r="C30" s="1771">
        <v>6.4000000000000001E-2</v>
      </c>
      <c r="D30" s="1771">
        <v>9.9000000000000005E-2</v>
      </c>
      <c r="E30" s="1771">
        <v>0.1</v>
      </c>
      <c r="F30" s="1772">
        <v>0.1</v>
      </c>
    </row>
    <row r="31" spans="1:6" ht="14.25" thickBot="1">
      <c r="A31" s="1766" t="s">
        <v>1317</v>
      </c>
      <c r="B31" s="1773" t="s">
        <v>1077</v>
      </c>
      <c r="C31" s="1771">
        <v>0.1</v>
      </c>
      <c r="D31" s="1771">
        <v>9.5000000000000001E-2</v>
      </c>
      <c r="E31" s="1771">
        <v>8.8999999999999996E-2</v>
      </c>
      <c r="F31" s="1772">
        <v>0.1</v>
      </c>
    </row>
    <row r="32" spans="1:6" ht="14.25" thickBot="1">
      <c r="A32" s="1766" t="s">
        <v>1317</v>
      </c>
      <c r="B32" s="1773" t="s">
        <v>1090</v>
      </c>
      <c r="C32" s="1771">
        <v>0.05</v>
      </c>
      <c r="D32" s="1771">
        <v>0.05</v>
      </c>
      <c r="E32" s="1771">
        <v>8.7999999999999995E-2</v>
      </c>
      <c r="F32" s="1772">
        <v>0.1</v>
      </c>
    </row>
    <row r="33" spans="1:6" ht="14.25" thickBot="1">
      <c r="A33" s="1766" t="s">
        <v>1317</v>
      </c>
      <c r="B33" s="1773" t="s">
        <v>1104</v>
      </c>
      <c r="C33" s="1771">
        <v>7.4999999999999997E-2</v>
      </c>
      <c r="D33" s="1771">
        <v>9.4E-2</v>
      </c>
      <c r="E33" s="1771">
        <v>9.7000000000000003E-2</v>
      </c>
      <c r="F33" s="1772">
        <v>0.1</v>
      </c>
    </row>
    <row r="34" spans="1:6" ht="14.25" thickBot="1">
      <c r="A34" s="1766" t="s">
        <v>1317</v>
      </c>
      <c r="B34" s="1773" t="s">
        <v>1115</v>
      </c>
      <c r="C34" s="1771">
        <v>9.8000000000000004E-2</v>
      </c>
      <c r="D34" s="1771">
        <v>8.5999999999999993E-2</v>
      </c>
      <c r="E34" s="1771">
        <v>9.7000000000000003E-2</v>
      </c>
      <c r="F34" s="1772">
        <v>0.1</v>
      </c>
    </row>
    <row r="35" spans="1:6" ht="14.25" thickBot="1">
      <c r="A35" s="1766" t="s">
        <v>1317</v>
      </c>
      <c r="B35" s="1773" t="s">
        <v>1126</v>
      </c>
      <c r="C35" s="1771">
        <v>5.8999999999999997E-2</v>
      </c>
      <c r="D35" s="1771">
        <v>6.5000000000000002E-2</v>
      </c>
      <c r="E35" s="1771">
        <v>7.0000000000000007E-2</v>
      </c>
      <c r="F35" s="1772">
        <v>0.1</v>
      </c>
    </row>
    <row r="36" spans="1:6" ht="14.25" thickBot="1">
      <c r="A36" s="1766" t="s">
        <v>1317</v>
      </c>
      <c r="B36" s="1773" t="s">
        <v>1137</v>
      </c>
      <c r="C36" s="1771">
        <v>6.3E-2</v>
      </c>
      <c r="D36" s="1771">
        <v>0.1</v>
      </c>
      <c r="E36" s="1771">
        <v>0.1</v>
      </c>
      <c r="F36" s="1772">
        <v>0.1</v>
      </c>
    </row>
    <row r="37" spans="1:6" ht="14.25" thickBot="1">
      <c r="A37" s="1766" t="s">
        <v>1317</v>
      </c>
      <c r="B37" s="1773" t="s">
        <v>1149</v>
      </c>
      <c r="C37" s="1771">
        <v>7.3999999999999996E-2</v>
      </c>
      <c r="D37" s="1771">
        <v>0.1</v>
      </c>
      <c r="E37" s="1771">
        <v>0.1</v>
      </c>
      <c r="F37" s="1772">
        <v>0.1</v>
      </c>
    </row>
    <row r="38" spans="1:6" ht="14.25" thickBot="1">
      <c r="A38" s="1766" t="s">
        <v>1317</v>
      </c>
      <c r="B38" s="1773" t="s">
        <v>1159</v>
      </c>
      <c r="C38" s="1771">
        <v>0.1</v>
      </c>
      <c r="D38" s="1771">
        <v>9.6000000000000002E-2</v>
      </c>
      <c r="E38" s="1771">
        <v>9.6000000000000002E-2</v>
      </c>
      <c r="F38" s="1779"/>
    </row>
    <row r="39" spans="1:6" ht="14.25" thickBot="1">
      <c r="A39" s="1766" t="s">
        <v>1317</v>
      </c>
      <c r="B39" s="1773" t="s">
        <v>1169</v>
      </c>
      <c r="C39" s="1771">
        <v>0.1</v>
      </c>
      <c r="D39" s="1771">
        <v>9.6000000000000002E-2</v>
      </c>
      <c r="E39" s="1771">
        <v>9.6000000000000002E-2</v>
      </c>
      <c r="F39" s="1779"/>
    </row>
    <row r="40" spans="1:6" ht="14.25" thickBot="1">
      <c r="A40" s="1766" t="s">
        <v>1317</v>
      </c>
      <c r="B40" s="1773" t="s">
        <v>1179</v>
      </c>
      <c r="C40" s="1771">
        <v>9.6000000000000002E-2</v>
      </c>
      <c r="D40" s="1771">
        <v>0.1</v>
      </c>
      <c r="E40" s="1771">
        <v>9.9000000000000005E-2</v>
      </c>
      <c r="F40" s="1779"/>
    </row>
    <row r="41" spans="1:6" ht="14.25" thickBot="1">
      <c r="A41" s="1766" t="s">
        <v>1317</v>
      </c>
      <c r="B41" s="1773" t="s">
        <v>1189</v>
      </c>
      <c r="C41" s="1771">
        <v>9.6000000000000002E-2</v>
      </c>
      <c r="D41" s="1771">
        <v>9.8000000000000004E-2</v>
      </c>
      <c r="E41" s="1771">
        <v>9.8000000000000004E-2</v>
      </c>
      <c r="F41" s="1779"/>
    </row>
    <row r="42" spans="1:6" ht="14.25" thickBot="1">
      <c r="A42" s="1766" t="s">
        <v>1317</v>
      </c>
      <c r="B42" s="1773" t="s">
        <v>1199</v>
      </c>
      <c r="C42" s="1771">
        <v>0.1</v>
      </c>
      <c r="D42" s="1771">
        <v>8.7999999999999995E-2</v>
      </c>
      <c r="E42" s="1771">
        <v>0.1</v>
      </c>
      <c r="F42" s="1779"/>
    </row>
    <row r="43" spans="1:6" ht="14.25" thickBot="1">
      <c r="A43" s="1766" t="s">
        <v>1317</v>
      </c>
      <c r="B43" s="1773" t="s">
        <v>1209</v>
      </c>
      <c r="C43" s="1771">
        <v>9.8000000000000004E-2</v>
      </c>
      <c r="D43" s="1771">
        <v>9.7000000000000003E-2</v>
      </c>
      <c r="E43" s="1771">
        <v>9.6000000000000002E-2</v>
      </c>
      <c r="F43" s="1779"/>
    </row>
    <row r="44" spans="1:6" ht="14.25" thickBot="1">
      <c r="A44" s="1766" t="s">
        <v>1317</v>
      </c>
      <c r="B44" s="1773" t="s">
        <v>1219</v>
      </c>
      <c r="C44" s="1771">
        <v>8.5999999999999993E-2</v>
      </c>
      <c r="D44" s="1771">
        <v>7.9000000000000001E-2</v>
      </c>
      <c r="E44" s="1771">
        <v>7.0999999999999994E-2</v>
      </c>
      <c r="F44" s="1779"/>
    </row>
    <row r="45" spans="1:6" ht="14.25" thickBot="1">
      <c r="A45" s="1766" t="s">
        <v>1317</v>
      </c>
      <c r="B45" s="1773" t="s">
        <v>1229</v>
      </c>
      <c r="C45" s="1771">
        <v>9.8000000000000004E-2</v>
      </c>
      <c r="D45" s="1771">
        <v>9.6000000000000002E-2</v>
      </c>
      <c r="E45" s="1771">
        <v>9.6000000000000002E-2</v>
      </c>
      <c r="F45" s="1779"/>
    </row>
    <row r="46" spans="1:6" ht="14.25" thickBot="1">
      <c r="A46" s="1766" t="s">
        <v>1317</v>
      </c>
      <c r="B46" s="1773" t="s">
        <v>1239</v>
      </c>
      <c r="C46" s="1771">
        <v>8.5999999999999993E-2</v>
      </c>
      <c r="D46" s="1771">
        <v>9.8000000000000004E-2</v>
      </c>
      <c r="E46" s="1771">
        <v>8.7999999999999995E-2</v>
      </c>
      <c r="F46" s="1779"/>
    </row>
    <row r="47" spans="1:6" ht="14.25" thickBot="1">
      <c r="A47" s="1766" t="s">
        <v>1317</v>
      </c>
      <c r="B47" s="1773" t="s">
        <v>1249</v>
      </c>
      <c r="C47" s="1771">
        <v>9.6000000000000002E-2</v>
      </c>
      <c r="D47" s="1780"/>
      <c r="E47" s="1771">
        <v>6.9000000000000006E-2</v>
      </c>
      <c r="F47" s="1779"/>
    </row>
    <row r="48" spans="1:6" ht="14.25" thickBot="1">
      <c r="A48" s="1774" t="s">
        <v>1317</v>
      </c>
      <c r="B48" s="1775" t="s">
        <v>1258</v>
      </c>
      <c r="C48" s="1776">
        <v>9.8000000000000004E-2</v>
      </c>
      <c r="D48" s="1777"/>
      <c r="E48" s="1776">
        <v>9.5000000000000001E-2</v>
      </c>
      <c r="F48" s="1778"/>
    </row>
    <row r="49" spans="1:6" ht="14.25" thickBot="1">
      <c r="A49" s="1766" t="s">
        <v>916</v>
      </c>
      <c r="B49" s="1767" t="s">
        <v>2080</v>
      </c>
      <c r="C49" s="1768">
        <v>9.7000000000000003E-2</v>
      </c>
      <c r="D49" s="1768">
        <v>9.5000000000000001E-2</v>
      </c>
      <c r="E49" s="1768">
        <v>9.7000000000000003E-2</v>
      </c>
      <c r="F49" s="1769">
        <v>0.1</v>
      </c>
    </row>
    <row r="50" spans="1:6" ht="14.25" thickBot="1">
      <c r="A50" s="1766" t="s">
        <v>916</v>
      </c>
      <c r="B50" s="1770" t="s">
        <v>1064</v>
      </c>
      <c r="C50" s="1771">
        <v>7.4999999999999997E-2</v>
      </c>
      <c r="D50" s="1771">
        <v>9.5000000000000001E-2</v>
      </c>
      <c r="E50" s="1771">
        <v>0.1</v>
      </c>
      <c r="F50" s="1772">
        <v>0.1</v>
      </c>
    </row>
    <row r="51" spans="1:6" ht="14.25" thickBot="1">
      <c r="A51" s="1766" t="s">
        <v>916</v>
      </c>
      <c r="B51" s="1770" t="s">
        <v>1078</v>
      </c>
      <c r="C51" s="1771">
        <v>9.8000000000000004E-2</v>
      </c>
      <c r="D51" s="1771">
        <v>8.8999999999999996E-2</v>
      </c>
      <c r="E51" s="1771">
        <v>0.1</v>
      </c>
      <c r="F51" s="1772">
        <v>0.1</v>
      </c>
    </row>
    <row r="52" spans="1:6" ht="14.25" thickBot="1">
      <c r="A52" s="1766" t="s">
        <v>916</v>
      </c>
      <c r="B52" s="1770" t="s">
        <v>1091</v>
      </c>
      <c r="C52" s="1771">
        <v>9.8000000000000004E-2</v>
      </c>
      <c r="D52" s="1771">
        <v>9.7000000000000003E-2</v>
      </c>
      <c r="E52" s="1771">
        <v>8.1000000000000003E-2</v>
      </c>
      <c r="F52" s="1772">
        <v>0.1</v>
      </c>
    </row>
    <row r="53" spans="1:6" ht="14.25" thickBot="1">
      <c r="A53" s="1766" t="s">
        <v>916</v>
      </c>
      <c r="B53" s="1770" t="s">
        <v>1105</v>
      </c>
      <c r="C53" s="1771">
        <v>9.7000000000000003E-2</v>
      </c>
      <c r="D53" s="1771">
        <v>7.5999999999999998E-2</v>
      </c>
      <c r="E53" s="1771">
        <v>7.0999999999999994E-2</v>
      </c>
      <c r="F53" s="1772">
        <v>0.1</v>
      </c>
    </row>
    <row r="54" spans="1:6" ht="14.25" thickBot="1">
      <c r="A54" s="1766" t="s">
        <v>916</v>
      </c>
      <c r="B54" s="1770" t="s">
        <v>1116</v>
      </c>
      <c r="C54" s="1771">
        <v>7.5999999999999998E-2</v>
      </c>
      <c r="D54" s="1771">
        <v>0.1</v>
      </c>
      <c r="E54" s="1771">
        <v>9.9000000000000005E-2</v>
      </c>
      <c r="F54" s="1772">
        <v>0.1</v>
      </c>
    </row>
    <row r="55" spans="1:6" ht="14.25" thickBot="1">
      <c r="A55" s="1766" t="s">
        <v>916</v>
      </c>
      <c r="B55" s="1770" t="s">
        <v>1127</v>
      </c>
      <c r="C55" s="1771">
        <v>0.1</v>
      </c>
      <c r="D55" s="1771">
        <v>0.1</v>
      </c>
      <c r="E55" s="1771">
        <v>9.6000000000000002E-2</v>
      </c>
      <c r="F55" s="1772">
        <v>0.1</v>
      </c>
    </row>
    <row r="56" spans="1:6" ht="14.25" thickBot="1">
      <c r="A56" s="1766" t="s">
        <v>916</v>
      </c>
      <c r="B56" s="1770" t="s">
        <v>1138</v>
      </c>
      <c r="C56" s="1771">
        <v>0.1</v>
      </c>
      <c r="D56" s="1771">
        <v>9.6000000000000002E-2</v>
      </c>
      <c r="E56" s="1771">
        <v>5.1999999999999998E-2</v>
      </c>
      <c r="F56" s="1772">
        <v>0.1</v>
      </c>
    </row>
    <row r="57" spans="1:6" ht="14.25" thickBot="1">
      <c r="A57" s="1766" t="s">
        <v>916</v>
      </c>
      <c r="B57" s="1770" t="s">
        <v>1150</v>
      </c>
      <c r="C57" s="1771">
        <v>9.7000000000000003E-2</v>
      </c>
      <c r="D57" s="1771">
        <v>9.6000000000000002E-2</v>
      </c>
      <c r="E57" s="1771">
        <v>9.6000000000000002E-2</v>
      </c>
      <c r="F57" s="1772">
        <v>0.1</v>
      </c>
    </row>
    <row r="58" spans="1:6" ht="14.25" thickBot="1">
      <c r="A58" s="1766" t="s">
        <v>916</v>
      </c>
      <c r="B58" s="1770" t="s">
        <v>1160</v>
      </c>
      <c r="C58" s="1771">
        <v>9.6000000000000002E-2</v>
      </c>
      <c r="D58" s="1771">
        <v>9.9000000000000005E-2</v>
      </c>
      <c r="E58" s="1771">
        <v>9.6000000000000002E-2</v>
      </c>
      <c r="F58" s="1772">
        <v>0.1</v>
      </c>
    </row>
    <row r="59" spans="1:6" ht="14.25" thickBot="1">
      <c r="A59" s="1766" t="s">
        <v>916</v>
      </c>
      <c r="B59" s="1770" t="s">
        <v>1170</v>
      </c>
      <c r="C59" s="1771">
        <v>7.1999999999999995E-2</v>
      </c>
      <c r="D59" s="1771">
        <v>9.6000000000000002E-2</v>
      </c>
      <c r="E59" s="1771">
        <v>7.0999999999999994E-2</v>
      </c>
      <c r="F59" s="1772">
        <v>0.1</v>
      </c>
    </row>
    <row r="60" spans="1:6" ht="14.25" thickBot="1">
      <c r="A60" s="1766" t="s">
        <v>916</v>
      </c>
      <c r="B60" s="1770" t="s">
        <v>1180</v>
      </c>
      <c r="C60" s="1771">
        <v>9.6000000000000002E-2</v>
      </c>
      <c r="D60" s="1771">
        <v>8.8999999999999996E-2</v>
      </c>
      <c r="E60" s="1771">
        <v>9.6000000000000002E-2</v>
      </c>
      <c r="F60" s="1772">
        <v>0.1</v>
      </c>
    </row>
    <row r="61" spans="1:6" ht="14.25" thickBot="1">
      <c r="A61" s="1766" t="s">
        <v>916</v>
      </c>
      <c r="B61" s="1770" t="s">
        <v>1190</v>
      </c>
      <c r="C61" s="1771">
        <v>8.8999999999999996E-2</v>
      </c>
      <c r="D61" s="1771">
        <v>9.8000000000000004E-2</v>
      </c>
      <c r="E61" s="1771">
        <v>8.7999999999999995E-2</v>
      </c>
      <c r="F61" s="1779"/>
    </row>
    <row r="62" spans="1:6" ht="14.25" thickBot="1">
      <c r="A62" s="1766" t="s">
        <v>916</v>
      </c>
      <c r="B62" s="1770" t="s">
        <v>1200</v>
      </c>
      <c r="C62" s="1771">
        <v>9.8000000000000004E-2</v>
      </c>
      <c r="D62" s="1771">
        <v>9.2999999999999999E-2</v>
      </c>
      <c r="E62" s="1771">
        <v>9.7000000000000003E-2</v>
      </c>
      <c r="F62" s="1779"/>
    </row>
    <row r="63" spans="1:6" ht="14.25" thickBot="1">
      <c r="A63" s="1766" t="s">
        <v>916</v>
      </c>
      <c r="B63" s="1770" t="s">
        <v>1210</v>
      </c>
      <c r="C63" s="1771">
        <v>9.6000000000000002E-2</v>
      </c>
      <c r="D63" s="1771">
        <v>9.8000000000000004E-2</v>
      </c>
      <c r="E63" s="1771">
        <v>0.09</v>
      </c>
      <c r="F63" s="1779"/>
    </row>
    <row r="64" spans="1:6" ht="14.25" thickBot="1">
      <c r="A64" s="1766" t="s">
        <v>916</v>
      </c>
      <c r="B64" s="1770" t="s">
        <v>1220</v>
      </c>
      <c r="C64" s="1771">
        <v>9.9000000000000005E-2</v>
      </c>
      <c r="D64" s="1771">
        <v>9.7000000000000003E-2</v>
      </c>
      <c r="E64" s="1771">
        <v>9.9000000000000005E-2</v>
      </c>
      <c r="F64" s="1779"/>
    </row>
    <row r="65" spans="1:6" ht="14.25" thickBot="1">
      <c r="A65" s="1766" t="s">
        <v>916</v>
      </c>
      <c r="B65" s="1770" t="s">
        <v>1230</v>
      </c>
      <c r="C65" s="1771">
        <v>9.8000000000000004E-2</v>
      </c>
      <c r="D65" s="1771">
        <v>9.6000000000000002E-2</v>
      </c>
      <c r="E65" s="1771">
        <v>9.6000000000000002E-2</v>
      </c>
      <c r="F65" s="1779"/>
    </row>
    <row r="66" spans="1:6" ht="14.25" thickBot="1">
      <c r="A66" s="1766" t="s">
        <v>916</v>
      </c>
      <c r="B66" s="1770" t="s">
        <v>1240</v>
      </c>
      <c r="C66" s="1771">
        <v>9.6000000000000002E-2</v>
      </c>
      <c r="D66" s="1771">
        <v>9.1999999999999998E-2</v>
      </c>
      <c r="E66" s="1771">
        <v>9.6000000000000002E-2</v>
      </c>
      <c r="F66" s="1779"/>
    </row>
    <row r="67" spans="1:6" ht="14.25" thickBot="1">
      <c r="A67" s="1766" t="s">
        <v>916</v>
      </c>
      <c r="B67" s="1770" t="s">
        <v>1250</v>
      </c>
      <c r="C67" s="1771">
        <v>9.4E-2</v>
      </c>
      <c r="D67" s="1771">
        <v>0.1</v>
      </c>
      <c r="E67" s="1771">
        <v>8.7999999999999995E-2</v>
      </c>
      <c r="F67" s="1779"/>
    </row>
    <row r="68" spans="1:6" ht="14.25" thickBot="1">
      <c r="A68" s="1766" t="s">
        <v>916</v>
      </c>
      <c r="B68" s="1770" t="s">
        <v>1259</v>
      </c>
      <c r="C68" s="1771">
        <v>0.1</v>
      </c>
      <c r="D68" s="1771">
        <v>8.7999999999999995E-2</v>
      </c>
      <c r="E68" s="1771">
        <v>9.7000000000000003E-2</v>
      </c>
      <c r="F68" s="1779"/>
    </row>
    <row r="69" spans="1:6" ht="14.25" thickBot="1">
      <c r="A69" s="1766" t="s">
        <v>916</v>
      </c>
      <c r="B69" s="1770" t="s">
        <v>1268</v>
      </c>
      <c r="C69" s="1771">
        <v>6.4000000000000001E-2</v>
      </c>
      <c r="D69" s="1771">
        <v>0.1</v>
      </c>
      <c r="E69" s="1771">
        <v>0.1</v>
      </c>
      <c r="F69" s="1779"/>
    </row>
    <row r="70" spans="1:6" ht="14.25" thickBot="1">
      <c r="A70" s="1766" t="s">
        <v>916</v>
      </c>
      <c r="B70" s="1770" t="s">
        <v>1276</v>
      </c>
      <c r="C70" s="1771">
        <v>9.0999999999999998E-2</v>
      </c>
      <c r="D70" s="1780"/>
      <c r="E70" s="1780"/>
      <c r="F70" s="1779"/>
    </row>
    <row r="71" spans="1:6" ht="14.25" thickBot="1">
      <c r="A71" s="1766" t="s">
        <v>916</v>
      </c>
      <c r="B71" s="1770" t="s">
        <v>1283</v>
      </c>
      <c r="C71" s="1771">
        <v>0.1</v>
      </c>
      <c r="D71" s="1780"/>
      <c r="E71" s="1780"/>
      <c r="F71" s="1779"/>
    </row>
    <row r="72" spans="1:6" ht="14.25" thickBot="1">
      <c r="A72" s="1766" t="s">
        <v>916</v>
      </c>
      <c r="B72" s="1770" t="s">
        <v>2081</v>
      </c>
      <c r="C72" s="1780"/>
      <c r="D72" s="1780"/>
      <c r="E72" s="1780"/>
      <c r="F72" s="1772">
        <v>0.05</v>
      </c>
    </row>
    <row r="73" spans="1:6" ht="14.25" thickBot="1">
      <c r="A73" s="1766" t="s">
        <v>916</v>
      </c>
      <c r="B73" s="1770" t="s">
        <v>2082</v>
      </c>
      <c r="C73" s="1780"/>
      <c r="D73" s="1780"/>
      <c r="E73" s="1780"/>
      <c r="F73" s="1772">
        <v>0.05</v>
      </c>
    </row>
    <row r="74" spans="1:6" ht="14.25" thickBot="1">
      <c r="A74" s="1766" t="s">
        <v>916</v>
      </c>
      <c r="B74" s="1770" t="s">
        <v>2083</v>
      </c>
      <c r="C74" s="1780"/>
      <c r="D74" s="1780"/>
      <c r="E74" s="1780"/>
      <c r="F74" s="1772">
        <v>0.05</v>
      </c>
    </row>
    <row r="75" spans="1:6" ht="14.25" thickBot="1">
      <c r="A75" s="1774" t="s">
        <v>916</v>
      </c>
      <c r="B75" s="1781" t="s">
        <v>2084</v>
      </c>
      <c r="C75" s="1777"/>
      <c r="D75" s="1777"/>
      <c r="E75" s="1777"/>
      <c r="F75" s="1782">
        <v>0.05</v>
      </c>
    </row>
    <row r="76" spans="1:6" ht="14.25" thickBot="1">
      <c r="A76" s="1766" t="s">
        <v>1398</v>
      </c>
      <c r="B76" s="1767" t="s">
        <v>2085</v>
      </c>
      <c r="C76" s="1768">
        <v>0.1</v>
      </c>
      <c r="D76" s="1768">
        <v>0.1</v>
      </c>
      <c r="E76" s="1768">
        <v>0.1</v>
      </c>
      <c r="F76" s="1769">
        <v>0.1</v>
      </c>
    </row>
    <row r="77" spans="1:6" ht="14.25" thickBot="1">
      <c r="A77" s="1766" t="s">
        <v>1398</v>
      </c>
      <c r="B77" s="1770" t="s">
        <v>1065</v>
      </c>
      <c r="C77" s="1771">
        <v>8.7999999999999995E-2</v>
      </c>
      <c r="D77" s="1771">
        <v>8.6999999999999994E-2</v>
      </c>
      <c r="E77" s="1771">
        <v>7.9000000000000001E-2</v>
      </c>
      <c r="F77" s="1772">
        <v>0.1</v>
      </c>
    </row>
    <row r="78" spans="1:6" ht="14.25" thickBot="1">
      <c r="A78" s="1766" t="s">
        <v>1398</v>
      </c>
      <c r="B78" s="1770" t="s">
        <v>1079</v>
      </c>
      <c r="C78" s="1771">
        <v>8.6999999999999994E-2</v>
      </c>
      <c r="D78" s="1771">
        <v>8.4000000000000005E-2</v>
      </c>
      <c r="E78" s="1771">
        <v>9.6000000000000002E-2</v>
      </c>
      <c r="F78" s="1772">
        <v>0.1</v>
      </c>
    </row>
    <row r="79" spans="1:6" ht="14.25" thickBot="1">
      <c r="A79" s="1766" t="s">
        <v>1398</v>
      </c>
      <c r="B79" s="1770" t="s">
        <v>1092</v>
      </c>
      <c r="C79" s="1771">
        <v>9.8000000000000004E-2</v>
      </c>
      <c r="D79" s="1771">
        <v>9.8000000000000004E-2</v>
      </c>
      <c r="E79" s="1771">
        <v>9.0999999999999998E-2</v>
      </c>
      <c r="F79" s="1772">
        <v>0.1</v>
      </c>
    </row>
    <row r="80" spans="1:6" ht="14.25" thickBot="1">
      <c r="A80" s="1766" t="s">
        <v>1398</v>
      </c>
      <c r="B80" s="1770" t="s">
        <v>1106</v>
      </c>
      <c r="C80" s="1771">
        <v>9.6000000000000002E-2</v>
      </c>
      <c r="D80" s="1771">
        <v>9.6000000000000002E-2</v>
      </c>
      <c r="E80" s="1771">
        <v>0.1</v>
      </c>
      <c r="F80" s="1772">
        <v>0.1</v>
      </c>
    </row>
    <row r="81" spans="1:6" ht="14.25" thickBot="1">
      <c r="A81" s="1766" t="s">
        <v>1398</v>
      </c>
      <c r="B81" s="1770" t="s">
        <v>1117</v>
      </c>
      <c r="C81" s="1771">
        <v>9.9000000000000005E-2</v>
      </c>
      <c r="D81" s="1771">
        <v>9.9000000000000005E-2</v>
      </c>
      <c r="E81" s="1771">
        <v>9.8000000000000004E-2</v>
      </c>
      <c r="F81" s="1772">
        <v>0.1</v>
      </c>
    </row>
    <row r="82" spans="1:6" ht="14.25" thickBot="1">
      <c r="A82" s="1766" t="s">
        <v>1398</v>
      </c>
      <c r="B82" s="1770" t="s">
        <v>1128</v>
      </c>
      <c r="C82" s="1771">
        <v>9.9000000000000005E-2</v>
      </c>
      <c r="D82" s="1771">
        <v>9.9000000000000005E-2</v>
      </c>
      <c r="E82" s="1771">
        <v>9.7000000000000003E-2</v>
      </c>
      <c r="F82" s="1772">
        <v>0.1</v>
      </c>
    </row>
    <row r="83" spans="1:6" ht="14.25" thickBot="1">
      <c r="A83" s="1766" t="s">
        <v>1398</v>
      </c>
      <c r="B83" s="1770" t="s">
        <v>1139</v>
      </c>
      <c r="C83" s="1771">
        <v>9.8000000000000004E-2</v>
      </c>
      <c r="D83" s="1771">
        <v>9.8000000000000004E-2</v>
      </c>
      <c r="E83" s="1771">
        <v>9.8000000000000004E-2</v>
      </c>
      <c r="F83" s="1772">
        <v>0.1</v>
      </c>
    </row>
    <row r="84" spans="1:6" ht="14.25" thickBot="1">
      <c r="A84" s="1766" t="s">
        <v>1398</v>
      </c>
      <c r="B84" s="1770" t="s">
        <v>1151</v>
      </c>
      <c r="C84" s="1771">
        <v>9.9000000000000005E-2</v>
      </c>
      <c r="D84" s="1771">
        <v>9.9000000000000005E-2</v>
      </c>
      <c r="E84" s="1771">
        <v>9.9000000000000005E-2</v>
      </c>
      <c r="F84" s="1772">
        <v>0.1</v>
      </c>
    </row>
    <row r="85" spans="1:6" ht="14.25" thickBot="1">
      <c r="A85" s="1766" t="s">
        <v>1398</v>
      </c>
      <c r="B85" s="1770" t="s">
        <v>1161</v>
      </c>
      <c r="C85" s="1771">
        <v>9.9000000000000005E-2</v>
      </c>
      <c r="D85" s="1771">
        <v>9.9000000000000005E-2</v>
      </c>
      <c r="E85" s="1771">
        <v>9.9000000000000005E-2</v>
      </c>
      <c r="F85" s="1772">
        <v>0.1</v>
      </c>
    </row>
    <row r="86" spans="1:6" ht="14.25" thickBot="1">
      <c r="A86" s="1766" t="s">
        <v>1398</v>
      </c>
      <c r="B86" s="1770" t="s">
        <v>1171</v>
      </c>
      <c r="C86" s="1771">
        <v>0.1</v>
      </c>
      <c r="D86" s="1771">
        <v>0.1</v>
      </c>
      <c r="E86" s="1771">
        <v>7.6999999999999999E-2</v>
      </c>
      <c r="F86" s="1772">
        <v>0.1</v>
      </c>
    </row>
    <row r="87" spans="1:6" ht="14.25" thickBot="1">
      <c r="A87" s="1766" t="s">
        <v>1398</v>
      </c>
      <c r="B87" s="1770" t="s">
        <v>1181</v>
      </c>
      <c r="C87" s="1771">
        <v>0.1</v>
      </c>
      <c r="D87" s="1771">
        <v>0.1</v>
      </c>
      <c r="E87" s="1771">
        <v>9.8000000000000004E-2</v>
      </c>
      <c r="F87" s="1779"/>
    </row>
    <row r="88" spans="1:6" ht="14.25" thickBot="1">
      <c r="A88" s="1766" t="s">
        <v>1398</v>
      </c>
      <c r="B88" s="1770" t="s">
        <v>1191</v>
      </c>
      <c r="C88" s="1771">
        <v>9.1999999999999998E-2</v>
      </c>
      <c r="D88" s="1771">
        <v>8.5000000000000006E-2</v>
      </c>
      <c r="E88" s="1771">
        <v>9.6000000000000002E-2</v>
      </c>
      <c r="F88" s="1779"/>
    </row>
    <row r="89" spans="1:6" ht="14.25" thickBot="1">
      <c r="A89" s="1766" t="s">
        <v>1398</v>
      </c>
      <c r="B89" s="1770" t="s">
        <v>1201</v>
      </c>
      <c r="C89" s="1771">
        <v>0.1</v>
      </c>
      <c r="D89" s="1771">
        <v>0.1</v>
      </c>
      <c r="E89" s="1771">
        <v>9.7000000000000003E-2</v>
      </c>
      <c r="F89" s="1779"/>
    </row>
    <row r="90" spans="1:6" ht="14.25" thickBot="1">
      <c r="A90" s="1766" t="s">
        <v>1398</v>
      </c>
      <c r="B90" s="1770" t="s">
        <v>1211</v>
      </c>
      <c r="C90" s="1771">
        <v>9.8000000000000004E-2</v>
      </c>
      <c r="D90" s="1771">
        <v>9.8000000000000004E-2</v>
      </c>
      <c r="E90" s="1771">
        <v>8.7999999999999995E-2</v>
      </c>
      <c r="F90" s="1779"/>
    </row>
    <row r="91" spans="1:6" ht="14.25" thickBot="1">
      <c r="A91" s="1766" t="s">
        <v>1398</v>
      </c>
      <c r="B91" s="1770" t="s">
        <v>1221</v>
      </c>
      <c r="C91" s="1771">
        <v>9.9000000000000005E-2</v>
      </c>
      <c r="D91" s="1771">
        <v>9.9000000000000005E-2</v>
      </c>
      <c r="E91" s="1771">
        <v>9.0999999999999998E-2</v>
      </c>
      <c r="F91" s="1779"/>
    </row>
    <row r="92" spans="1:6" ht="14.25" thickBot="1">
      <c r="A92" s="1766" t="s">
        <v>1398</v>
      </c>
      <c r="B92" s="1770" t="s">
        <v>1231</v>
      </c>
      <c r="C92" s="1771">
        <v>9.6000000000000002E-2</v>
      </c>
      <c r="D92" s="1771">
        <v>9.6000000000000002E-2</v>
      </c>
      <c r="E92" s="1771">
        <v>7.2999999999999995E-2</v>
      </c>
      <c r="F92" s="1779"/>
    </row>
    <row r="93" spans="1:6" ht="14.25" thickBot="1">
      <c r="A93" s="1766" t="s">
        <v>1398</v>
      </c>
      <c r="B93" s="1770" t="s">
        <v>1241</v>
      </c>
      <c r="C93" s="1771">
        <v>9.6000000000000002E-2</v>
      </c>
      <c r="D93" s="1771">
        <v>9.6000000000000002E-2</v>
      </c>
      <c r="E93" s="1771">
        <v>9.9000000000000005E-2</v>
      </c>
      <c r="F93" s="1779"/>
    </row>
    <row r="94" spans="1:6" ht="14.25" thickBot="1">
      <c r="A94" s="1766" t="s">
        <v>1398</v>
      </c>
      <c r="B94" s="1770" t="s">
        <v>1251</v>
      </c>
      <c r="C94" s="1771">
        <v>7.5999999999999998E-2</v>
      </c>
      <c r="D94" s="1771">
        <v>7.3999999999999996E-2</v>
      </c>
      <c r="E94" s="1771">
        <v>9.7000000000000003E-2</v>
      </c>
      <c r="F94" s="1779"/>
    </row>
    <row r="95" spans="1:6" ht="14.25" thickBot="1">
      <c r="A95" s="1766" t="s">
        <v>1398</v>
      </c>
      <c r="B95" s="1770" t="s">
        <v>1260</v>
      </c>
      <c r="C95" s="1771">
        <v>9.9000000000000005E-2</v>
      </c>
      <c r="D95" s="1771">
        <v>9.4E-2</v>
      </c>
      <c r="E95" s="1771">
        <v>9.6000000000000002E-2</v>
      </c>
      <c r="F95" s="1779"/>
    </row>
    <row r="96" spans="1:6" ht="14.25" thickBot="1">
      <c r="A96" s="1766" t="s">
        <v>1398</v>
      </c>
      <c r="B96" s="1770" t="s">
        <v>1269</v>
      </c>
      <c r="C96" s="1771">
        <v>9.9000000000000005E-2</v>
      </c>
      <c r="D96" s="1771">
        <v>9.9000000000000005E-2</v>
      </c>
      <c r="E96" s="1771">
        <v>9.9000000000000005E-2</v>
      </c>
      <c r="F96" s="1779"/>
    </row>
    <row r="97" spans="1:6" ht="14.25" thickBot="1">
      <c r="A97" s="1766" t="s">
        <v>1398</v>
      </c>
      <c r="B97" s="1770" t="s">
        <v>1277</v>
      </c>
      <c r="C97" s="1771">
        <v>9.8000000000000004E-2</v>
      </c>
      <c r="D97" s="1771">
        <v>9.8000000000000004E-2</v>
      </c>
      <c r="E97" s="1771">
        <v>9.7000000000000003E-2</v>
      </c>
      <c r="F97" s="1779"/>
    </row>
    <row r="98" spans="1:6" ht="14.25" thickBot="1">
      <c r="A98" s="1766" t="s">
        <v>1398</v>
      </c>
      <c r="B98" s="1770" t="s">
        <v>1284</v>
      </c>
      <c r="C98" s="1771">
        <v>0.1</v>
      </c>
      <c r="D98" s="1771">
        <v>0.1</v>
      </c>
      <c r="E98" s="1771">
        <v>9.7000000000000003E-2</v>
      </c>
      <c r="F98" s="1779"/>
    </row>
    <row r="99" spans="1:6" ht="14.25" thickBot="1">
      <c r="A99" s="1766" t="s">
        <v>1398</v>
      </c>
      <c r="B99" s="1770" t="s">
        <v>1291</v>
      </c>
      <c r="C99" s="1771">
        <v>0.1</v>
      </c>
      <c r="D99" s="1771">
        <v>0.1</v>
      </c>
      <c r="E99" s="1780"/>
      <c r="F99" s="1779"/>
    </row>
    <row r="100" spans="1:6" ht="14.25" thickBot="1">
      <c r="A100" s="1766" t="s">
        <v>1398</v>
      </c>
      <c r="B100" s="1770" t="s">
        <v>1298</v>
      </c>
      <c r="C100" s="1771">
        <v>0.09</v>
      </c>
      <c r="D100" s="1771">
        <v>8.8999999999999996E-2</v>
      </c>
      <c r="E100" s="1780"/>
      <c r="F100" s="1779"/>
    </row>
    <row r="101" spans="1:6" ht="14.25" thickBot="1">
      <c r="A101" s="1766" t="s">
        <v>1398</v>
      </c>
      <c r="B101" s="1770" t="s">
        <v>1305</v>
      </c>
      <c r="C101" s="1771">
        <v>9.8000000000000004E-2</v>
      </c>
      <c r="D101" s="1771">
        <v>9.7000000000000003E-2</v>
      </c>
      <c r="E101" s="1780"/>
      <c r="F101" s="1779"/>
    </row>
    <row r="102" spans="1:6" ht="14.25" thickBot="1">
      <c r="A102" s="1766" t="s">
        <v>1398</v>
      </c>
      <c r="B102" s="1770" t="s">
        <v>2086</v>
      </c>
      <c r="C102" s="1780"/>
      <c r="D102" s="1780"/>
      <c r="E102" s="1780"/>
      <c r="F102" s="1772">
        <v>0.05</v>
      </c>
    </row>
    <row r="103" spans="1:6" ht="24.75" thickBot="1">
      <c r="A103" s="1766" t="s">
        <v>1398</v>
      </c>
      <c r="B103" s="1770" t="s">
        <v>2087</v>
      </c>
      <c r="C103" s="1780"/>
      <c r="D103" s="1780"/>
      <c r="E103" s="1780"/>
      <c r="F103" s="1772">
        <v>0.05</v>
      </c>
    </row>
    <row r="104" spans="1:6" ht="14.25" thickBot="1">
      <c r="A104" s="1766" t="s">
        <v>1398</v>
      </c>
      <c r="B104" s="1770" t="s">
        <v>2088</v>
      </c>
      <c r="C104" s="1780"/>
      <c r="D104" s="1780"/>
      <c r="E104" s="1780"/>
      <c r="F104" s="1772">
        <v>0.05</v>
      </c>
    </row>
    <row r="105" spans="1:6" ht="14.25" thickBot="1">
      <c r="A105" s="1766" t="s">
        <v>1398</v>
      </c>
      <c r="B105" s="1770" t="s">
        <v>2089</v>
      </c>
      <c r="C105" s="1780"/>
      <c r="D105" s="1780"/>
      <c r="E105" s="1780"/>
      <c r="F105" s="1772">
        <v>0.05</v>
      </c>
    </row>
    <row r="106" spans="1:6" ht="14.25" thickBot="1">
      <c r="A106" s="1766" t="s">
        <v>1398</v>
      </c>
      <c r="B106" s="1770" t="s">
        <v>2090</v>
      </c>
      <c r="C106" s="1780"/>
      <c r="D106" s="1780"/>
      <c r="E106" s="1780"/>
      <c r="F106" s="1772">
        <v>0.05</v>
      </c>
    </row>
    <row r="107" spans="1:6" ht="24.75" thickBot="1">
      <c r="A107" s="1766" t="s">
        <v>1398</v>
      </c>
      <c r="B107" s="1770" t="s">
        <v>2091</v>
      </c>
      <c r="C107" s="1780"/>
      <c r="D107" s="1780"/>
      <c r="E107" s="1780"/>
      <c r="F107" s="1772">
        <v>0.05</v>
      </c>
    </row>
    <row r="108" spans="1:6" ht="24.75" thickBot="1">
      <c r="A108" s="1766" t="s">
        <v>1398</v>
      </c>
      <c r="B108" s="1770" t="s">
        <v>2092</v>
      </c>
      <c r="C108" s="1780"/>
      <c r="D108" s="1780"/>
      <c r="E108" s="1780"/>
      <c r="F108" s="1772">
        <v>0.05</v>
      </c>
    </row>
    <row r="109" spans="1:6" ht="24.75" thickBot="1">
      <c r="A109" s="1774" t="s">
        <v>1398</v>
      </c>
      <c r="B109" s="1781" t="s">
        <v>2093</v>
      </c>
      <c r="C109" s="1777"/>
      <c r="D109" s="1777"/>
      <c r="E109" s="1777"/>
      <c r="F109" s="1782">
        <v>0.05</v>
      </c>
    </row>
    <row r="110" spans="1:6" ht="14.25" thickBot="1">
      <c r="A110" s="1766" t="s">
        <v>1400</v>
      </c>
      <c r="B110" s="1767" t="s">
        <v>2094</v>
      </c>
      <c r="C110" s="1768">
        <v>0.129</v>
      </c>
      <c r="D110" s="1768">
        <v>0.129</v>
      </c>
      <c r="E110" s="1768">
        <v>0.126</v>
      </c>
      <c r="F110" s="1769">
        <v>0.13</v>
      </c>
    </row>
    <row r="111" spans="1:6" ht="14.25" thickBot="1">
      <c r="A111" s="1766" t="s">
        <v>1400</v>
      </c>
      <c r="B111" s="1770" t="s">
        <v>1066</v>
      </c>
      <c r="C111" s="1771">
        <v>0.11</v>
      </c>
      <c r="D111" s="1771">
        <v>0.11</v>
      </c>
      <c r="E111" s="1771">
        <v>9.9000000000000005E-2</v>
      </c>
      <c r="F111" s="1772">
        <v>0.128</v>
      </c>
    </row>
    <row r="112" spans="1:6" ht="14.25" thickBot="1">
      <c r="A112" s="1766" t="s">
        <v>1400</v>
      </c>
      <c r="B112" s="1770" t="s">
        <v>1080</v>
      </c>
      <c r="C112" s="1771">
        <v>0.125</v>
      </c>
      <c r="D112" s="1771">
        <v>0.125</v>
      </c>
      <c r="E112" s="1771">
        <v>0.12</v>
      </c>
      <c r="F112" s="1772">
        <v>0.125</v>
      </c>
    </row>
    <row r="113" spans="1:6" ht="14.25" thickBot="1">
      <c r="A113" s="1766" t="s">
        <v>1400</v>
      </c>
      <c r="B113" s="1770" t="s">
        <v>1093</v>
      </c>
      <c r="C113" s="1771">
        <v>0.13</v>
      </c>
      <c r="D113" s="1771">
        <v>0.13</v>
      </c>
      <c r="E113" s="1771">
        <v>0.13</v>
      </c>
      <c r="F113" s="1772">
        <v>0.13</v>
      </c>
    </row>
    <row r="114" spans="1:6" ht="14.25" thickBot="1">
      <c r="A114" s="1766" t="s">
        <v>1400</v>
      </c>
      <c r="B114" s="1770" t="s">
        <v>1107</v>
      </c>
      <c r="C114" s="1771">
        <v>0.123</v>
      </c>
      <c r="D114" s="1771">
        <v>0.123</v>
      </c>
      <c r="E114" s="1771">
        <v>0.12</v>
      </c>
      <c r="F114" s="1772">
        <v>0.13</v>
      </c>
    </row>
    <row r="115" spans="1:6" ht="14.25" thickBot="1">
      <c r="A115" s="1766" t="s">
        <v>1400</v>
      </c>
      <c r="B115" s="1770" t="s">
        <v>1118</v>
      </c>
      <c r="C115" s="1771">
        <v>0.125</v>
      </c>
      <c r="D115" s="1771">
        <v>0.125</v>
      </c>
      <c r="E115" s="1771">
        <v>0.11700000000000001</v>
      </c>
      <c r="F115" s="1772">
        <v>0.13</v>
      </c>
    </row>
    <row r="116" spans="1:6" ht="14.25" thickBot="1">
      <c r="A116" s="1766" t="s">
        <v>1400</v>
      </c>
      <c r="B116" s="1770" t="s">
        <v>1129</v>
      </c>
      <c r="C116" s="1771">
        <v>0.11700000000000001</v>
      </c>
      <c r="D116" s="1771">
        <v>0.11700000000000001</v>
      </c>
      <c r="E116" s="1771">
        <v>8.7999999999999995E-2</v>
      </c>
      <c r="F116" s="1772">
        <v>0.13</v>
      </c>
    </row>
    <row r="117" spans="1:6" ht="14.25" thickBot="1">
      <c r="A117" s="1766" t="s">
        <v>1400</v>
      </c>
      <c r="B117" s="1770" t="s">
        <v>1140</v>
      </c>
      <c r="C117" s="1771">
        <v>0.13</v>
      </c>
      <c r="D117" s="1771">
        <v>0.13</v>
      </c>
      <c r="E117" s="1771">
        <v>0.129</v>
      </c>
      <c r="F117" s="1772">
        <v>0.13</v>
      </c>
    </row>
    <row r="118" spans="1:6" ht="14.25" thickBot="1">
      <c r="A118" s="1766" t="s">
        <v>1400</v>
      </c>
      <c r="B118" s="1770" t="s">
        <v>1152</v>
      </c>
      <c r="C118" s="1771">
        <v>0.123</v>
      </c>
      <c r="D118" s="1771">
        <v>0.123</v>
      </c>
      <c r="E118" s="1771">
        <v>0.11600000000000001</v>
      </c>
      <c r="F118" s="1772">
        <v>0.13</v>
      </c>
    </row>
    <row r="119" spans="1:6" ht="14.25" thickBot="1">
      <c r="A119" s="1766" t="s">
        <v>1400</v>
      </c>
      <c r="B119" s="1770" t="s">
        <v>1162</v>
      </c>
      <c r="C119" s="1771">
        <v>0.127</v>
      </c>
      <c r="D119" s="1771">
        <v>0.127</v>
      </c>
      <c r="E119" s="1771">
        <v>0.124</v>
      </c>
      <c r="F119" s="1772">
        <v>0.13</v>
      </c>
    </row>
    <row r="120" spans="1:6" ht="14.25" thickBot="1">
      <c r="A120" s="1766" t="s">
        <v>1400</v>
      </c>
      <c r="B120" s="1770" t="s">
        <v>1172</v>
      </c>
      <c r="C120" s="1771">
        <v>0.125</v>
      </c>
      <c r="D120" s="1771">
        <v>0.125</v>
      </c>
      <c r="E120" s="1771">
        <v>0.122</v>
      </c>
      <c r="F120" s="1772">
        <v>0.13</v>
      </c>
    </row>
    <row r="121" spans="1:6" ht="14.25" thickBot="1">
      <c r="A121" s="1766" t="s">
        <v>1400</v>
      </c>
      <c r="B121" s="1770" t="s">
        <v>1182</v>
      </c>
      <c r="C121" s="1771">
        <v>0.13</v>
      </c>
      <c r="D121" s="1771">
        <v>0.13</v>
      </c>
      <c r="E121" s="1771">
        <v>0.13</v>
      </c>
      <c r="F121" s="1772">
        <v>0.13</v>
      </c>
    </row>
    <row r="122" spans="1:6" ht="14.25" thickBot="1">
      <c r="A122" s="1766" t="s">
        <v>1400</v>
      </c>
      <c r="B122" s="1770" t="s">
        <v>1192</v>
      </c>
      <c r="C122" s="1771">
        <v>0.13</v>
      </c>
      <c r="D122" s="1771">
        <v>0.13</v>
      </c>
      <c r="E122" s="1771">
        <v>0.125</v>
      </c>
      <c r="F122" s="1772">
        <v>0.13</v>
      </c>
    </row>
    <row r="123" spans="1:6" ht="14.25" thickBot="1">
      <c r="A123" s="1766" t="s">
        <v>1400</v>
      </c>
      <c r="B123" s="1770" t="s">
        <v>1202</v>
      </c>
      <c r="C123" s="1771">
        <v>0.129</v>
      </c>
      <c r="D123" s="1771">
        <v>0.129</v>
      </c>
      <c r="E123" s="1771">
        <v>0.123</v>
      </c>
      <c r="F123" s="1772">
        <v>0.13</v>
      </c>
    </row>
    <row r="124" spans="1:6" ht="14.25" thickBot="1">
      <c r="A124" s="1766" t="s">
        <v>1400</v>
      </c>
      <c r="B124" s="1770" t="s">
        <v>1212</v>
      </c>
      <c r="C124" s="1771">
        <v>0.10199999999999999</v>
      </c>
      <c r="D124" s="1771">
        <v>0.10100000000000001</v>
      </c>
      <c r="E124" s="1771">
        <v>0.08</v>
      </c>
      <c r="F124" s="1779"/>
    </row>
    <row r="125" spans="1:6" ht="14.25" thickBot="1">
      <c r="A125" s="1766" t="s">
        <v>1400</v>
      </c>
      <c r="B125" s="1770" t="s">
        <v>1222</v>
      </c>
      <c r="C125" s="1771">
        <v>0.13</v>
      </c>
      <c r="D125" s="1771">
        <v>0.13</v>
      </c>
      <c r="E125" s="1771">
        <v>0.129</v>
      </c>
      <c r="F125" s="1779"/>
    </row>
    <row r="126" spans="1:6" ht="14.25" thickBot="1">
      <c r="A126" s="1766" t="s">
        <v>1400</v>
      </c>
      <c r="B126" s="1770" t="s">
        <v>1232</v>
      </c>
      <c r="C126" s="1771">
        <v>0.13</v>
      </c>
      <c r="D126" s="1771">
        <v>0.13</v>
      </c>
      <c r="E126" s="1771">
        <v>0.126</v>
      </c>
      <c r="F126" s="1779"/>
    </row>
    <row r="127" spans="1:6" ht="14.25" thickBot="1">
      <c r="A127" s="1766" t="s">
        <v>1400</v>
      </c>
      <c r="B127" s="1770" t="s">
        <v>1242</v>
      </c>
      <c r="C127" s="1771">
        <v>0.125</v>
      </c>
      <c r="D127" s="1771">
        <v>0.125</v>
      </c>
      <c r="E127" s="1771">
        <v>0.121</v>
      </c>
      <c r="F127" s="1779"/>
    </row>
    <row r="128" spans="1:6" ht="14.25" thickBot="1">
      <c r="A128" s="1766" t="s">
        <v>1400</v>
      </c>
      <c r="B128" s="1770" t="s">
        <v>1252</v>
      </c>
      <c r="C128" s="1771">
        <v>0.12</v>
      </c>
      <c r="D128" s="1771">
        <v>0.12</v>
      </c>
      <c r="E128" s="1771">
        <v>0.105</v>
      </c>
      <c r="F128" s="1779"/>
    </row>
    <row r="129" spans="1:6" ht="14.25" thickBot="1">
      <c r="A129" s="1766" t="s">
        <v>1400</v>
      </c>
      <c r="B129" s="1770" t="s">
        <v>1261</v>
      </c>
      <c r="C129" s="1771">
        <v>0.13</v>
      </c>
      <c r="D129" s="1771">
        <v>0.13</v>
      </c>
      <c r="E129" s="1771">
        <v>0.126</v>
      </c>
      <c r="F129" s="1779"/>
    </row>
    <row r="130" spans="1:6" ht="14.25" thickBot="1">
      <c r="A130" s="1766" t="s">
        <v>1400</v>
      </c>
      <c r="B130" s="1770" t="s">
        <v>1270</v>
      </c>
      <c r="C130" s="1771">
        <v>0.125</v>
      </c>
      <c r="D130" s="1771">
        <v>0.125</v>
      </c>
      <c r="E130" s="1771">
        <v>0.122</v>
      </c>
      <c r="F130" s="1779"/>
    </row>
    <row r="131" spans="1:6" ht="14.25" thickBot="1">
      <c r="A131" s="1766" t="s">
        <v>1400</v>
      </c>
      <c r="B131" s="1770" t="s">
        <v>1278</v>
      </c>
      <c r="C131" s="1771">
        <v>0.127</v>
      </c>
      <c r="D131" s="1771">
        <v>0.126</v>
      </c>
      <c r="E131" s="1771">
        <v>0.123</v>
      </c>
      <c r="F131" s="1779"/>
    </row>
    <row r="132" spans="1:6" ht="14.25" thickBot="1">
      <c r="A132" s="1766" t="s">
        <v>1400</v>
      </c>
      <c r="B132" s="1770" t="s">
        <v>1285</v>
      </c>
      <c r="C132" s="1771">
        <v>9.0999999999999998E-2</v>
      </c>
      <c r="D132" s="1771">
        <v>0.121</v>
      </c>
      <c r="E132" s="1771">
        <v>9.9000000000000005E-2</v>
      </c>
      <c r="F132" s="1779"/>
    </row>
    <row r="133" spans="1:6" ht="14.25" thickBot="1">
      <c r="A133" s="1766" t="s">
        <v>1400</v>
      </c>
      <c r="B133" s="1770" t="s">
        <v>1292</v>
      </c>
      <c r="C133" s="1771">
        <v>0.13</v>
      </c>
      <c r="D133" s="1771">
        <v>0.13</v>
      </c>
      <c r="E133" s="1771">
        <v>0.129</v>
      </c>
      <c r="F133" s="1779"/>
    </row>
    <row r="134" spans="1:6" ht="14.25" thickBot="1">
      <c r="A134" s="1766" t="s">
        <v>1400</v>
      </c>
      <c r="B134" s="1770" t="s">
        <v>2095</v>
      </c>
      <c r="C134" s="1771">
        <v>6.8000000000000005E-2</v>
      </c>
      <c r="D134" s="1771">
        <v>6.5000000000000002E-2</v>
      </c>
      <c r="E134" s="1771">
        <v>6.5000000000000002E-2</v>
      </c>
      <c r="F134" s="1772">
        <v>0.13</v>
      </c>
    </row>
    <row r="135" spans="1:6" ht="14.25" thickBot="1">
      <c r="A135" s="1766" t="s">
        <v>1400</v>
      </c>
      <c r="B135" s="1770" t="s">
        <v>1306</v>
      </c>
      <c r="C135" s="1771">
        <v>0.123</v>
      </c>
      <c r="D135" s="1771">
        <v>0.123</v>
      </c>
      <c r="E135" s="1771">
        <v>0.11</v>
      </c>
      <c r="F135" s="1779"/>
    </row>
    <row r="136" spans="1:6" ht="14.25" thickBot="1">
      <c r="A136" s="1766" t="s">
        <v>1400</v>
      </c>
      <c r="B136" s="1770" t="s">
        <v>1313</v>
      </c>
      <c r="C136" s="1771">
        <v>0.13</v>
      </c>
      <c r="D136" s="1771">
        <v>0.13</v>
      </c>
      <c r="E136" s="1771">
        <v>0.125</v>
      </c>
      <c r="F136" s="1779"/>
    </row>
    <row r="137" spans="1:6" ht="14.25" thickBot="1">
      <c r="A137" s="1766" t="s">
        <v>1400</v>
      </c>
      <c r="B137" s="1770" t="s">
        <v>1320</v>
      </c>
      <c r="C137" s="1771">
        <v>0.121</v>
      </c>
      <c r="D137" s="1771">
        <v>0.122</v>
      </c>
      <c r="E137" s="1771">
        <v>0.115</v>
      </c>
      <c r="F137" s="1779"/>
    </row>
    <row r="138" spans="1:6" ht="14.25" thickBot="1">
      <c r="A138" s="1766" t="s">
        <v>1400</v>
      </c>
      <c r="B138" s="1770" t="s">
        <v>2096</v>
      </c>
      <c r="C138" s="1771">
        <v>0.105</v>
      </c>
      <c r="D138" s="1771">
        <v>0.125</v>
      </c>
      <c r="E138" s="1771">
        <v>0.112</v>
      </c>
      <c r="F138" s="1779"/>
    </row>
    <row r="139" spans="1:6" ht="14.25" thickBot="1">
      <c r="A139" s="1766" t="s">
        <v>1400</v>
      </c>
      <c r="B139" s="1770" t="s">
        <v>2097</v>
      </c>
      <c r="C139" s="1771">
        <v>0.127</v>
      </c>
      <c r="D139" s="1771">
        <v>0.127</v>
      </c>
      <c r="E139" s="1771">
        <v>0.122</v>
      </c>
      <c r="F139" s="1772">
        <v>0.13</v>
      </c>
    </row>
    <row r="140" spans="1:6" ht="14.25" thickBot="1">
      <c r="A140" s="1766" t="s">
        <v>1400</v>
      </c>
      <c r="B140" s="1770" t="s">
        <v>2098</v>
      </c>
      <c r="C140" s="1771">
        <v>0.125</v>
      </c>
      <c r="D140" s="1771">
        <v>0.125</v>
      </c>
      <c r="E140" s="1771">
        <v>0.11899999999999999</v>
      </c>
      <c r="F140" s="1772">
        <v>0.13</v>
      </c>
    </row>
    <row r="141" spans="1:6" ht="14.25" thickBot="1">
      <c r="A141" s="1766" t="s">
        <v>1400</v>
      </c>
      <c r="B141" s="1770" t="s">
        <v>1339</v>
      </c>
      <c r="C141" s="1771">
        <v>0.125</v>
      </c>
      <c r="D141" s="1771">
        <v>0.125</v>
      </c>
      <c r="E141" s="1771">
        <v>0.11700000000000001</v>
      </c>
      <c r="F141" s="1779"/>
    </row>
    <row r="142" spans="1:6" ht="14.25" thickBot="1">
      <c r="A142" s="1766" t="s">
        <v>1400</v>
      </c>
      <c r="B142" s="1770" t="s">
        <v>1344</v>
      </c>
      <c r="C142" s="1771">
        <v>0.125</v>
      </c>
      <c r="D142" s="1771">
        <v>0.125</v>
      </c>
      <c r="E142" s="1771">
        <v>0.115</v>
      </c>
      <c r="F142" s="1779"/>
    </row>
    <row r="143" spans="1:6" ht="14.25" thickBot="1">
      <c r="A143" s="1766" t="s">
        <v>1400</v>
      </c>
      <c r="B143" s="1770" t="s">
        <v>1349</v>
      </c>
      <c r="C143" s="1771">
        <v>0.121</v>
      </c>
      <c r="D143" s="1771">
        <v>0.121</v>
      </c>
      <c r="E143" s="1771">
        <v>0.108</v>
      </c>
      <c r="F143" s="1779"/>
    </row>
    <row r="144" spans="1:6" ht="14.25" thickBot="1">
      <c r="A144" s="1766" t="s">
        <v>1400</v>
      </c>
      <c r="B144" s="1783" t="s">
        <v>2099</v>
      </c>
      <c r="C144" s="1784">
        <v>0.126</v>
      </c>
      <c r="D144" s="1784">
        <v>0.126</v>
      </c>
      <c r="E144" s="1784">
        <v>0.121</v>
      </c>
      <c r="F144" s="1779"/>
    </row>
    <row r="145" spans="1:6" ht="14.25" thickBot="1">
      <c r="A145" s="1774" t="s">
        <v>1400</v>
      </c>
      <c r="B145" s="1785" t="s">
        <v>2100</v>
      </c>
      <c r="C145" s="1786"/>
      <c r="D145" s="1786"/>
      <c r="E145" s="1786"/>
      <c r="F145" s="1787">
        <v>0.05</v>
      </c>
    </row>
    <row r="146" spans="1:6" ht="24.75" thickBot="1">
      <c r="A146" s="1788" t="s">
        <v>1400</v>
      </c>
      <c r="B146" s="1773" t="s">
        <v>2101</v>
      </c>
      <c r="C146" s="1780"/>
      <c r="D146" s="1780"/>
      <c r="E146" s="1780"/>
      <c r="F146" s="1789">
        <v>0.05</v>
      </c>
    </row>
    <row r="147" spans="1:6" ht="24.75" thickBot="1">
      <c r="A147" s="1766" t="s">
        <v>1400</v>
      </c>
      <c r="B147" s="1770" t="s">
        <v>2102</v>
      </c>
      <c r="C147" s="1780"/>
      <c r="D147" s="1780"/>
      <c r="E147" s="1780"/>
      <c r="F147" s="1772">
        <v>0.05</v>
      </c>
    </row>
    <row r="148" spans="1:6" ht="24.75" thickBot="1">
      <c r="A148" s="1766" t="s">
        <v>1400</v>
      </c>
      <c r="B148" s="1770" t="s">
        <v>2103</v>
      </c>
      <c r="C148" s="1780"/>
      <c r="D148" s="1780"/>
      <c r="E148" s="1780"/>
      <c r="F148" s="1772">
        <v>0.05</v>
      </c>
    </row>
    <row r="149" spans="1:6" ht="24.75" thickBot="1">
      <c r="A149" s="1766" t="s">
        <v>1400</v>
      </c>
      <c r="B149" s="1770" t="s">
        <v>2104</v>
      </c>
      <c r="C149" s="1780"/>
      <c r="D149" s="1780"/>
      <c r="E149" s="1780"/>
      <c r="F149" s="1772">
        <v>0.05</v>
      </c>
    </row>
    <row r="150" spans="1:6" ht="24.75" thickBot="1">
      <c r="A150" s="1766" t="s">
        <v>1400</v>
      </c>
      <c r="B150" s="1770" t="s">
        <v>2105</v>
      </c>
      <c r="C150" s="1780"/>
      <c r="D150" s="1780"/>
      <c r="E150" s="1780"/>
      <c r="F150" s="1772">
        <v>0.05</v>
      </c>
    </row>
    <row r="151" spans="1:6" ht="24.75" thickBot="1">
      <c r="A151" s="1766" t="s">
        <v>1400</v>
      </c>
      <c r="B151" s="1770" t="s">
        <v>2106</v>
      </c>
      <c r="C151" s="1780"/>
      <c r="D151" s="1780"/>
      <c r="E151" s="1780"/>
      <c r="F151" s="1772">
        <v>0.05</v>
      </c>
    </row>
    <row r="152" spans="1:6" ht="24.75" thickBot="1">
      <c r="A152" s="1766" t="s">
        <v>1400</v>
      </c>
      <c r="B152" s="1770" t="s">
        <v>1382</v>
      </c>
      <c r="C152" s="1780"/>
      <c r="D152" s="1780"/>
      <c r="E152" s="1780"/>
      <c r="F152" s="1772">
        <v>0.05</v>
      </c>
    </row>
    <row r="153" spans="1:6" ht="14.25" thickBot="1">
      <c r="A153" s="1766" t="s">
        <v>1400</v>
      </c>
      <c r="B153" s="1770" t="s">
        <v>2107</v>
      </c>
      <c r="C153" s="1780"/>
      <c r="D153" s="1780"/>
      <c r="E153" s="1780"/>
      <c r="F153" s="1772">
        <v>0.05</v>
      </c>
    </row>
    <row r="154" spans="1:6" ht="14.25" thickBot="1">
      <c r="A154" s="1766" t="s">
        <v>1400</v>
      </c>
      <c r="B154" s="1770" t="s">
        <v>2108</v>
      </c>
      <c r="C154" s="1780"/>
      <c r="D154" s="1780"/>
      <c r="E154" s="1780"/>
      <c r="F154" s="1772">
        <v>0.05</v>
      </c>
    </row>
    <row r="155" spans="1:6" ht="24.75" thickBot="1">
      <c r="A155" s="1766" t="s">
        <v>1400</v>
      </c>
      <c r="B155" s="1770" t="s">
        <v>2109</v>
      </c>
      <c r="C155" s="1780"/>
      <c r="D155" s="1780"/>
      <c r="E155" s="1780"/>
      <c r="F155" s="1772">
        <v>0.05</v>
      </c>
    </row>
    <row r="156" spans="1:6" ht="24.75" thickBot="1">
      <c r="A156" s="1766" t="s">
        <v>1400</v>
      </c>
      <c r="B156" s="1770" t="s">
        <v>2110</v>
      </c>
      <c r="C156" s="1780"/>
      <c r="D156" s="1780"/>
      <c r="E156" s="1780"/>
      <c r="F156" s="1772">
        <v>0.05</v>
      </c>
    </row>
    <row r="157" spans="1:6" ht="14.25" thickBot="1">
      <c r="A157" s="1774" t="s">
        <v>1400</v>
      </c>
      <c r="B157" s="1781" t="s">
        <v>2111</v>
      </c>
      <c r="C157" s="1777"/>
      <c r="D157" s="1777"/>
      <c r="E157" s="1777"/>
      <c r="F157" s="1782">
        <v>0.05</v>
      </c>
    </row>
    <row r="158" spans="1:6" ht="14.25" thickBot="1">
      <c r="A158" s="1766" t="s">
        <v>1402</v>
      </c>
      <c r="B158" s="1767" t="s">
        <v>2112</v>
      </c>
      <c r="C158" s="1768">
        <v>0.13</v>
      </c>
      <c r="D158" s="1768">
        <v>0.13</v>
      </c>
      <c r="E158" s="1768">
        <v>0.13</v>
      </c>
      <c r="F158" s="1769">
        <v>0.13</v>
      </c>
    </row>
    <row r="159" spans="1:6" ht="14.25" thickBot="1">
      <c r="A159" s="1766" t="s">
        <v>1402</v>
      </c>
      <c r="B159" s="1770" t="s">
        <v>1067</v>
      </c>
      <c r="C159" s="1771">
        <v>0.13</v>
      </c>
      <c r="D159" s="1771">
        <v>0.13</v>
      </c>
      <c r="E159" s="1771">
        <v>0.13</v>
      </c>
      <c r="F159" s="1772">
        <v>0.13</v>
      </c>
    </row>
    <row r="160" spans="1:6" ht="14.25" thickBot="1">
      <c r="A160" s="1766" t="s">
        <v>1402</v>
      </c>
      <c r="B160" s="1770" t="s">
        <v>1081</v>
      </c>
      <c r="C160" s="1771">
        <v>0.13</v>
      </c>
      <c r="D160" s="1771">
        <v>0.13</v>
      </c>
      <c r="E160" s="1771">
        <v>0.129</v>
      </c>
      <c r="F160" s="1772">
        <v>0.13</v>
      </c>
    </row>
    <row r="161" spans="1:6" ht="14.25" thickBot="1">
      <c r="A161" s="1766" t="s">
        <v>1402</v>
      </c>
      <c r="B161" s="1770" t="s">
        <v>1094</v>
      </c>
      <c r="C161" s="1771">
        <v>0.128</v>
      </c>
      <c r="D161" s="1771">
        <v>0.128</v>
      </c>
      <c r="E161" s="1771">
        <v>0.125</v>
      </c>
      <c r="F161" s="1772">
        <v>0.13</v>
      </c>
    </row>
    <row r="162" spans="1:6" ht="14.25" thickBot="1">
      <c r="A162" s="1766" t="s">
        <v>1402</v>
      </c>
      <c r="B162" s="1770" t="s">
        <v>1108</v>
      </c>
      <c r="C162" s="1771">
        <v>0.122</v>
      </c>
      <c r="D162" s="1771">
        <v>0.122</v>
      </c>
      <c r="E162" s="1771">
        <v>0.126</v>
      </c>
      <c r="F162" s="1772">
        <v>0.122</v>
      </c>
    </row>
    <row r="163" spans="1:6" ht="14.25" thickBot="1">
      <c r="A163" s="1766" t="s">
        <v>1402</v>
      </c>
      <c r="B163" s="1770" t="s">
        <v>1119</v>
      </c>
      <c r="C163" s="1771">
        <v>0.13</v>
      </c>
      <c r="D163" s="1771">
        <v>0.13</v>
      </c>
      <c r="E163" s="1771">
        <v>0.125</v>
      </c>
      <c r="F163" s="1772">
        <v>0.13</v>
      </c>
    </row>
    <row r="164" spans="1:6" ht="14.25" thickBot="1">
      <c r="A164" s="1766" t="s">
        <v>1402</v>
      </c>
      <c r="B164" s="1770" t="s">
        <v>1130</v>
      </c>
      <c r="C164" s="1771">
        <v>0.13</v>
      </c>
      <c r="D164" s="1771">
        <v>0.13</v>
      </c>
      <c r="E164" s="1771">
        <v>0.13</v>
      </c>
      <c r="F164" s="1772">
        <v>0.13</v>
      </c>
    </row>
    <row r="165" spans="1:6" ht="14.25" thickBot="1">
      <c r="A165" s="1766" t="s">
        <v>1402</v>
      </c>
      <c r="B165" s="1770" t="s">
        <v>1141</v>
      </c>
      <c r="C165" s="1771">
        <v>0.13</v>
      </c>
      <c r="D165" s="1771">
        <v>0.13</v>
      </c>
      <c r="E165" s="1771">
        <v>0.124</v>
      </c>
      <c r="F165" s="1772">
        <v>0.13</v>
      </c>
    </row>
    <row r="166" spans="1:6" ht="14.25" thickBot="1">
      <c r="A166" s="1766" t="s">
        <v>1402</v>
      </c>
      <c r="B166" s="1770" t="s">
        <v>1153</v>
      </c>
      <c r="C166" s="1771">
        <v>0.13</v>
      </c>
      <c r="D166" s="1771">
        <v>0.13</v>
      </c>
      <c r="E166" s="1771">
        <v>0.13</v>
      </c>
      <c r="F166" s="1772">
        <v>0.13</v>
      </c>
    </row>
    <row r="167" spans="1:6" ht="14.25" thickBot="1">
      <c r="A167" s="1766" t="s">
        <v>1402</v>
      </c>
      <c r="B167" s="1770" t="s">
        <v>1163</v>
      </c>
      <c r="C167" s="1771">
        <v>0.125</v>
      </c>
      <c r="D167" s="1771">
        <v>0.125</v>
      </c>
      <c r="E167" s="1771">
        <v>0.121</v>
      </c>
      <c r="F167" s="1779"/>
    </row>
    <row r="168" spans="1:6" ht="14.25" thickBot="1">
      <c r="A168" s="1766" t="s">
        <v>1402</v>
      </c>
      <c r="B168" s="1770" t="s">
        <v>1173</v>
      </c>
      <c r="C168" s="1771">
        <v>0.13</v>
      </c>
      <c r="D168" s="1771">
        <v>0.13</v>
      </c>
      <c r="E168" s="1771">
        <v>0.126</v>
      </c>
      <c r="F168" s="1779"/>
    </row>
    <row r="169" spans="1:6" ht="14.25" thickBot="1">
      <c r="A169" s="1766" t="s">
        <v>1402</v>
      </c>
      <c r="B169" s="1770" t="s">
        <v>1183</v>
      </c>
      <c r="C169" s="1771">
        <v>0.128</v>
      </c>
      <c r="D169" s="1771">
        <v>0.129</v>
      </c>
      <c r="E169" s="1771">
        <v>0.13</v>
      </c>
      <c r="F169" s="1779"/>
    </row>
    <row r="170" spans="1:6" ht="14.25" thickBot="1">
      <c r="A170" s="1766" t="s">
        <v>1402</v>
      </c>
      <c r="B170" s="1770" t="s">
        <v>1193</v>
      </c>
      <c r="C170" s="1771">
        <v>0.14099999999999999</v>
      </c>
      <c r="D170" s="1771">
        <v>0.13</v>
      </c>
      <c r="E170" s="1771">
        <v>0.125</v>
      </c>
      <c r="F170" s="1779"/>
    </row>
    <row r="171" spans="1:6" ht="14.25" thickBot="1">
      <c r="A171" s="1766" t="s">
        <v>1402</v>
      </c>
      <c r="B171" s="1770" t="s">
        <v>2113</v>
      </c>
      <c r="C171" s="1771">
        <v>0.127</v>
      </c>
      <c r="D171" s="1771">
        <v>0.126</v>
      </c>
      <c r="E171" s="1771">
        <v>0.126</v>
      </c>
      <c r="F171" s="1772">
        <v>0.11799999999999999</v>
      </c>
    </row>
    <row r="172" spans="1:6" ht="14.25" thickBot="1">
      <c r="A172" s="1766" t="s">
        <v>1402</v>
      </c>
      <c r="B172" s="1770" t="s">
        <v>2114</v>
      </c>
      <c r="C172" s="1771">
        <v>0.13</v>
      </c>
      <c r="D172" s="1771">
        <v>0.13</v>
      </c>
      <c r="E172" s="1771">
        <v>0.13</v>
      </c>
      <c r="F172" s="1779"/>
    </row>
    <row r="173" spans="1:6" ht="14.25" thickBot="1">
      <c r="A173" s="1766" t="s">
        <v>1402</v>
      </c>
      <c r="B173" s="1770" t="s">
        <v>1223</v>
      </c>
      <c r="C173" s="1771">
        <v>0.13</v>
      </c>
      <c r="D173" s="1771">
        <v>0.13</v>
      </c>
      <c r="E173" s="1771">
        <v>0.13</v>
      </c>
      <c r="F173" s="1779"/>
    </row>
    <row r="174" spans="1:6" ht="14.25" thickBot="1">
      <c r="A174" s="1766" t="s">
        <v>1402</v>
      </c>
      <c r="B174" s="1770" t="s">
        <v>2115</v>
      </c>
      <c r="C174" s="1771">
        <v>0.13</v>
      </c>
      <c r="D174" s="1771">
        <v>0.13</v>
      </c>
      <c r="E174" s="1771">
        <v>0.13</v>
      </c>
      <c r="F174" s="1772">
        <v>0.13</v>
      </c>
    </row>
    <row r="175" spans="1:6" ht="14.25" thickBot="1">
      <c r="A175" s="1766" t="s">
        <v>1402</v>
      </c>
      <c r="B175" s="1770" t="s">
        <v>2116</v>
      </c>
      <c r="C175" s="1771">
        <v>0.13</v>
      </c>
      <c r="D175" s="1771">
        <v>0.13</v>
      </c>
      <c r="E175" s="1771">
        <v>0.13</v>
      </c>
      <c r="F175" s="1772">
        <v>0.13</v>
      </c>
    </row>
    <row r="176" spans="1:6" ht="14.25" thickBot="1">
      <c r="A176" s="1766" t="s">
        <v>1402</v>
      </c>
      <c r="B176" s="1770" t="s">
        <v>1253</v>
      </c>
      <c r="C176" s="1771">
        <v>0.13</v>
      </c>
      <c r="D176" s="1771">
        <v>0.13</v>
      </c>
      <c r="E176" s="1771">
        <v>0.13</v>
      </c>
      <c r="F176" s="1772">
        <v>0.13</v>
      </c>
    </row>
    <row r="177" spans="1:6" ht="14.25" thickBot="1">
      <c r="A177" s="1766" t="s">
        <v>1402</v>
      </c>
      <c r="B177" s="1770" t="s">
        <v>2117</v>
      </c>
      <c r="C177" s="1771">
        <v>0.13</v>
      </c>
      <c r="D177" s="1771">
        <v>0.13</v>
      </c>
      <c r="E177" s="1771">
        <v>0.13</v>
      </c>
      <c r="F177" s="1772">
        <v>0.13</v>
      </c>
    </row>
    <row r="178" spans="1:6" ht="14.25" thickBot="1">
      <c r="A178" s="1766" t="s">
        <v>1402</v>
      </c>
      <c r="B178" s="1770" t="s">
        <v>1271</v>
      </c>
      <c r="C178" s="1771">
        <v>0.13</v>
      </c>
      <c r="D178" s="1771">
        <v>0.13</v>
      </c>
      <c r="E178" s="1771">
        <v>0.13</v>
      </c>
      <c r="F178" s="1772">
        <v>0.127</v>
      </c>
    </row>
    <row r="179" spans="1:6" ht="14.25" thickBot="1">
      <c r="A179" s="1766" t="s">
        <v>1402</v>
      </c>
      <c r="B179" s="1770" t="s">
        <v>1279</v>
      </c>
      <c r="C179" s="1771">
        <v>0.13</v>
      </c>
      <c r="D179" s="1771">
        <v>0.13</v>
      </c>
      <c r="E179" s="1771">
        <v>0.13</v>
      </c>
      <c r="F179" s="1779"/>
    </row>
    <row r="180" spans="1:6" ht="14.25" thickBot="1">
      <c r="A180" s="1766" t="s">
        <v>1402</v>
      </c>
      <c r="B180" s="1770" t="s">
        <v>2118</v>
      </c>
      <c r="C180" s="1771">
        <v>0.13</v>
      </c>
      <c r="D180" s="1771">
        <v>0.13</v>
      </c>
      <c r="E180" s="1771">
        <v>0.125</v>
      </c>
      <c r="F180" s="1772">
        <v>0.13</v>
      </c>
    </row>
    <row r="181" spans="1:6" ht="14.25" thickBot="1">
      <c r="A181" s="1766" t="s">
        <v>1402</v>
      </c>
      <c r="B181" s="1770" t="s">
        <v>1293</v>
      </c>
      <c r="C181" s="1771">
        <v>0.122</v>
      </c>
      <c r="D181" s="1771">
        <v>0.123</v>
      </c>
      <c r="E181" s="1771">
        <v>0.126</v>
      </c>
      <c r="F181" s="1772">
        <v>0.121</v>
      </c>
    </row>
    <row r="182" spans="1:6" ht="14.25" thickBot="1">
      <c r="A182" s="1766" t="s">
        <v>1402</v>
      </c>
      <c r="B182" s="1770" t="s">
        <v>1300</v>
      </c>
      <c r="C182" s="1771">
        <v>0.125</v>
      </c>
      <c r="D182" s="1771">
        <v>0.125</v>
      </c>
      <c r="E182" s="1771">
        <v>0.11700000000000001</v>
      </c>
      <c r="F182" s="1772">
        <v>0.13</v>
      </c>
    </row>
    <row r="183" spans="1:6" ht="14.25" thickBot="1">
      <c r="A183" s="1766" t="s">
        <v>1402</v>
      </c>
      <c r="B183" s="1770" t="s">
        <v>1307</v>
      </c>
      <c r="C183" s="1771">
        <v>0.127</v>
      </c>
      <c r="D183" s="1771">
        <v>0.127</v>
      </c>
      <c r="E183" s="1771">
        <v>0.128</v>
      </c>
      <c r="F183" s="1779"/>
    </row>
    <row r="184" spans="1:6" ht="14.25" thickBot="1">
      <c r="A184" s="1766" t="s">
        <v>1402</v>
      </c>
      <c r="B184" s="1770" t="s">
        <v>1314</v>
      </c>
      <c r="C184" s="1771">
        <v>0.125</v>
      </c>
      <c r="D184" s="1771">
        <v>0.125</v>
      </c>
      <c r="E184" s="1771">
        <v>0.127</v>
      </c>
      <c r="F184" s="1779"/>
    </row>
    <row r="185" spans="1:6" ht="14.25" thickBot="1">
      <c r="A185" s="1766" t="s">
        <v>1402</v>
      </c>
      <c r="B185" s="1770" t="s">
        <v>2119</v>
      </c>
      <c r="C185" s="1771">
        <v>0.127</v>
      </c>
      <c r="D185" s="1771">
        <v>0.127</v>
      </c>
      <c r="E185" s="1771">
        <v>0.128</v>
      </c>
      <c r="F185" s="1772">
        <v>0.13</v>
      </c>
    </row>
    <row r="186" spans="1:6" ht="24.75" thickBot="1">
      <c r="A186" s="1766" t="s">
        <v>1402</v>
      </c>
      <c r="B186" s="1770" t="s">
        <v>2120</v>
      </c>
      <c r="C186" s="1780"/>
      <c r="D186" s="1780"/>
      <c r="E186" s="1780"/>
      <c r="F186" s="1772">
        <v>0.05</v>
      </c>
    </row>
    <row r="187" spans="1:6" ht="14.25" thickBot="1">
      <c r="A187" s="1766" t="s">
        <v>1402</v>
      </c>
      <c r="B187" s="1770" t="s">
        <v>2121</v>
      </c>
      <c r="C187" s="1780"/>
      <c r="D187" s="1780"/>
      <c r="E187" s="1780"/>
      <c r="F187" s="1772">
        <v>0.05</v>
      </c>
    </row>
    <row r="188" spans="1:6" ht="14.25" thickBot="1">
      <c r="A188" s="1766" t="s">
        <v>1402</v>
      </c>
      <c r="B188" s="1770" t="s">
        <v>2122</v>
      </c>
      <c r="C188" s="1780"/>
      <c r="D188" s="1780"/>
      <c r="E188" s="1780"/>
      <c r="F188" s="1772">
        <v>0.05</v>
      </c>
    </row>
    <row r="189" spans="1:6" ht="24.75" thickBot="1">
      <c r="A189" s="1766" t="s">
        <v>1402</v>
      </c>
      <c r="B189" s="1770" t="s">
        <v>2123</v>
      </c>
      <c r="C189" s="1780"/>
      <c r="D189" s="1780"/>
      <c r="E189" s="1780"/>
      <c r="F189" s="1772">
        <v>0.05</v>
      </c>
    </row>
    <row r="190" spans="1:6" ht="24.75" thickBot="1">
      <c r="A190" s="1766" t="s">
        <v>1402</v>
      </c>
      <c r="B190" s="1770" t="s">
        <v>2124</v>
      </c>
      <c r="C190" s="1780"/>
      <c r="D190" s="1780"/>
      <c r="E190" s="1780"/>
      <c r="F190" s="1772">
        <v>0.05</v>
      </c>
    </row>
    <row r="191" spans="1:6" ht="24.75" thickBot="1">
      <c r="A191" s="1766" t="s">
        <v>1402</v>
      </c>
      <c r="B191" s="1770" t="s">
        <v>2125</v>
      </c>
      <c r="C191" s="1780"/>
      <c r="D191" s="1780"/>
      <c r="E191" s="1780"/>
      <c r="F191" s="1772">
        <v>0.05</v>
      </c>
    </row>
    <row r="192" spans="1:6" ht="24.75" thickBot="1">
      <c r="A192" s="1766" t="s">
        <v>1402</v>
      </c>
      <c r="B192" s="1770" t="s">
        <v>2126</v>
      </c>
      <c r="C192" s="1780"/>
      <c r="D192" s="1780"/>
      <c r="E192" s="1780"/>
      <c r="F192" s="1772">
        <v>0.05</v>
      </c>
    </row>
    <row r="193" spans="1:6" ht="24.75" thickBot="1">
      <c r="A193" s="1766" t="s">
        <v>1402</v>
      </c>
      <c r="B193" s="1770" t="s">
        <v>2127</v>
      </c>
      <c r="C193" s="1780"/>
      <c r="D193" s="1780"/>
      <c r="E193" s="1780"/>
      <c r="F193" s="1772">
        <v>0.05</v>
      </c>
    </row>
    <row r="194" spans="1:6" ht="24.75" thickBot="1">
      <c r="A194" s="1766" t="s">
        <v>1402</v>
      </c>
      <c r="B194" s="1770" t="s">
        <v>2128</v>
      </c>
      <c r="C194" s="1780"/>
      <c r="D194" s="1780"/>
      <c r="E194" s="1780"/>
      <c r="F194" s="1772">
        <v>0.05</v>
      </c>
    </row>
    <row r="195" spans="1:6" ht="14.25" thickBot="1">
      <c r="A195" s="1766" t="s">
        <v>1402</v>
      </c>
      <c r="B195" s="1770" t="s">
        <v>2129</v>
      </c>
      <c r="C195" s="1780"/>
      <c r="D195" s="1780"/>
      <c r="E195" s="1780"/>
      <c r="F195" s="1772">
        <v>0.05</v>
      </c>
    </row>
    <row r="196" spans="1:6" ht="24.75" thickBot="1">
      <c r="A196" s="1766" t="s">
        <v>1402</v>
      </c>
      <c r="B196" s="1770" t="s">
        <v>2130</v>
      </c>
      <c r="C196" s="1780"/>
      <c r="D196" s="1780"/>
      <c r="E196" s="1780"/>
      <c r="F196" s="1772">
        <v>0.05</v>
      </c>
    </row>
    <row r="197" spans="1:6" ht="24.75" thickBot="1">
      <c r="A197" s="1766" t="s">
        <v>1402</v>
      </c>
      <c r="B197" s="1770" t="s">
        <v>2131</v>
      </c>
      <c r="C197" s="1780"/>
      <c r="D197" s="1780"/>
      <c r="E197" s="1780"/>
      <c r="F197" s="1772">
        <v>0.05</v>
      </c>
    </row>
    <row r="198" spans="1:6" ht="24.75" thickBot="1">
      <c r="A198" s="1766" t="s">
        <v>1402</v>
      </c>
      <c r="B198" s="1770" t="s">
        <v>2132</v>
      </c>
      <c r="C198" s="1780"/>
      <c r="D198" s="1780"/>
      <c r="E198" s="1780"/>
      <c r="F198" s="1772">
        <v>0.05</v>
      </c>
    </row>
    <row r="199" spans="1:6" ht="24.75" thickBot="1">
      <c r="A199" s="1766" t="s">
        <v>1402</v>
      </c>
      <c r="B199" s="1770" t="s">
        <v>2133</v>
      </c>
      <c r="C199" s="1780"/>
      <c r="D199" s="1780"/>
      <c r="E199" s="1780"/>
      <c r="F199" s="1772">
        <v>0.05</v>
      </c>
    </row>
    <row r="200" spans="1:6" ht="24.75" thickBot="1">
      <c r="A200" s="1766" t="s">
        <v>1402</v>
      </c>
      <c r="B200" s="1770" t="s">
        <v>2134</v>
      </c>
      <c r="C200" s="1780"/>
      <c r="D200" s="1780"/>
      <c r="E200" s="1780"/>
      <c r="F200" s="1772">
        <v>0.05</v>
      </c>
    </row>
    <row r="201" spans="1:6" ht="24.75" thickBot="1">
      <c r="A201" s="1766" t="s">
        <v>1402</v>
      </c>
      <c r="B201" s="1770" t="s">
        <v>2135</v>
      </c>
      <c r="C201" s="1780"/>
      <c r="D201" s="1780"/>
      <c r="E201" s="1780"/>
      <c r="F201" s="1772">
        <v>0.05</v>
      </c>
    </row>
    <row r="202" spans="1:6" ht="24.75" thickBot="1">
      <c r="A202" s="1766" t="s">
        <v>1402</v>
      </c>
      <c r="B202" s="1770" t="s">
        <v>2136</v>
      </c>
      <c r="C202" s="1780"/>
      <c r="D202" s="1780"/>
      <c r="E202" s="1780"/>
      <c r="F202" s="1772">
        <v>0.05</v>
      </c>
    </row>
    <row r="203" spans="1:6" ht="24.75" thickBot="1">
      <c r="A203" s="1766" t="s">
        <v>1402</v>
      </c>
      <c r="B203" s="1770" t="s">
        <v>2137</v>
      </c>
      <c r="C203" s="1780"/>
      <c r="D203" s="1780"/>
      <c r="E203" s="1780"/>
      <c r="F203" s="1772">
        <v>0.05</v>
      </c>
    </row>
    <row r="204" spans="1:6" ht="14.25" thickBot="1">
      <c r="A204" s="1766" t="s">
        <v>1402</v>
      </c>
      <c r="B204" s="1770" t="s">
        <v>2138</v>
      </c>
      <c r="C204" s="1780"/>
      <c r="D204" s="1780"/>
      <c r="E204" s="1780"/>
      <c r="F204" s="1772">
        <v>0.05</v>
      </c>
    </row>
    <row r="205" spans="1:6" ht="14.25" thickBot="1">
      <c r="A205" s="1774" t="s">
        <v>1402</v>
      </c>
      <c r="B205" s="1781" t="s">
        <v>2139</v>
      </c>
      <c r="C205" s="1777"/>
      <c r="D205" s="1777"/>
      <c r="E205" s="1777"/>
      <c r="F205" s="1782">
        <v>0.05</v>
      </c>
    </row>
    <row r="206" spans="1:6" ht="14.25" thickBot="1">
      <c r="A206" s="1766" t="s">
        <v>1404</v>
      </c>
      <c r="B206" s="1767" t="s">
        <v>2140</v>
      </c>
      <c r="C206" s="1768">
        <v>0.15</v>
      </c>
      <c r="D206" s="1768">
        <v>0.15</v>
      </c>
      <c r="E206" s="1768">
        <v>0.15</v>
      </c>
      <c r="F206" s="1769">
        <v>0.15</v>
      </c>
    </row>
    <row r="207" spans="1:6" ht="14.25" thickBot="1">
      <c r="A207" s="1766" t="s">
        <v>1404</v>
      </c>
      <c r="B207" s="1770" t="s">
        <v>1068</v>
      </c>
      <c r="C207" s="1771">
        <v>0.15</v>
      </c>
      <c r="D207" s="1771">
        <v>0.15</v>
      </c>
      <c r="E207" s="1771">
        <v>0.15</v>
      </c>
      <c r="F207" s="1772">
        <v>0.14399999999999999</v>
      </c>
    </row>
    <row r="208" spans="1:6" ht="14.25" thickBot="1">
      <c r="A208" s="1766" t="s">
        <v>1404</v>
      </c>
      <c r="B208" s="1770" t="s">
        <v>1082</v>
      </c>
      <c r="C208" s="1771">
        <v>0.15</v>
      </c>
      <c r="D208" s="1771">
        <v>0.15</v>
      </c>
      <c r="E208" s="1771">
        <v>0.15</v>
      </c>
      <c r="F208" s="1772">
        <v>0.15</v>
      </c>
    </row>
    <row r="209" spans="1:6" ht="14.25" thickBot="1">
      <c r="A209" s="1766" t="s">
        <v>1404</v>
      </c>
      <c r="B209" s="1770" t="s">
        <v>1095</v>
      </c>
      <c r="C209" s="1771">
        <v>0.13700000000000001</v>
      </c>
      <c r="D209" s="1771">
        <v>0.13700000000000001</v>
      </c>
      <c r="E209" s="1771">
        <v>0.14000000000000001</v>
      </c>
      <c r="F209" s="1772">
        <v>0.11700000000000001</v>
      </c>
    </row>
    <row r="210" spans="1:6" ht="14.25" thickBot="1">
      <c r="A210" s="1766" t="s">
        <v>1404</v>
      </c>
      <c r="B210" s="1770" t="s">
        <v>2141</v>
      </c>
      <c r="C210" s="1771">
        <v>0.15</v>
      </c>
      <c r="D210" s="1771">
        <v>0.15</v>
      </c>
      <c r="E210" s="1771">
        <v>0.15</v>
      </c>
      <c r="F210" s="1772">
        <v>0.13800000000000001</v>
      </c>
    </row>
    <row r="211" spans="1:6" ht="14.25" thickBot="1">
      <c r="A211" s="1766" t="s">
        <v>1404</v>
      </c>
      <c r="B211" s="1770" t="s">
        <v>2142</v>
      </c>
      <c r="C211" s="1771">
        <v>0.13700000000000001</v>
      </c>
      <c r="D211" s="1771">
        <v>0.13500000000000001</v>
      </c>
      <c r="E211" s="1771">
        <v>0.13600000000000001</v>
      </c>
      <c r="F211" s="1772">
        <v>0.1</v>
      </c>
    </row>
    <row r="212" spans="1:6" ht="14.25" thickBot="1">
      <c r="A212" s="1766" t="s">
        <v>1404</v>
      </c>
      <c r="B212" s="1770" t="s">
        <v>2143</v>
      </c>
      <c r="C212" s="1771">
        <v>0.15</v>
      </c>
      <c r="D212" s="1771">
        <v>0.15</v>
      </c>
      <c r="E212" s="1771">
        <v>0.14799999999999999</v>
      </c>
      <c r="F212" s="1772">
        <v>0.13600000000000001</v>
      </c>
    </row>
    <row r="213" spans="1:6" ht="14.25" thickBot="1">
      <c r="A213" s="1766" t="s">
        <v>1404</v>
      </c>
      <c r="B213" s="1770" t="s">
        <v>1142</v>
      </c>
      <c r="C213" s="1771">
        <v>0.15</v>
      </c>
      <c r="D213" s="1771">
        <v>0.15</v>
      </c>
      <c r="E213" s="1771">
        <v>0.15</v>
      </c>
      <c r="F213" s="1772">
        <v>0.13800000000000001</v>
      </c>
    </row>
    <row r="214" spans="1:6" ht="14.25" thickBot="1">
      <c r="A214" s="1766" t="s">
        <v>1404</v>
      </c>
      <c r="B214" s="1770" t="s">
        <v>1154</v>
      </c>
      <c r="C214" s="1771">
        <v>9.0999999999999998E-2</v>
      </c>
      <c r="D214" s="1771">
        <v>0.09</v>
      </c>
      <c r="E214" s="1771">
        <v>9.1999999999999998E-2</v>
      </c>
      <c r="F214" s="1779"/>
    </row>
    <row r="215" spans="1:6" ht="14.25" thickBot="1">
      <c r="A215" s="1766" t="s">
        <v>1404</v>
      </c>
      <c r="B215" s="1770" t="s">
        <v>2144</v>
      </c>
      <c r="C215" s="1771">
        <v>0.15</v>
      </c>
      <c r="D215" s="1771">
        <v>0.15</v>
      </c>
      <c r="E215" s="1771">
        <v>0.15</v>
      </c>
      <c r="F215" s="1772">
        <v>0.15</v>
      </c>
    </row>
    <row r="216" spans="1:6" ht="14.25" thickBot="1">
      <c r="A216" s="1766" t="s">
        <v>1404</v>
      </c>
      <c r="B216" s="1770" t="s">
        <v>1174</v>
      </c>
      <c r="C216" s="1771">
        <v>0.14699999999999999</v>
      </c>
      <c r="D216" s="1771">
        <v>0.14699999999999999</v>
      </c>
      <c r="E216" s="1771">
        <v>0.15</v>
      </c>
      <c r="F216" s="1772">
        <v>0.14000000000000001</v>
      </c>
    </row>
    <row r="217" spans="1:6" ht="14.25" thickBot="1">
      <c r="A217" s="1766" t="s">
        <v>1404</v>
      </c>
      <c r="B217" s="1770" t="s">
        <v>1184</v>
      </c>
      <c r="C217" s="1771">
        <v>0.15</v>
      </c>
      <c r="D217" s="1771">
        <v>0.15</v>
      </c>
      <c r="E217" s="1771">
        <v>0.15</v>
      </c>
      <c r="F217" s="1772">
        <v>0.15</v>
      </c>
    </row>
    <row r="218" spans="1:6" ht="14.25" thickBot="1">
      <c r="A218" s="1766" t="s">
        <v>1404</v>
      </c>
      <c r="B218" s="1770" t="s">
        <v>2145</v>
      </c>
      <c r="C218" s="1771">
        <v>0.15</v>
      </c>
      <c r="D218" s="1771">
        <v>0.15</v>
      </c>
      <c r="E218" s="1771">
        <v>0.15</v>
      </c>
      <c r="F218" s="1772">
        <v>0.15</v>
      </c>
    </row>
    <row r="219" spans="1:6" ht="14.25" thickBot="1">
      <c r="A219" s="1766" t="s">
        <v>1404</v>
      </c>
      <c r="B219" s="1770" t="s">
        <v>1204</v>
      </c>
      <c r="C219" s="1771">
        <v>0.15</v>
      </c>
      <c r="D219" s="1771">
        <v>0.15</v>
      </c>
      <c r="E219" s="1771">
        <v>0.15</v>
      </c>
      <c r="F219" s="1772">
        <v>0.14799999999999999</v>
      </c>
    </row>
    <row r="220" spans="1:6" ht="14.25" thickBot="1">
      <c r="A220" s="1766" t="s">
        <v>1404</v>
      </c>
      <c r="B220" s="1770" t="s">
        <v>2146</v>
      </c>
      <c r="C220" s="1771">
        <v>0.15</v>
      </c>
      <c r="D220" s="1771">
        <v>0.15</v>
      </c>
      <c r="E220" s="1771">
        <v>0.15</v>
      </c>
      <c r="F220" s="1772">
        <v>0.15</v>
      </c>
    </row>
    <row r="221" spans="1:6" ht="14.25" thickBot="1">
      <c r="A221" s="1766" t="s">
        <v>1404</v>
      </c>
      <c r="B221" s="1770" t="s">
        <v>1224</v>
      </c>
      <c r="C221" s="1771"/>
      <c r="D221" s="1780"/>
      <c r="E221" s="1780"/>
      <c r="F221" s="1772">
        <v>0.14799999999999999</v>
      </c>
    </row>
    <row r="222" spans="1:6" ht="14.25" thickBot="1">
      <c r="A222" s="1766" t="s">
        <v>1404</v>
      </c>
      <c r="B222" s="1770" t="s">
        <v>1234</v>
      </c>
      <c r="C222" s="1771"/>
      <c r="D222" s="1780"/>
      <c r="E222" s="1780"/>
      <c r="F222" s="1772">
        <v>0.1</v>
      </c>
    </row>
    <row r="223" spans="1:6" ht="14.25" thickBot="1">
      <c r="A223" s="1766" t="s">
        <v>1404</v>
      </c>
      <c r="B223" s="1770" t="s">
        <v>1244</v>
      </c>
      <c r="C223" s="1771"/>
      <c r="D223" s="1780"/>
      <c r="E223" s="1780"/>
      <c r="F223" s="1772">
        <v>0.15</v>
      </c>
    </row>
    <row r="224" spans="1:6" ht="14.25" thickBot="1">
      <c r="A224" s="1766" t="s">
        <v>1404</v>
      </c>
      <c r="B224" s="1770" t="s">
        <v>1254</v>
      </c>
      <c r="C224" s="1771"/>
      <c r="D224" s="1780"/>
      <c r="E224" s="1780"/>
      <c r="F224" s="1772">
        <v>0.15</v>
      </c>
    </row>
    <row r="225" spans="1:6" ht="14.25" thickBot="1">
      <c r="A225" s="1766" t="s">
        <v>1404</v>
      </c>
      <c r="B225" s="1770" t="s">
        <v>2147</v>
      </c>
      <c r="C225" s="1771">
        <v>0.15</v>
      </c>
      <c r="D225" s="1771">
        <v>0.15</v>
      </c>
      <c r="E225" s="1771">
        <v>0.15</v>
      </c>
      <c r="F225" s="1772">
        <v>0.15</v>
      </c>
    </row>
    <row r="226" spans="1:6" ht="14.25" thickBot="1">
      <c r="A226" s="1766" t="s">
        <v>1404</v>
      </c>
      <c r="B226" s="1770" t="s">
        <v>1272</v>
      </c>
      <c r="C226" s="1771">
        <v>0.15</v>
      </c>
      <c r="D226" s="1771">
        <v>0.15</v>
      </c>
      <c r="E226" s="1771">
        <v>0.15</v>
      </c>
      <c r="F226" s="1772">
        <v>0.14799999999999999</v>
      </c>
    </row>
    <row r="227" spans="1:6" ht="14.25" thickBot="1">
      <c r="A227" s="1766" t="s">
        <v>1404</v>
      </c>
      <c r="B227" s="1770" t="s">
        <v>2148</v>
      </c>
      <c r="C227" s="1771">
        <v>0.15</v>
      </c>
      <c r="D227" s="1771">
        <v>0.15</v>
      </c>
      <c r="E227" s="1771">
        <v>0.15</v>
      </c>
      <c r="F227" s="1772">
        <v>0.15</v>
      </c>
    </row>
    <row r="228" spans="1:6" ht="14.25" thickBot="1">
      <c r="A228" s="1766" t="s">
        <v>1404</v>
      </c>
      <c r="B228" s="1770" t="s">
        <v>1287</v>
      </c>
      <c r="C228" s="1771">
        <v>0.15</v>
      </c>
      <c r="D228" s="1771">
        <v>0.15</v>
      </c>
      <c r="E228" s="1771">
        <v>0.15</v>
      </c>
      <c r="F228" s="1772">
        <v>0.15</v>
      </c>
    </row>
    <row r="229" spans="1:6" ht="14.25" thickBot="1">
      <c r="A229" s="1766" t="s">
        <v>1404</v>
      </c>
      <c r="B229" s="1770" t="s">
        <v>1294</v>
      </c>
      <c r="C229" s="1771">
        <v>0.15</v>
      </c>
      <c r="D229" s="1771">
        <v>0.15</v>
      </c>
      <c r="E229" s="1771">
        <v>0.15</v>
      </c>
      <c r="F229" s="1779"/>
    </row>
    <row r="230" spans="1:6" ht="14.25" thickBot="1">
      <c r="A230" s="1766" t="s">
        <v>1404</v>
      </c>
      <c r="B230" s="1770" t="s">
        <v>1301</v>
      </c>
      <c r="C230" s="1771">
        <v>0.14499999999999999</v>
      </c>
      <c r="D230" s="1771">
        <v>0.14499999999999999</v>
      </c>
      <c r="E230" s="1771">
        <v>0.14399999999999999</v>
      </c>
      <c r="F230" s="1779"/>
    </row>
    <row r="231" spans="1:6" ht="14.25" thickBot="1">
      <c r="A231" s="1766" t="s">
        <v>1404</v>
      </c>
      <c r="B231" s="1770" t="s">
        <v>2149</v>
      </c>
      <c r="C231" s="1771">
        <v>0.128</v>
      </c>
      <c r="D231" s="1771">
        <v>0.125</v>
      </c>
      <c r="E231" s="1771">
        <v>0.13200000000000001</v>
      </c>
      <c r="F231" s="1779"/>
    </row>
    <row r="232" spans="1:6" ht="14.25" thickBot="1">
      <c r="A232" s="1766" t="s">
        <v>1404</v>
      </c>
      <c r="B232" s="1770" t="s">
        <v>2150</v>
      </c>
      <c r="C232" s="1771">
        <v>0.14499999999999999</v>
      </c>
      <c r="D232" s="1771">
        <v>0.14399999999999999</v>
      </c>
      <c r="E232" s="1771">
        <v>0.14599999999999999</v>
      </c>
      <c r="F232" s="1772">
        <v>0.13800000000000001</v>
      </c>
    </row>
    <row r="233" spans="1:6" ht="14.25" thickBot="1">
      <c r="A233" s="1766" t="s">
        <v>1404</v>
      </c>
      <c r="B233" s="1770" t="s">
        <v>2151</v>
      </c>
      <c r="C233" s="1771">
        <v>0.14499999999999999</v>
      </c>
      <c r="D233" s="1771">
        <v>0.14299999999999999</v>
      </c>
      <c r="E233" s="1771">
        <v>0.14199999999999999</v>
      </c>
      <c r="F233" s="1779"/>
    </row>
    <row r="234" spans="1:6" ht="14.25" thickBot="1">
      <c r="A234" s="1766" t="s">
        <v>1404</v>
      </c>
      <c r="B234" s="1770" t="s">
        <v>2152</v>
      </c>
      <c r="C234" s="1771">
        <v>0.14000000000000001</v>
      </c>
      <c r="D234" s="1771">
        <v>0.14000000000000001</v>
      </c>
      <c r="E234" s="1771">
        <v>0.14399999999999999</v>
      </c>
      <c r="F234" s="1779"/>
    </row>
    <row r="235" spans="1:6" ht="14.25" thickBot="1">
      <c r="A235" s="1766" t="s">
        <v>1404</v>
      </c>
      <c r="B235" s="1770" t="s">
        <v>2153</v>
      </c>
      <c r="C235" s="1771">
        <v>0.14099999999999999</v>
      </c>
      <c r="D235" s="1771">
        <v>0.14199999999999999</v>
      </c>
      <c r="E235" s="1771">
        <v>0.14499999999999999</v>
      </c>
      <c r="F235" s="1772">
        <v>0.15</v>
      </c>
    </row>
    <row r="236" spans="1:6" ht="14.25" thickBot="1">
      <c r="A236" s="1766" t="s">
        <v>1404</v>
      </c>
      <c r="B236" s="1770" t="s">
        <v>1336</v>
      </c>
      <c r="C236" s="1780"/>
      <c r="D236" s="1780"/>
      <c r="E236" s="1780"/>
      <c r="F236" s="1772">
        <v>0.14299999999999999</v>
      </c>
    </row>
    <row r="237" spans="1:6" ht="24.75" thickBot="1">
      <c r="A237" s="1766" t="s">
        <v>1404</v>
      </c>
      <c r="B237" s="1770" t="s">
        <v>2154</v>
      </c>
      <c r="C237" s="1780"/>
      <c r="D237" s="1780"/>
      <c r="E237" s="1780"/>
      <c r="F237" s="1772">
        <v>0.05</v>
      </c>
    </row>
    <row r="238" spans="1:6" ht="24.75" thickBot="1">
      <c r="A238" s="1766" t="s">
        <v>1404</v>
      </c>
      <c r="B238" s="1770" t="s">
        <v>2155</v>
      </c>
      <c r="C238" s="1780"/>
      <c r="D238" s="1780"/>
      <c r="E238" s="1780"/>
      <c r="F238" s="1772">
        <v>0.05</v>
      </c>
    </row>
    <row r="239" spans="1:6" ht="24.75" thickBot="1">
      <c r="A239" s="1766" t="s">
        <v>1404</v>
      </c>
      <c r="B239" s="1770" t="s">
        <v>2156</v>
      </c>
      <c r="C239" s="1780"/>
      <c r="D239" s="1780"/>
      <c r="E239" s="1780"/>
      <c r="F239" s="1772">
        <v>0.05</v>
      </c>
    </row>
    <row r="240" spans="1:6" ht="24.75" thickBot="1">
      <c r="A240" s="1766" t="s">
        <v>1404</v>
      </c>
      <c r="B240" s="1770" t="s">
        <v>2157</v>
      </c>
      <c r="C240" s="1780"/>
      <c r="D240" s="1780"/>
      <c r="E240" s="1780"/>
      <c r="F240" s="1772">
        <v>0.05</v>
      </c>
    </row>
    <row r="241" spans="1:6" ht="24.75" thickBot="1">
      <c r="A241" s="1766" t="s">
        <v>1404</v>
      </c>
      <c r="B241" s="1770" t="s">
        <v>2158</v>
      </c>
      <c r="C241" s="1780"/>
      <c r="D241" s="1780"/>
      <c r="E241" s="1780"/>
      <c r="F241" s="1772">
        <v>0.05</v>
      </c>
    </row>
    <row r="242" spans="1:6" ht="24.75" thickBot="1">
      <c r="A242" s="1766" t="s">
        <v>1404</v>
      </c>
      <c r="B242" s="1770" t="s">
        <v>2159</v>
      </c>
      <c r="C242" s="1780"/>
      <c r="D242" s="1780"/>
      <c r="E242" s="1780"/>
      <c r="F242" s="1772">
        <v>0.05</v>
      </c>
    </row>
    <row r="243" spans="1:6" ht="24.75" thickBot="1">
      <c r="A243" s="1766" t="s">
        <v>1404</v>
      </c>
      <c r="B243" s="1770" t="s">
        <v>2160</v>
      </c>
      <c r="C243" s="1780"/>
      <c r="D243" s="1780"/>
      <c r="E243" s="1780"/>
      <c r="F243" s="1772">
        <v>0.05</v>
      </c>
    </row>
    <row r="244" spans="1:6" ht="24.75" thickBot="1">
      <c r="A244" s="1774" t="s">
        <v>1404</v>
      </c>
      <c r="B244" s="1781" t="s">
        <v>2161</v>
      </c>
      <c r="C244" s="1777"/>
      <c r="D244" s="1777"/>
      <c r="E244" s="1777"/>
      <c r="F244" s="1782">
        <v>0.05</v>
      </c>
    </row>
    <row r="245" spans="1:6" ht="14.25" thickBot="1">
      <c r="A245" s="1766" t="s">
        <v>1406</v>
      </c>
      <c r="B245" s="1767" t="s">
        <v>2162</v>
      </c>
      <c r="C245" s="1768">
        <v>0.15</v>
      </c>
      <c r="D245" s="1768">
        <v>0.15</v>
      </c>
      <c r="E245" s="1768">
        <v>0.15</v>
      </c>
      <c r="F245" s="1769">
        <v>0.14299999999999999</v>
      </c>
    </row>
    <row r="246" spans="1:6" ht="14.25" thickBot="1">
      <c r="A246" s="1766" t="s">
        <v>1406</v>
      </c>
      <c r="B246" s="1770" t="s">
        <v>1069</v>
      </c>
      <c r="C246" s="1771">
        <v>0.15</v>
      </c>
      <c r="D246" s="1771">
        <v>0.15</v>
      </c>
      <c r="E246" s="1771">
        <v>0.15</v>
      </c>
      <c r="F246" s="1772">
        <v>0.114</v>
      </c>
    </row>
    <row r="247" spans="1:6" ht="14.25" thickBot="1">
      <c r="A247" s="1766" t="s">
        <v>1406</v>
      </c>
      <c r="B247" s="1770" t="s">
        <v>2163</v>
      </c>
      <c r="C247" s="1771">
        <v>0.15</v>
      </c>
      <c r="D247" s="1771">
        <v>0.15</v>
      </c>
      <c r="E247" s="1771">
        <v>0.15</v>
      </c>
      <c r="F247" s="1772">
        <v>0.15</v>
      </c>
    </row>
    <row r="248" spans="1:6" ht="14.25" thickBot="1">
      <c r="A248" s="1766" t="s">
        <v>1406</v>
      </c>
      <c r="B248" s="1770" t="s">
        <v>2164</v>
      </c>
      <c r="C248" s="1771">
        <v>0.15</v>
      </c>
      <c r="D248" s="1771">
        <v>0.15</v>
      </c>
      <c r="E248" s="1771">
        <v>0.15</v>
      </c>
      <c r="F248" s="1772">
        <v>0.14000000000000001</v>
      </c>
    </row>
    <row r="249" spans="1:6" ht="14.25" thickBot="1">
      <c r="A249" s="1766" t="s">
        <v>1406</v>
      </c>
      <c r="B249" s="1770" t="s">
        <v>2165</v>
      </c>
      <c r="C249" s="1771">
        <v>0.15</v>
      </c>
      <c r="D249" s="1771">
        <v>0.14899999999999999</v>
      </c>
      <c r="E249" s="1771">
        <v>0.15</v>
      </c>
      <c r="F249" s="1772">
        <v>0.1</v>
      </c>
    </row>
    <row r="250" spans="1:6" ht="14.25" thickBot="1">
      <c r="A250" s="1766" t="s">
        <v>1406</v>
      </c>
      <c r="B250" s="1770" t="s">
        <v>2166</v>
      </c>
      <c r="C250" s="1771">
        <v>0.15</v>
      </c>
      <c r="D250" s="1771">
        <v>0.15</v>
      </c>
      <c r="E250" s="1771">
        <v>0.15</v>
      </c>
      <c r="F250" s="1772">
        <v>0.14399999999999999</v>
      </c>
    </row>
    <row r="251" spans="1:6" ht="14.25" thickBot="1">
      <c r="A251" s="1766" t="s">
        <v>1406</v>
      </c>
      <c r="B251" s="1770" t="s">
        <v>1132</v>
      </c>
      <c r="C251" s="1771">
        <v>0.15</v>
      </c>
      <c r="D251" s="1771">
        <v>0.15</v>
      </c>
      <c r="E251" s="1771">
        <v>0.15</v>
      </c>
      <c r="F251" s="1772">
        <v>0.14299999999999999</v>
      </c>
    </row>
    <row r="252" spans="1:6" ht="14.25" thickBot="1">
      <c r="A252" s="1766" t="s">
        <v>1406</v>
      </c>
      <c r="B252" s="1770" t="s">
        <v>1143</v>
      </c>
      <c r="C252" s="1771">
        <v>0.15</v>
      </c>
      <c r="D252" s="1771">
        <v>0.15</v>
      </c>
      <c r="E252" s="1771">
        <v>0.15</v>
      </c>
      <c r="F252" s="1772">
        <v>0.1</v>
      </c>
    </row>
    <row r="253" spans="1:6" ht="14.25" thickBot="1">
      <c r="A253" s="1766" t="s">
        <v>1406</v>
      </c>
      <c r="B253" s="1770" t="s">
        <v>1155</v>
      </c>
      <c r="C253" s="1771">
        <v>0.15</v>
      </c>
      <c r="D253" s="1771">
        <v>0.15</v>
      </c>
      <c r="E253" s="1771">
        <v>0.15</v>
      </c>
      <c r="F253" s="1772">
        <v>0.1</v>
      </c>
    </row>
    <row r="254" spans="1:6" ht="14.25" thickBot="1">
      <c r="A254" s="1766" t="s">
        <v>1406</v>
      </c>
      <c r="B254" s="1770" t="s">
        <v>1165</v>
      </c>
      <c r="C254" s="1780"/>
      <c r="D254" s="1780"/>
      <c r="E254" s="1780"/>
      <c r="F254" s="1772">
        <v>0.15</v>
      </c>
    </row>
    <row r="255" spans="1:6" ht="14.25" thickBot="1">
      <c r="A255" s="1766" t="s">
        <v>1406</v>
      </c>
      <c r="B255" s="1770" t="s">
        <v>1175</v>
      </c>
      <c r="C255" s="1780"/>
      <c r="D255" s="1780"/>
      <c r="E255" s="1780"/>
      <c r="F255" s="1772">
        <v>0.14299999999999999</v>
      </c>
    </row>
    <row r="256" spans="1:6" ht="14.25" thickBot="1">
      <c r="A256" s="1766" t="s">
        <v>1406</v>
      </c>
      <c r="B256" s="1770" t="s">
        <v>2167</v>
      </c>
      <c r="C256" s="1771">
        <v>0.14599999999999999</v>
      </c>
      <c r="D256" s="1771">
        <v>0.14699999999999999</v>
      </c>
      <c r="E256" s="1771">
        <v>0.15</v>
      </c>
      <c r="F256" s="1772">
        <v>0.13200000000000001</v>
      </c>
    </row>
    <row r="257" spans="1:6" ht="14.25" thickBot="1">
      <c r="A257" s="1766" t="s">
        <v>1406</v>
      </c>
      <c r="B257" s="1770" t="s">
        <v>1195</v>
      </c>
      <c r="C257" s="1771">
        <v>0.15</v>
      </c>
      <c r="D257" s="1771">
        <v>0.15</v>
      </c>
      <c r="E257" s="1771">
        <v>0.15</v>
      </c>
      <c r="F257" s="1772">
        <v>0.13900000000000001</v>
      </c>
    </row>
    <row r="258" spans="1:6" ht="14.25" thickBot="1">
      <c r="A258" s="1766" t="s">
        <v>1406</v>
      </c>
      <c r="B258" s="1770" t="s">
        <v>1205</v>
      </c>
      <c r="C258" s="1771">
        <v>0.15</v>
      </c>
      <c r="D258" s="1771">
        <v>0.15</v>
      </c>
      <c r="E258" s="1771">
        <v>0.15</v>
      </c>
      <c r="F258" s="1772">
        <v>0.13</v>
      </c>
    </row>
    <row r="259" spans="1:6" ht="14.25" thickBot="1">
      <c r="A259" s="1766" t="s">
        <v>1406</v>
      </c>
      <c r="B259" s="1770" t="s">
        <v>2168</v>
      </c>
      <c r="C259" s="1771">
        <v>0.14799999999999999</v>
      </c>
      <c r="D259" s="1771">
        <v>0.14899999999999999</v>
      </c>
      <c r="E259" s="1771">
        <v>0.15</v>
      </c>
      <c r="F259" s="1772">
        <v>0.13700000000000001</v>
      </c>
    </row>
    <row r="260" spans="1:6" ht="14.25" thickBot="1">
      <c r="A260" s="1766" t="s">
        <v>1406</v>
      </c>
      <c r="B260" s="1770" t="s">
        <v>1225</v>
      </c>
      <c r="C260" s="1771">
        <v>0.15</v>
      </c>
      <c r="D260" s="1771">
        <v>0.15</v>
      </c>
      <c r="E260" s="1771">
        <v>0.15</v>
      </c>
      <c r="F260" s="1772">
        <v>0.14199999999999999</v>
      </c>
    </row>
    <row r="261" spans="1:6" ht="14.25" thickBot="1">
      <c r="A261" s="1766" t="s">
        <v>1406</v>
      </c>
      <c r="B261" s="1770" t="s">
        <v>1235</v>
      </c>
      <c r="C261" s="1771">
        <v>0.15</v>
      </c>
      <c r="D261" s="1771">
        <v>0.15</v>
      </c>
      <c r="E261" s="1771">
        <v>0.14899999999999999</v>
      </c>
      <c r="F261" s="1772">
        <v>0.14799999999999999</v>
      </c>
    </row>
    <row r="262" spans="1:6" ht="14.25" thickBot="1">
      <c r="A262" s="1766" t="s">
        <v>1406</v>
      </c>
      <c r="B262" s="1770" t="s">
        <v>1245</v>
      </c>
      <c r="C262" s="1771">
        <v>0.15</v>
      </c>
      <c r="D262" s="1771">
        <v>0.15</v>
      </c>
      <c r="E262" s="1771">
        <v>0.15</v>
      </c>
      <c r="F262" s="1779"/>
    </row>
    <row r="263" spans="1:6" ht="14.25" thickBot="1">
      <c r="A263" s="1766" t="s">
        <v>1406</v>
      </c>
      <c r="B263" s="1770" t="s">
        <v>2169</v>
      </c>
      <c r="C263" s="1771">
        <v>0.14899999999999999</v>
      </c>
      <c r="D263" s="1771">
        <v>0.14899999999999999</v>
      </c>
      <c r="E263" s="1771">
        <v>0.15</v>
      </c>
      <c r="F263" s="1772">
        <v>0.13</v>
      </c>
    </row>
    <row r="264" spans="1:6" ht="14.25" thickBot="1">
      <c r="A264" s="1766" t="s">
        <v>1406</v>
      </c>
      <c r="B264" s="1770" t="s">
        <v>1264</v>
      </c>
      <c r="C264" s="1771">
        <v>0.14799999999999999</v>
      </c>
      <c r="D264" s="1771">
        <v>0.14699999999999999</v>
      </c>
      <c r="E264" s="1771">
        <v>0.15</v>
      </c>
      <c r="F264" s="1772">
        <v>7.8E-2</v>
      </c>
    </row>
    <row r="265" spans="1:6" ht="14.25" thickBot="1">
      <c r="A265" s="1766" t="s">
        <v>1406</v>
      </c>
      <c r="B265" s="1770" t="s">
        <v>1273</v>
      </c>
      <c r="C265" s="1771">
        <v>0.15</v>
      </c>
      <c r="D265" s="1771">
        <v>0.15</v>
      </c>
      <c r="E265" s="1771">
        <v>0.15</v>
      </c>
      <c r="F265" s="1772">
        <v>7.3999999999999996E-2</v>
      </c>
    </row>
    <row r="266" spans="1:6" ht="14.25" thickBot="1">
      <c r="A266" s="1766" t="s">
        <v>1406</v>
      </c>
      <c r="B266" s="1770" t="s">
        <v>1281</v>
      </c>
      <c r="C266" s="1771">
        <v>0.14699999999999999</v>
      </c>
      <c r="D266" s="1771">
        <v>0.14699999999999999</v>
      </c>
      <c r="E266" s="1771">
        <v>0.15</v>
      </c>
      <c r="F266" s="1772">
        <v>0.14299999999999999</v>
      </c>
    </row>
    <row r="267" spans="1:6" ht="14.25" thickBot="1">
      <c r="A267" s="1766" t="s">
        <v>1406</v>
      </c>
      <c r="B267" s="1770" t="s">
        <v>1288</v>
      </c>
      <c r="C267" s="1771">
        <v>0.14199999999999999</v>
      </c>
      <c r="D267" s="1771">
        <v>0.14299999999999999</v>
      </c>
      <c r="E267" s="1771">
        <v>0.15</v>
      </c>
      <c r="F267" s="1779"/>
    </row>
    <row r="268" spans="1:6" ht="14.25" thickBot="1">
      <c r="A268" s="1766" t="s">
        <v>1406</v>
      </c>
      <c r="B268" s="1770" t="s">
        <v>2170</v>
      </c>
      <c r="C268" s="1771">
        <v>0.15</v>
      </c>
      <c r="D268" s="1771">
        <v>0.15</v>
      </c>
      <c r="E268" s="1771">
        <v>0.15</v>
      </c>
      <c r="F268" s="1772">
        <v>0.13</v>
      </c>
    </row>
    <row r="269" spans="1:6" ht="14.25" thickBot="1">
      <c r="A269" s="1766" t="s">
        <v>1406</v>
      </c>
      <c r="B269" s="1770" t="s">
        <v>1302</v>
      </c>
      <c r="C269" s="1771">
        <v>0.15</v>
      </c>
      <c r="D269" s="1771">
        <v>0.15</v>
      </c>
      <c r="E269" s="1771">
        <v>0.15</v>
      </c>
      <c r="F269" s="1772">
        <v>0.14299999999999999</v>
      </c>
    </row>
    <row r="270" spans="1:6" ht="14.25" thickBot="1">
      <c r="A270" s="1766" t="s">
        <v>1406</v>
      </c>
      <c r="B270" s="1770" t="s">
        <v>1309</v>
      </c>
      <c r="C270" s="1771">
        <v>0.14499999999999999</v>
      </c>
      <c r="D270" s="1771">
        <v>0.14499999999999999</v>
      </c>
      <c r="E270" s="1771">
        <v>0.15</v>
      </c>
      <c r="F270" s="1772">
        <v>0.14699999999999999</v>
      </c>
    </row>
    <row r="271" spans="1:6" ht="14.25" thickBot="1">
      <c r="A271" s="1766" t="s">
        <v>1406</v>
      </c>
      <c r="B271" s="1770" t="s">
        <v>1316</v>
      </c>
      <c r="C271" s="1771">
        <v>0.15</v>
      </c>
      <c r="D271" s="1771">
        <v>0.15</v>
      </c>
      <c r="E271" s="1771">
        <v>0.15</v>
      </c>
      <c r="F271" s="1772">
        <v>0.13800000000000001</v>
      </c>
    </row>
    <row r="272" spans="1:6" ht="14.25" thickBot="1">
      <c r="A272" s="1766" t="s">
        <v>1406</v>
      </c>
      <c r="B272" s="1770" t="s">
        <v>1323</v>
      </c>
      <c r="C272" s="1780"/>
      <c r="D272" s="1780"/>
      <c r="E272" s="1780"/>
      <c r="F272" s="1772">
        <v>0.14000000000000001</v>
      </c>
    </row>
    <row r="273" spans="1:6" ht="14.25" thickBot="1">
      <c r="A273" s="1766" t="s">
        <v>1406</v>
      </c>
      <c r="B273" s="1770" t="s">
        <v>2171</v>
      </c>
      <c r="C273" s="1771">
        <v>0.14199999999999999</v>
      </c>
      <c r="D273" s="1771">
        <v>0.14299999999999999</v>
      </c>
      <c r="E273" s="1771">
        <v>0.15</v>
      </c>
      <c r="F273" s="1772">
        <v>0.1</v>
      </c>
    </row>
    <row r="274" spans="1:6" ht="14.25" thickBot="1">
      <c r="A274" s="1766" t="s">
        <v>1406</v>
      </c>
      <c r="B274" s="1770" t="s">
        <v>2172</v>
      </c>
      <c r="C274" s="1771">
        <v>0.14799999999999999</v>
      </c>
      <c r="D274" s="1771">
        <v>0.14799999999999999</v>
      </c>
      <c r="E274" s="1771">
        <v>0.15</v>
      </c>
      <c r="F274" s="1772">
        <v>6.7000000000000004E-2</v>
      </c>
    </row>
    <row r="275" spans="1:6" ht="14.25" thickBot="1">
      <c r="A275" s="1766" t="s">
        <v>1406</v>
      </c>
      <c r="B275" s="1770" t="s">
        <v>2173</v>
      </c>
      <c r="C275" s="1771">
        <v>0.15</v>
      </c>
      <c r="D275" s="1771">
        <v>0.15</v>
      </c>
      <c r="E275" s="1771">
        <v>0.15</v>
      </c>
      <c r="F275" s="1772">
        <v>0.15</v>
      </c>
    </row>
    <row r="276" spans="1:6" ht="14.25" thickBot="1">
      <c r="A276" s="1766" t="s">
        <v>1406</v>
      </c>
      <c r="B276" s="1770" t="s">
        <v>2174</v>
      </c>
      <c r="C276" s="1771">
        <v>0.14499999999999999</v>
      </c>
      <c r="D276" s="1771">
        <v>0.14299999999999999</v>
      </c>
      <c r="E276" s="1771">
        <v>0.15</v>
      </c>
      <c r="F276" s="1772">
        <v>5.8999999999999997E-2</v>
      </c>
    </row>
    <row r="277" spans="1:6" ht="14.25" thickBot="1">
      <c r="A277" s="1766" t="s">
        <v>1406</v>
      </c>
      <c r="B277" s="1770" t="s">
        <v>2175</v>
      </c>
      <c r="C277" s="1771">
        <v>0.15</v>
      </c>
      <c r="D277" s="1771">
        <v>0.15</v>
      </c>
      <c r="E277" s="1771">
        <v>0.15</v>
      </c>
      <c r="F277" s="1772">
        <v>0.121</v>
      </c>
    </row>
    <row r="278" spans="1:6" ht="14.25" thickBot="1">
      <c r="A278" s="1766" t="s">
        <v>1406</v>
      </c>
      <c r="B278" s="1770" t="s">
        <v>2176</v>
      </c>
      <c r="C278" s="1771">
        <v>0.15</v>
      </c>
      <c r="D278" s="1771">
        <v>0.15</v>
      </c>
      <c r="E278" s="1771">
        <v>0.15</v>
      </c>
      <c r="F278" s="1772">
        <v>0.13800000000000001</v>
      </c>
    </row>
    <row r="279" spans="1:6" ht="24.75" thickBot="1">
      <c r="A279" s="1766" t="s">
        <v>1406</v>
      </c>
      <c r="B279" s="1770" t="s">
        <v>2177</v>
      </c>
      <c r="C279" s="1780"/>
      <c r="D279" s="1780"/>
      <c r="E279" s="1780"/>
      <c r="F279" s="1772">
        <v>0.05</v>
      </c>
    </row>
    <row r="280" spans="1:6" ht="24.75" thickBot="1">
      <c r="A280" s="1766" t="s">
        <v>1406</v>
      </c>
      <c r="B280" s="1770" t="s">
        <v>2178</v>
      </c>
      <c r="C280" s="1780"/>
      <c r="D280" s="1780"/>
      <c r="E280" s="1780"/>
      <c r="F280" s="1772">
        <v>0.05</v>
      </c>
    </row>
    <row r="281" spans="1:6" ht="24.75" thickBot="1">
      <c r="A281" s="1766" t="s">
        <v>1406</v>
      </c>
      <c r="B281" s="1770" t="s">
        <v>2179</v>
      </c>
      <c r="C281" s="1780"/>
      <c r="D281" s="1780"/>
      <c r="E281" s="1780"/>
      <c r="F281" s="1772">
        <v>0.05</v>
      </c>
    </row>
    <row r="282" spans="1:6" ht="24.75" thickBot="1">
      <c r="A282" s="1766" t="s">
        <v>1406</v>
      </c>
      <c r="B282" s="1770" t="s">
        <v>2180</v>
      </c>
      <c r="C282" s="1780"/>
      <c r="D282" s="1780"/>
      <c r="E282" s="1780"/>
      <c r="F282" s="1772">
        <v>0.05</v>
      </c>
    </row>
    <row r="283" spans="1:6" ht="24.75" thickBot="1">
      <c r="A283" s="1766" t="s">
        <v>1406</v>
      </c>
      <c r="B283" s="1770" t="s">
        <v>2181</v>
      </c>
      <c r="C283" s="1780"/>
      <c r="D283" s="1780"/>
      <c r="E283" s="1780"/>
      <c r="F283" s="1772">
        <v>0.05</v>
      </c>
    </row>
    <row r="284" spans="1:6" ht="24.75" thickBot="1">
      <c r="A284" s="1766" t="s">
        <v>1406</v>
      </c>
      <c r="B284" s="1770" t="s">
        <v>2182</v>
      </c>
      <c r="C284" s="1780"/>
      <c r="D284" s="1780"/>
      <c r="E284" s="1780"/>
      <c r="F284" s="1772">
        <v>0.05</v>
      </c>
    </row>
    <row r="285" spans="1:6" ht="24.75" thickBot="1">
      <c r="A285" s="1766" t="s">
        <v>1406</v>
      </c>
      <c r="B285" s="1770" t="s">
        <v>2183</v>
      </c>
      <c r="C285" s="1780"/>
      <c r="D285" s="1780"/>
      <c r="E285" s="1780"/>
      <c r="F285" s="1772">
        <v>0.05</v>
      </c>
    </row>
    <row r="286" spans="1:6" ht="24.75" thickBot="1">
      <c r="A286" s="1766" t="s">
        <v>1406</v>
      </c>
      <c r="B286" s="1770" t="s">
        <v>2184</v>
      </c>
      <c r="C286" s="1780"/>
      <c r="D286" s="1780"/>
      <c r="E286" s="1780"/>
      <c r="F286" s="1772">
        <v>0.05</v>
      </c>
    </row>
    <row r="287" spans="1:6" ht="24.75" thickBot="1">
      <c r="A287" s="1766" t="s">
        <v>1406</v>
      </c>
      <c r="B287" s="1770" t="s">
        <v>2185</v>
      </c>
      <c r="C287" s="1780"/>
      <c r="D287" s="1780"/>
      <c r="E287" s="1780"/>
      <c r="F287" s="1772">
        <v>0.05</v>
      </c>
    </row>
    <row r="288" spans="1:6" ht="24.75" thickBot="1">
      <c r="A288" s="1766" t="s">
        <v>1406</v>
      </c>
      <c r="B288" s="1770" t="s">
        <v>2186</v>
      </c>
      <c r="C288" s="1780"/>
      <c r="D288" s="1780"/>
      <c r="E288" s="1780"/>
      <c r="F288" s="1772">
        <v>0.05</v>
      </c>
    </row>
    <row r="289" spans="1:6" ht="24.75" thickBot="1">
      <c r="A289" s="1774" t="s">
        <v>1406</v>
      </c>
      <c r="B289" s="1781" t="s">
        <v>2187</v>
      </c>
      <c r="C289" s="1777"/>
      <c r="D289" s="1777"/>
      <c r="E289" s="1777"/>
      <c r="F289" s="1782">
        <v>0.05</v>
      </c>
    </row>
    <row r="290" spans="1:6" ht="14.25" thickBot="1">
      <c r="A290" s="1766" t="s">
        <v>1410</v>
      </c>
      <c r="B290" s="1767" t="s">
        <v>2188</v>
      </c>
      <c r="C290" s="1768">
        <v>0.15</v>
      </c>
      <c r="D290" s="1768">
        <v>0.15</v>
      </c>
      <c r="E290" s="1768">
        <v>0.15</v>
      </c>
      <c r="F290" s="1790"/>
    </row>
    <row r="291" spans="1:6" ht="14.25" thickBot="1">
      <c r="A291" s="1766" t="s">
        <v>1410</v>
      </c>
      <c r="B291" s="1770" t="s">
        <v>1070</v>
      </c>
      <c r="C291" s="1771">
        <v>0.15</v>
      </c>
      <c r="D291" s="1771">
        <v>0.15</v>
      </c>
      <c r="E291" s="1771">
        <v>0.15</v>
      </c>
      <c r="F291" s="1779"/>
    </row>
    <row r="292" spans="1:6" ht="14.25" thickBot="1">
      <c r="A292" s="1766" t="s">
        <v>1410</v>
      </c>
      <c r="B292" s="1770" t="s">
        <v>2189</v>
      </c>
      <c r="C292" s="1771">
        <v>0.15</v>
      </c>
      <c r="D292" s="1771">
        <v>0.15</v>
      </c>
      <c r="E292" s="1771">
        <v>0.15</v>
      </c>
      <c r="F292" s="1772">
        <v>0.14699999999999999</v>
      </c>
    </row>
    <row r="293" spans="1:6" ht="14.25" thickBot="1">
      <c r="A293" s="1766" t="s">
        <v>1410</v>
      </c>
      <c r="B293" s="1770" t="s">
        <v>2190</v>
      </c>
      <c r="C293" s="1780"/>
      <c r="D293" s="1780"/>
      <c r="E293" s="1780"/>
      <c r="F293" s="1772">
        <v>0.1</v>
      </c>
    </row>
    <row r="294" spans="1:6" ht="14.25" thickBot="1">
      <c r="A294" s="1766" t="s">
        <v>1410</v>
      </c>
      <c r="B294" s="1770" t="s">
        <v>2191</v>
      </c>
      <c r="C294" s="1771">
        <v>0.15</v>
      </c>
      <c r="D294" s="1771">
        <v>0.15</v>
      </c>
      <c r="E294" s="1771">
        <v>0.15</v>
      </c>
      <c r="F294" s="1772">
        <v>0.15</v>
      </c>
    </row>
    <row r="295" spans="1:6" ht="14.25" thickBot="1">
      <c r="A295" s="1766" t="s">
        <v>1410</v>
      </c>
      <c r="B295" s="1770" t="s">
        <v>1111</v>
      </c>
      <c r="C295" s="1771">
        <v>0.15</v>
      </c>
      <c r="D295" s="1771">
        <v>0.15</v>
      </c>
      <c r="E295" s="1771">
        <v>0.15</v>
      </c>
      <c r="F295" s="1772">
        <v>0.15</v>
      </c>
    </row>
    <row r="296" spans="1:6" ht="14.25" thickBot="1">
      <c r="A296" s="1766" t="s">
        <v>1410</v>
      </c>
      <c r="B296" s="1770" t="s">
        <v>2192</v>
      </c>
      <c r="C296" s="1771">
        <v>0.15</v>
      </c>
      <c r="D296" s="1771">
        <v>0.15</v>
      </c>
      <c r="E296" s="1771">
        <v>0.15</v>
      </c>
      <c r="F296" s="1772">
        <v>0.15</v>
      </c>
    </row>
    <row r="297" spans="1:6" ht="14.25" thickBot="1">
      <c r="A297" s="1766" t="s">
        <v>1410</v>
      </c>
      <c r="B297" s="1770" t="s">
        <v>2193</v>
      </c>
      <c r="C297" s="1771">
        <v>0.14799999999999999</v>
      </c>
      <c r="D297" s="1771">
        <v>0.14899999999999999</v>
      </c>
      <c r="E297" s="1771">
        <v>0.15</v>
      </c>
      <c r="F297" s="1772">
        <v>0.13700000000000001</v>
      </c>
    </row>
    <row r="298" spans="1:6" ht="14.25" thickBot="1">
      <c r="A298" s="1766" t="s">
        <v>1410</v>
      </c>
      <c r="B298" s="1770" t="s">
        <v>1144</v>
      </c>
      <c r="C298" s="1771">
        <v>0.13400000000000001</v>
      </c>
      <c r="D298" s="1771">
        <v>0.13400000000000001</v>
      </c>
      <c r="E298" s="1771">
        <v>0.14499999999999999</v>
      </c>
      <c r="F298" s="1772">
        <v>0.14799999999999999</v>
      </c>
    </row>
    <row r="299" spans="1:6" ht="14.25" thickBot="1">
      <c r="A299" s="1766" t="s">
        <v>1410</v>
      </c>
      <c r="B299" s="1770" t="s">
        <v>1156</v>
      </c>
      <c r="C299" s="1771">
        <v>0.15</v>
      </c>
      <c r="D299" s="1771">
        <v>0.15</v>
      </c>
      <c r="E299" s="1771">
        <v>0.15</v>
      </c>
      <c r="F299" s="1779"/>
    </row>
    <row r="300" spans="1:6" ht="14.25" thickBot="1">
      <c r="A300" s="1766" t="s">
        <v>1410</v>
      </c>
      <c r="B300" s="1770" t="s">
        <v>2194</v>
      </c>
      <c r="C300" s="1771">
        <v>0.15</v>
      </c>
      <c r="D300" s="1771">
        <v>0.15</v>
      </c>
      <c r="E300" s="1771">
        <v>0.15</v>
      </c>
      <c r="F300" s="1772">
        <v>0.15</v>
      </c>
    </row>
    <row r="301" spans="1:6" ht="14.25" thickBot="1">
      <c r="A301" s="1766" t="s">
        <v>1410</v>
      </c>
      <c r="B301" s="1770" t="s">
        <v>1176</v>
      </c>
      <c r="C301" s="1771">
        <v>0.15</v>
      </c>
      <c r="D301" s="1771">
        <v>0.15</v>
      </c>
      <c r="E301" s="1771">
        <v>0.15</v>
      </c>
      <c r="F301" s="1779"/>
    </row>
    <row r="302" spans="1:6" ht="14.25" thickBot="1">
      <c r="A302" s="1766" t="s">
        <v>1410</v>
      </c>
      <c r="B302" s="1770" t="s">
        <v>2195</v>
      </c>
      <c r="C302" s="1771">
        <v>0.15</v>
      </c>
      <c r="D302" s="1771">
        <v>0.15</v>
      </c>
      <c r="E302" s="1771">
        <v>0.15</v>
      </c>
      <c r="F302" s="1772">
        <v>0.15</v>
      </c>
    </row>
    <row r="303" spans="1:6" ht="14.25" thickBot="1">
      <c r="A303" s="1766" t="s">
        <v>1410</v>
      </c>
      <c r="B303" s="1770" t="s">
        <v>1196</v>
      </c>
      <c r="C303" s="1771">
        <v>0.15</v>
      </c>
      <c r="D303" s="1771">
        <v>0.15</v>
      </c>
      <c r="E303" s="1771">
        <v>0.15</v>
      </c>
      <c r="F303" s="1772">
        <v>0.15</v>
      </c>
    </row>
    <row r="304" spans="1:6" ht="14.25" thickBot="1">
      <c r="A304" s="1766" t="s">
        <v>1410</v>
      </c>
      <c r="B304" s="1770" t="s">
        <v>1206</v>
      </c>
      <c r="C304" s="1771">
        <v>0.15</v>
      </c>
      <c r="D304" s="1771">
        <v>0.15</v>
      </c>
      <c r="E304" s="1771">
        <v>0.15</v>
      </c>
      <c r="F304" s="1779"/>
    </row>
    <row r="305" spans="1:6" ht="14.25" thickBot="1">
      <c r="A305" s="1766" t="s">
        <v>1410</v>
      </c>
      <c r="B305" s="1770" t="s">
        <v>2196</v>
      </c>
      <c r="C305" s="1771">
        <v>0.15</v>
      </c>
      <c r="D305" s="1771">
        <v>0.15</v>
      </c>
      <c r="E305" s="1771">
        <v>0.15</v>
      </c>
      <c r="F305" s="1772">
        <v>0.14000000000000001</v>
      </c>
    </row>
    <row r="306" spans="1:6" ht="14.25" thickBot="1">
      <c r="A306" s="1766" t="s">
        <v>1410</v>
      </c>
      <c r="B306" s="1770" t="s">
        <v>1226</v>
      </c>
      <c r="C306" s="1771">
        <v>0.15</v>
      </c>
      <c r="D306" s="1771">
        <v>0.15</v>
      </c>
      <c r="E306" s="1771">
        <v>0.15</v>
      </c>
      <c r="F306" s="1779"/>
    </row>
    <row r="307" spans="1:6" ht="14.25" thickBot="1">
      <c r="A307" s="1766" t="s">
        <v>1410</v>
      </c>
      <c r="B307" s="1770" t="s">
        <v>2197</v>
      </c>
      <c r="C307" s="1771">
        <v>0.15</v>
      </c>
      <c r="D307" s="1771">
        <v>0.15</v>
      </c>
      <c r="E307" s="1771">
        <v>0.15</v>
      </c>
      <c r="F307" s="1772">
        <v>0.14299999999999999</v>
      </c>
    </row>
    <row r="308" spans="1:6" ht="14.25" thickBot="1">
      <c r="A308" s="1766" t="s">
        <v>1410</v>
      </c>
      <c r="B308" s="1770" t="s">
        <v>1246</v>
      </c>
      <c r="C308" s="1771">
        <v>0.15</v>
      </c>
      <c r="D308" s="1771">
        <v>0.15</v>
      </c>
      <c r="E308" s="1771">
        <v>0.15</v>
      </c>
      <c r="F308" s="1772">
        <v>0.15</v>
      </c>
    </row>
    <row r="309" spans="1:6" ht="14.25" thickBot="1">
      <c r="A309" s="1766" t="s">
        <v>1410</v>
      </c>
      <c r="B309" s="1770" t="s">
        <v>1256</v>
      </c>
      <c r="C309" s="1771">
        <v>0.15</v>
      </c>
      <c r="D309" s="1771">
        <v>0.15</v>
      </c>
      <c r="E309" s="1771">
        <v>0.15</v>
      </c>
      <c r="F309" s="1779"/>
    </row>
    <row r="310" spans="1:6" ht="14.25" thickBot="1">
      <c r="A310" s="1766" t="s">
        <v>1410</v>
      </c>
      <c r="B310" s="1770" t="s">
        <v>2198</v>
      </c>
      <c r="C310" s="1771">
        <v>0.15</v>
      </c>
      <c r="D310" s="1771">
        <v>0.15</v>
      </c>
      <c r="E310" s="1771">
        <v>0.15</v>
      </c>
      <c r="F310" s="1772">
        <v>0.13700000000000001</v>
      </c>
    </row>
    <row r="311" spans="1:6" ht="14.25" thickBot="1">
      <c r="A311" s="1766" t="s">
        <v>1410</v>
      </c>
      <c r="B311" s="1770" t="s">
        <v>2199</v>
      </c>
      <c r="C311" s="1771">
        <v>0.15</v>
      </c>
      <c r="D311" s="1771">
        <v>0.15</v>
      </c>
      <c r="E311" s="1771">
        <v>0.15</v>
      </c>
      <c r="F311" s="1772">
        <v>0.15</v>
      </c>
    </row>
    <row r="312" spans="1:6" ht="14.25" thickBot="1">
      <c r="A312" s="1766" t="s">
        <v>1410</v>
      </c>
      <c r="B312" s="1770" t="s">
        <v>1282</v>
      </c>
      <c r="C312" s="1771">
        <v>0.15</v>
      </c>
      <c r="D312" s="1771">
        <v>0.15</v>
      </c>
      <c r="E312" s="1771">
        <v>0.15</v>
      </c>
      <c r="F312" s="1772">
        <v>0.1</v>
      </c>
    </row>
    <row r="313" spans="1:6" ht="14.25" thickBot="1">
      <c r="A313" s="1766" t="s">
        <v>1410</v>
      </c>
      <c r="B313" s="1770" t="s">
        <v>2200</v>
      </c>
      <c r="C313" s="1771">
        <v>0.15</v>
      </c>
      <c r="D313" s="1771">
        <v>0.15</v>
      </c>
      <c r="E313" s="1771">
        <v>0.15</v>
      </c>
      <c r="F313" s="1772">
        <v>0.15</v>
      </c>
    </row>
    <row r="314" spans="1:6" ht="24.75" thickBot="1">
      <c r="A314" s="1766" t="s">
        <v>1410</v>
      </c>
      <c r="B314" s="1770" t="s">
        <v>2201</v>
      </c>
      <c r="C314" s="1780"/>
      <c r="D314" s="1780"/>
      <c r="E314" s="1780"/>
      <c r="F314" s="1772">
        <v>0.05</v>
      </c>
    </row>
    <row r="315" spans="1:6" ht="24.75" thickBot="1">
      <c r="A315" s="1766" t="s">
        <v>1410</v>
      </c>
      <c r="B315" s="1770" t="s">
        <v>2202</v>
      </c>
      <c r="C315" s="1780"/>
      <c r="D315" s="1780"/>
      <c r="E315" s="1780"/>
      <c r="F315" s="1772">
        <v>0.05</v>
      </c>
    </row>
    <row r="316" spans="1:6" ht="24.75" thickBot="1">
      <c r="A316" s="1774" t="s">
        <v>1410</v>
      </c>
      <c r="B316" s="1781" t="s">
        <v>2203</v>
      </c>
      <c r="C316" s="1777"/>
      <c r="D316" s="1777"/>
      <c r="E316" s="1777"/>
      <c r="F316" s="1782">
        <v>0.05</v>
      </c>
    </row>
    <row r="317" spans="1:6" ht="14.25" thickBot="1">
      <c r="A317" s="1766" t="s">
        <v>2204</v>
      </c>
      <c r="B317" s="1767" t="s">
        <v>2205</v>
      </c>
      <c r="C317" s="1768">
        <v>0.15</v>
      </c>
      <c r="D317" s="1768">
        <v>0.15</v>
      </c>
      <c r="E317" s="1768">
        <v>0.15</v>
      </c>
      <c r="F317" s="1769">
        <v>0.15</v>
      </c>
    </row>
    <row r="318" spans="1:6" ht="14.25" thickBot="1">
      <c r="A318" s="1766" t="s">
        <v>2204</v>
      </c>
      <c r="B318" s="1770" t="s">
        <v>2206</v>
      </c>
      <c r="C318" s="1771">
        <v>0.107</v>
      </c>
      <c r="D318" s="1771">
        <v>0.11</v>
      </c>
      <c r="E318" s="1771">
        <v>0.112</v>
      </c>
      <c r="F318" s="1779"/>
    </row>
    <row r="319" spans="1:6" ht="14.25" thickBot="1">
      <c r="A319" s="1766" t="s">
        <v>2204</v>
      </c>
      <c r="B319" s="1770" t="s">
        <v>2207</v>
      </c>
      <c r="C319" s="1771">
        <v>0.15</v>
      </c>
      <c r="D319" s="1771">
        <v>0.15</v>
      </c>
      <c r="E319" s="1771">
        <v>0.15</v>
      </c>
      <c r="F319" s="1772">
        <v>0.15</v>
      </c>
    </row>
    <row r="320" spans="1:6" ht="14.25" thickBot="1">
      <c r="A320" s="1766" t="s">
        <v>2204</v>
      </c>
      <c r="B320" s="1770" t="s">
        <v>1098</v>
      </c>
      <c r="C320" s="1771">
        <v>0.15</v>
      </c>
      <c r="D320" s="1771">
        <v>0.15</v>
      </c>
      <c r="E320" s="1771">
        <v>0.15</v>
      </c>
      <c r="F320" s="1779"/>
    </row>
    <row r="321" spans="1:6" ht="14.25" thickBot="1">
      <c r="A321" s="1766" t="s">
        <v>2204</v>
      </c>
      <c r="B321" s="1770" t="s">
        <v>2208</v>
      </c>
      <c r="C321" s="1771">
        <v>0.15</v>
      </c>
      <c r="D321" s="1771">
        <v>0.15</v>
      </c>
      <c r="E321" s="1771">
        <v>0.15</v>
      </c>
      <c r="F321" s="1779"/>
    </row>
    <row r="322" spans="1:6" ht="14.25" thickBot="1">
      <c r="A322" s="1766" t="s">
        <v>2204</v>
      </c>
      <c r="B322" s="1770" t="s">
        <v>2209</v>
      </c>
      <c r="C322" s="1771">
        <v>0.15</v>
      </c>
      <c r="D322" s="1771">
        <v>0.15</v>
      </c>
      <c r="E322" s="1771">
        <v>0.15</v>
      </c>
      <c r="F322" s="1772">
        <v>0.15</v>
      </c>
    </row>
    <row r="323" spans="1:6" ht="14.25" thickBot="1">
      <c r="A323" s="1766" t="s">
        <v>2204</v>
      </c>
      <c r="B323" s="1770" t="s">
        <v>2210</v>
      </c>
      <c r="C323" s="1771">
        <v>0.15</v>
      </c>
      <c r="D323" s="1771">
        <v>0.15</v>
      </c>
      <c r="E323" s="1771">
        <v>0.15</v>
      </c>
      <c r="F323" s="1779"/>
    </row>
    <row r="324" spans="1:6" ht="14.25" thickBot="1">
      <c r="A324" s="1766" t="s">
        <v>2204</v>
      </c>
      <c r="B324" s="1770" t="s">
        <v>2211</v>
      </c>
      <c r="C324" s="1771">
        <v>0.15</v>
      </c>
      <c r="D324" s="1771">
        <v>0.15</v>
      </c>
      <c r="E324" s="1771">
        <v>0.15</v>
      </c>
      <c r="F324" s="1779"/>
    </row>
    <row r="325" spans="1:6" ht="14.25" thickBot="1">
      <c r="A325" s="1766" t="s">
        <v>2204</v>
      </c>
      <c r="B325" s="1770" t="s">
        <v>2212</v>
      </c>
      <c r="C325" s="1771">
        <v>0.15</v>
      </c>
      <c r="D325" s="1771">
        <v>0.15</v>
      </c>
      <c r="E325" s="1771">
        <v>0.15</v>
      </c>
      <c r="F325" s="1772">
        <v>0.14699999999999999</v>
      </c>
    </row>
    <row r="326" spans="1:6" ht="14.25" thickBot="1">
      <c r="A326" s="1766" t="s">
        <v>2204</v>
      </c>
      <c r="B326" s="1770" t="s">
        <v>1167</v>
      </c>
      <c r="C326" s="1771">
        <v>0.15</v>
      </c>
      <c r="D326" s="1771">
        <v>0.15</v>
      </c>
      <c r="E326" s="1771">
        <v>0.15</v>
      </c>
      <c r="F326" s="1779"/>
    </row>
    <row r="327" spans="1:6" ht="14.25" thickBot="1">
      <c r="A327" s="1766" t="s">
        <v>2204</v>
      </c>
      <c r="B327" s="1770" t="s">
        <v>2213</v>
      </c>
      <c r="C327" s="1771">
        <v>0.15</v>
      </c>
      <c r="D327" s="1771">
        <v>0.15</v>
      </c>
      <c r="E327" s="1771">
        <v>0.15</v>
      </c>
      <c r="F327" s="1772">
        <v>0.15</v>
      </c>
    </row>
    <row r="328" spans="1:6" ht="14.25" thickBot="1">
      <c r="A328" s="1766" t="s">
        <v>2204</v>
      </c>
      <c r="B328" s="1770" t="s">
        <v>1187</v>
      </c>
      <c r="C328" s="1771">
        <v>0.15</v>
      </c>
      <c r="D328" s="1771">
        <v>0.15</v>
      </c>
      <c r="E328" s="1771">
        <v>0.15</v>
      </c>
      <c r="F328" s="1772">
        <v>0.14099999999999999</v>
      </c>
    </row>
    <row r="329" spans="1:6" ht="14.25" thickBot="1">
      <c r="A329" s="1766" t="s">
        <v>2204</v>
      </c>
      <c r="B329" s="1770" t="s">
        <v>1197</v>
      </c>
      <c r="C329" s="1771">
        <v>0.15</v>
      </c>
      <c r="D329" s="1771">
        <v>0.15</v>
      </c>
      <c r="E329" s="1771">
        <v>0.15</v>
      </c>
      <c r="F329" s="1772">
        <v>0.15</v>
      </c>
    </row>
    <row r="330" spans="1:6" ht="14.25" thickBot="1">
      <c r="A330" s="1766" t="s">
        <v>2204</v>
      </c>
      <c r="B330" s="1770" t="s">
        <v>1207</v>
      </c>
      <c r="C330" s="1771">
        <v>0.15</v>
      </c>
      <c r="D330" s="1771">
        <v>0.15</v>
      </c>
      <c r="E330" s="1771">
        <v>0.15</v>
      </c>
      <c r="F330" s="1779"/>
    </row>
    <row r="331" spans="1:6" ht="14.25" thickBot="1">
      <c r="A331" s="1766" t="s">
        <v>2204</v>
      </c>
      <c r="B331" s="1770" t="s">
        <v>2214</v>
      </c>
      <c r="C331" s="1771">
        <v>0.15</v>
      </c>
      <c r="D331" s="1771">
        <v>0.15</v>
      </c>
      <c r="E331" s="1771">
        <v>0.15</v>
      </c>
      <c r="F331" s="1772">
        <v>0.15</v>
      </c>
    </row>
    <row r="332" spans="1:6" ht="14.25" thickBot="1">
      <c r="A332" s="1766" t="s">
        <v>2204</v>
      </c>
      <c r="B332" s="1770" t="s">
        <v>1227</v>
      </c>
      <c r="C332" s="1771">
        <v>0.15</v>
      </c>
      <c r="D332" s="1771">
        <v>0.15</v>
      </c>
      <c r="E332" s="1771">
        <v>0.15</v>
      </c>
      <c r="F332" s="1772">
        <v>0.15</v>
      </c>
    </row>
    <row r="333" spans="1:6" ht="14.25" thickBot="1">
      <c r="A333" s="1766" t="s">
        <v>2204</v>
      </c>
      <c r="B333" s="1770" t="s">
        <v>2215</v>
      </c>
      <c r="C333" s="1771">
        <v>0.15</v>
      </c>
      <c r="D333" s="1771">
        <v>0.15</v>
      </c>
      <c r="E333" s="1771">
        <v>0.15</v>
      </c>
      <c r="F333" s="1772">
        <v>0.14099999999999999</v>
      </c>
    </row>
    <row r="334" spans="1:6" ht="14.25" thickBot="1">
      <c r="A334" s="1766" t="s">
        <v>2204</v>
      </c>
      <c r="B334" s="1770" t="s">
        <v>1247</v>
      </c>
      <c r="C334" s="1771">
        <v>0.15</v>
      </c>
      <c r="D334" s="1771">
        <v>0.15</v>
      </c>
      <c r="E334" s="1771">
        <v>0.15</v>
      </c>
      <c r="F334" s="1772">
        <v>0.15</v>
      </c>
    </row>
    <row r="335" spans="1:6" ht="14.25" thickBot="1">
      <c r="A335" s="1766" t="s">
        <v>2204</v>
      </c>
      <c r="B335" s="1770" t="s">
        <v>1257</v>
      </c>
      <c r="C335" s="1771">
        <v>0.15</v>
      </c>
      <c r="D335" s="1771">
        <v>0.15</v>
      </c>
      <c r="E335" s="1771">
        <v>0.15</v>
      </c>
      <c r="F335" s="1779"/>
    </row>
    <row r="336" spans="1:6" ht="14.25" thickBot="1">
      <c r="A336" s="1766" t="s">
        <v>2204</v>
      </c>
      <c r="B336" s="1770" t="s">
        <v>2216</v>
      </c>
      <c r="C336" s="1771">
        <v>0.15</v>
      </c>
      <c r="D336" s="1771">
        <v>0.15</v>
      </c>
      <c r="E336" s="1771">
        <v>0.15</v>
      </c>
      <c r="F336" s="1772">
        <v>0.11799999999999999</v>
      </c>
    </row>
    <row r="337" spans="1:6" ht="14.25" thickBot="1">
      <c r="A337" s="1774" t="s">
        <v>2204</v>
      </c>
      <c r="B337" s="1781" t="s">
        <v>1275</v>
      </c>
      <c r="C337" s="1777"/>
      <c r="D337" s="1777"/>
      <c r="E337" s="1777"/>
      <c r="F337" s="1782">
        <v>0.14299999999999999</v>
      </c>
    </row>
    <row r="338" spans="1:6" ht="14.25" thickBot="1">
      <c r="A338" s="1766" t="s">
        <v>2217</v>
      </c>
      <c r="B338" s="1767" t="s">
        <v>2218</v>
      </c>
      <c r="C338" s="1768">
        <v>0.15</v>
      </c>
      <c r="D338" s="1768">
        <v>0.15</v>
      </c>
      <c r="E338" s="1768">
        <v>0.15</v>
      </c>
      <c r="F338" s="1790"/>
    </row>
    <row r="339" spans="1:6" ht="14.25" thickBot="1">
      <c r="A339" s="1766" t="s">
        <v>2217</v>
      </c>
      <c r="B339" s="1770" t="s">
        <v>2219</v>
      </c>
      <c r="C339" s="1771">
        <v>0.15</v>
      </c>
      <c r="D339" s="1771">
        <v>0.15</v>
      </c>
      <c r="E339" s="1771">
        <v>0.15</v>
      </c>
      <c r="F339" s="1779"/>
    </row>
    <row r="340" spans="1:6" ht="14.25" thickBot="1">
      <c r="A340" s="1766" t="s">
        <v>2217</v>
      </c>
      <c r="B340" s="1770" t="s">
        <v>2220</v>
      </c>
      <c r="C340" s="1771">
        <v>0.15</v>
      </c>
      <c r="D340" s="1771">
        <v>0.15</v>
      </c>
      <c r="E340" s="1771">
        <v>0.15</v>
      </c>
      <c r="F340" s="1779"/>
    </row>
    <row r="341" spans="1:6" ht="14.25" thickBot="1">
      <c r="A341" s="1766" t="s">
        <v>2221</v>
      </c>
      <c r="B341" s="1770" t="s">
        <v>2222</v>
      </c>
      <c r="C341" s="1771">
        <v>0.15</v>
      </c>
      <c r="D341" s="1771">
        <v>0.15</v>
      </c>
      <c r="E341" s="1771">
        <v>0.15</v>
      </c>
      <c r="F341" s="1772">
        <v>0.15</v>
      </c>
    </row>
    <row r="342" spans="1:6" ht="14.25" thickBot="1">
      <c r="A342" s="1766" t="s">
        <v>2217</v>
      </c>
      <c r="B342" s="1770" t="s">
        <v>2223</v>
      </c>
      <c r="C342" s="1771">
        <v>0.15</v>
      </c>
      <c r="D342" s="1771">
        <v>0.15</v>
      </c>
      <c r="E342" s="1771">
        <v>0.15</v>
      </c>
      <c r="F342" s="1772">
        <v>0.15</v>
      </c>
    </row>
    <row r="343" spans="1:6" ht="14.25" thickBot="1">
      <c r="A343" s="1766" t="s">
        <v>2217</v>
      </c>
      <c r="B343" s="1770" t="s">
        <v>2224</v>
      </c>
      <c r="C343" s="1771">
        <v>0.15</v>
      </c>
      <c r="D343" s="1771">
        <v>0.15</v>
      </c>
      <c r="E343" s="1771">
        <v>0.15</v>
      </c>
      <c r="F343" s="1772">
        <v>0.15</v>
      </c>
    </row>
    <row r="344" spans="1:6" ht="14.25" thickBot="1">
      <c r="A344" s="1774" t="s">
        <v>2217</v>
      </c>
      <c r="B344" s="1781" t="s">
        <v>2225</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70" t="s">
        <v>2556</v>
      </c>
      <c r="C1" s="3570"/>
      <c r="D1" s="3570"/>
      <c r="E1" s="3570"/>
      <c r="F1" s="3570"/>
      <c r="G1" s="3569" t="s">
        <v>2557</v>
      </c>
      <c r="H1" s="3569"/>
      <c r="I1" s="3569"/>
      <c r="J1" s="3569"/>
      <c r="K1" s="3569"/>
      <c r="L1" s="3569"/>
      <c r="N1" s="3569" t="s">
        <v>2558</v>
      </c>
      <c r="O1" s="3569"/>
      <c r="P1" s="3569"/>
      <c r="Q1" s="3569"/>
      <c r="S1" s="3569" t="s">
        <v>2559</v>
      </c>
      <c r="T1" s="3569"/>
      <c r="U1" s="3569"/>
      <c r="V1" s="3569"/>
      <c r="X1" s="3568" t="s">
        <v>2619</v>
      </c>
      <c r="Y1" s="3569"/>
      <c r="Z1" s="3569"/>
      <c r="AA1" s="3569"/>
      <c r="AB1" s="3569"/>
      <c r="AD1" s="3568" t="s">
        <v>2623</v>
      </c>
      <c r="AE1" s="3569"/>
      <c r="AF1" s="3569"/>
      <c r="AG1" s="3569"/>
      <c r="AH1" s="3569"/>
    </row>
    <row r="2" spans="1:34" s="2862" customFormat="1" ht="14.25" thickBot="1">
      <c r="B2" s="2863" t="s">
        <v>2560</v>
      </c>
      <c r="C2" s="2863" t="s">
        <v>2621</v>
      </c>
      <c r="D2" s="2864" t="s">
        <v>1635</v>
      </c>
      <c r="E2" s="2864" t="s">
        <v>1938</v>
      </c>
      <c r="F2" s="2863" t="s">
        <v>2622</v>
      </c>
      <c r="G2" s="2865"/>
      <c r="I2" s="2863" t="s">
        <v>2921</v>
      </c>
      <c r="J2" s="2864" t="s">
        <v>2923</v>
      </c>
      <c r="K2" s="2864" t="s">
        <v>2924</v>
      </c>
      <c r="L2" s="2863" t="s">
        <v>2925</v>
      </c>
      <c r="N2" s="2863" t="s">
        <v>2560</v>
      </c>
      <c r="O2" s="2864" t="s">
        <v>2922</v>
      </c>
      <c r="P2" s="2864" t="s">
        <v>1938</v>
      </c>
      <c r="Q2" s="2863" t="s">
        <v>2622</v>
      </c>
      <c r="S2" s="2863" t="s">
        <v>2560</v>
      </c>
      <c r="T2" s="2864" t="s">
        <v>2922</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2932</v>
      </c>
      <c r="B3" s="2867"/>
      <c r="C3" s="2867"/>
      <c r="D3" s="2868"/>
      <c r="E3" s="2868"/>
      <c r="F3" s="2867"/>
      <c r="G3" s="2869"/>
      <c r="H3" s="2870"/>
      <c r="I3" s="2871">
        <f>ROUND(AVERAGE($I4:$I33),2)</f>
        <v>1.75</v>
      </c>
      <c r="J3" s="2871">
        <f>ROUND(AVERAGE($J4:$J33),2)</f>
        <v>1.1200000000000001</v>
      </c>
      <c r="K3" s="2871">
        <f>ROUND(AVERAGE($K4:$K33),2)</f>
        <v>1.93</v>
      </c>
      <c r="L3" s="2871">
        <f>ROUND(AVERAGE($L4:$L33),2)</f>
        <v>1.28</v>
      </c>
      <c r="N3" s="2869"/>
      <c r="S3" s="2869"/>
      <c r="W3" s="2873"/>
      <c r="X3" s="2874">
        <f>ROUND(SUMPRODUCT(PRODUCT(1+N3:N$32)),4)</f>
        <v>1.6034999999999999</v>
      </c>
      <c r="Y3" s="2874">
        <f>ROUND(SUMPRODUCT(PRODUCT(1+O3:O$32)),4)</f>
        <v>1.3469</v>
      </c>
      <c r="Z3" s="2874">
        <f t="shared" ref="Z3:Z30" si="0">Y3</f>
        <v>1.3469</v>
      </c>
      <c r="AA3" s="2874">
        <f>ROUND(SUMPRODUCT(PRODUCT(1+P3:P$32)),4)</f>
        <v>1.6801999999999999</v>
      </c>
      <c r="AB3" s="2874">
        <f>ROUND(SUMPRODUCT(PRODUCT(1+Q3:Q$32)),4)</f>
        <v>1.4263999999999999</v>
      </c>
      <c r="AD3" s="2875">
        <f>ROUND(AVERAGE(I3:I$33)/100,4)</f>
        <v>1.7500000000000002E-2</v>
      </c>
      <c r="AE3" s="2875">
        <f>ROUND(AVERAGE(J3:J$33)/100,4)</f>
        <v>1.12E-2</v>
      </c>
      <c r="AF3" s="2875">
        <f t="shared" ref="AF3:AF31" si="1">AE3</f>
        <v>1.12E-2</v>
      </c>
      <c r="AG3" s="2875">
        <f>ROUND(AVERAGE(K3:K$33)/100,4)</f>
        <v>1.9300000000000001E-2</v>
      </c>
      <c r="AH3" s="2875">
        <f>ROUND(AVERAGE(L3:L$33)/100,4)</f>
        <v>1.2800000000000001E-2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3001</v>
      </c>
      <c r="B5" s="2886">
        <f t="shared" ref="B5" si="2">B6*(1+N5)</f>
        <v>493.14449689037161</v>
      </c>
      <c r="C5" s="2886">
        <f t="shared" ref="C5" si="3">C6*(1+O5)</f>
        <v>347.21619073020611</v>
      </c>
      <c r="D5" s="2886">
        <f t="shared" ref="D5" si="4">C5</f>
        <v>347.21619073020611</v>
      </c>
      <c r="E5" s="2886">
        <f t="shared" ref="E5" si="5">E6*(1+P5)</f>
        <v>710.55974278763904</v>
      </c>
      <c r="F5" s="2886">
        <f t="shared" ref="F5" si="6">F6*(1+Q5)</f>
        <v>327.94540235306141</v>
      </c>
      <c r="G5" s="2879">
        <v>2021</v>
      </c>
      <c r="H5" s="2887">
        <v>1</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2933</v>
      </c>
      <c r="X5" s="2893">
        <f>ROUND(IF(项目基本情况!B5="出让",SUMPRODUCT(PRODUCT(1+N5:N$33)),SUMPRODUCT(PRODUCT(1+N5:N$32))),4)</f>
        <v>1.6034999999999999</v>
      </c>
      <c r="Y5" s="2893">
        <f>ROUND(IF(项目基本情况!B5="出让",SUMPRODUCT(PRODUCT(1+O5:O$33)),SUMPRODUCT(PRODUCT(1+O5:O$32))),4)</f>
        <v>1.3469</v>
      </c>
      <c r="Z5" s="2893">
        <f t="shared" ref="Z5" si="11">Y5</f>
        <v>1.3469</v>
      </c>
      <c r="AA5" s="2893">
        <f>ROUND(IF(项目基本情况!B5="出让",SUMPRODUCT(PRODUCT(1+P5:P$33)),SUMPRODUCT(PRODUCT(1+P5:P$32))),4)</f>
        <v>1.6801999999999999</v>
      </c>
      <c r="AB5" s="2893">
        <f>ROUND(IF(项目基本情况!B5="出让",SUMPRODUCT(PRODUCT(1+Q5:Q$33)),SUMPRODUCT(PRODUCT(1+Q5:Q$32))),4)</f>
        <v>1.4263999999999999</v>
      </c>
      <c r="AD5" s="2894">
        <f>ROUND(AVERAGE(I5:I$33)/100,4)</f>
        <v>1.7500000000000002E-2</v>
      </c>
      <c r="AE5" s="2894">
        <f>ROUND(AVERAGE(J5:J$33)/100,4)</f>
        <v>1.12E-2</v>
      </c>
      <c r="AF5" s="2894">
        <f t="shared" ref="AF5" si="12">AE5</f>
        <v>1.12E-2</v>
      </c>
      <c r="AG5" s="2894">
        <f>ROUND(AVERAGE(K5:K$33)/100,4)</f>
        <v>1.9300000000000001E-2</v>
      </c>
      <c r="AH5" s="2894">
        <f>ROUND(AVERAGE(L5:L$33)/100,4)</f>
        <v>1.2800000000000001E-2</v>
      </c>
    </row>
    <row r="6" spans="1:34" s="2902" customFormat="1">
      <c r="A6" s="2895" t="s">
        <v>3002</v>
      </c>
      <c r="B6" s="2896">
        <f t="shared" ref="B6" si="13">B7*(1+N6)</f>
        <v>493.14449689037161</v>
      </c>
      <c r="C6" s="2896">
        <f t="shared" ref="C6" si="14">C7*(1+O6)</f>
        <v>347.21619073020611</v>
      </c>
      <c r="D6" s="2896">
        <f t="shared" ref="D6" si="15">C6</f>
        <v>347.21619073020611</v>
      </c>
      <c r="E6" s="2896">
        <f t="shared" ref="E6" si="16">E7*(1+P6)</f>
        <v>710.55974278763904</v>
      </c>
      <c r="F6" s="2896">
        <f t="shared" ref="F6" si="17">F7*(1+Q6)</f>
        <v>327.94540235306141</v>
      </c>
      <c r="G6" s="2879">
        <v>2020</v>
      </c>
      <c r="H6" s="2897">
        <v>4</v>
      </c>
      <c r="I6" s="2859">
        <v>2.0699999999999998</v>
      </c>
      <c r="J6" s="2859">
        <v>0.37</v>
      </c>
      <c r="K6" s="2859">
        <v>2.35</v>
      </c>
      <c r="L6" s="2860">
        <v>2.69</v>
      </c>
      <c r="M6" s="2883"/>
      <c r="N6" s="2898">
        <f t="shared" ref="N6" si="18">I6/100</f>
        <v>2.07E-2</v>
      </c>
      <c r="O6" s="2884">
        <f t="shared" ref="O6" si="19">J6/100</f>
        <v>3.7000000000000002E-3</v>
      </c>
      <c r="P6" s="2884">
        <f t="shared" ref="P6" si="20">K6/100</f>
        <v>2.35E-2</v>
      </c>
      <c r="Q6" s="2884">
        <f t="shared" ref="Q6" si="21">L6/100</f>
        <v>2.69E-2</v>
      </c>
      <c r="R6" s="2899"/>
      <c r="S6" s="2900"/>
      <c r="T6" s="2901"/>
      <c r="U6" s="2901"/>
      <c r="V6" s="2901"/>
      <c r="W6" s="2883"/>
      <c r="X6" s="2883">
        <f>ROUND(IF(项目基本情况!B6="出让",SUMPRODUCT(PRODUCT(1+N6:N$33)),SUMPRODUCT(PRODUCT(1+N6:N$32))),4)</f>
        <v>1.6034999999999999</v>
      </c>
      <c r="Y6" s="2883">
        <f>ROUND(IF(项目基本情况!B6="出让",SUMPRODUCT(PRODUCT(1+O6:O$33)),SUMPRODUCT(PRODUCT(1+O6:O$32))),4)</f>
        <v>1.3469</v>
      </c>
      <c r="Z6" s="2883">
        <f t="shared" ref="Z6" si="22">Y6</f>
        <v>1.3469</v>
      </c>
      <c r="AA6" s="2883">
        <f>ROUND(IF(项目基本情况!B6="出让",SUMPRODUCT(PRODUCT(1+P6:P$33)),SUMPRODUCT(PRODUCT(1+P6:P$32))),4)</f>
        <v>1.6801999999999999</v>
      </c>
      <c r="AB6" s="2883">
        <f>ROUND(IF(项目基本情况!B6="出让",SUMPRODUCT(PRODUCT(1+Q6:Q$33)),SUMPRODUCT(PRODUCT(1+Q6:Q$32))),4)</f>
        <v>1.4263999999999999</v>
      </c>
      <c r="AC6" s="2883"/>
      <c r="AD6" s="2884">
        <f>ROUND(AVERAGE(I6:I$33)/100,4)</f>
        <v>1.8200000000000001E-2</v>
      </c>
      <c r="AE6" s="2884">
        <f>ROUND(AVERAGE(J6:J$33)/100,4)</f>
        <v>1.1599999999999999E-2</v>
      </c>
      <c r="AF6" s="2884">
        <f t="shared" ref="AF6" si="23">AE6</f>
        <v>1.1599999999999999E-2</v>
      </c>
      <c r="AG6" s="2884">
        <f>ROUND(AVERAGE(K6:K$33)/100,4)</f>
        <v>0.02</v>
      </c>
      <c r="AH6" s="2884">
        <f>ROUND(AVERAGE(L6:L$33)/100,4)</f>
        <v>1.3299999999999999E-2</v>
      </c>
    </row>
    <row r="7" spans="1:34" s="2902" customFormat="1">
      <c r="A7" s="2895" t="s">
        <v>3000</v>
      </c>
      <c r="B7" s="2896">
        <f t="shared" ref="B7" si="24">B8*(1+N7)</f>
        <v>483.1434279321756</v>
      </c>
      <c r="C7" s="2896">
        <f t="shared" ref="C7" si="25">C8*(1+O7)</f>
        <v>345.93622669144776</v>
      </c>
      <c r="D7" s="2896">
        <f t="shared" ref="D7" si="26">C7</f>
        <v>345.93622669144776</v>
      </c>
      <c r="E7" s="2896">
        <f t="shared" ref="E7" si="27">E8*(1+P7)</f>
        <v>694.24498562544113</v>
      </c>
      <c r="F7" s="2896">
        <f t="shared" ref="F7" si="28">F8*(1+Q7)</f>
        <v>319.35475932716082</v>
      </c>
      <c r="G7" s="2879">
        <v>2020</v>
      </c>
      <c r="H7" s="2897">
        <v>3</v>
      </c>
      <c r="I7" s="2859">
        <v>0.36</v>
      </c>
      <c r="J7" s="2859">
        <v>-0.39</v>
      </c>
      <c r="K7" s="2859">
        <v>0.49</v>
      </c>
      <c r="L7" s="2860">
        <v>7.0000000000000007E-2</v>
      </c>
      <c r="M7" s="2883"/>
      <c r="N7" s="2898">
        <f t="shared" ref="N7" si="29">I7/100</f>
        <v>3.5999999999999999E-3</v>
      </c>
      <c r="O7" s="2884">
        <f t="shared" ref="O7" si="30">J7/100</f>
        <v>-3.9000000000000003E-3</v>
      </c>
      <c r="P7" s="2884">
        <f t="shared" ref="P7" si="31">K7/100</f>
        <v>4.8999999999999998E-3</v>
      </c>
      <c r="Q7" s="2884">
        <f t="shared" ref="Q7" si="32">L7/100</f>
        <v>7.000000000000001E-4</v>
      </c>
      <c r="R7" s="2899"/>
      <c r="S7" s="2900"/>
      <c r="T7" s="2901"/>
      <c r="U7" s="2901"/>
      <c r="V7" s="2901"/>
      <c r="W7" s="2883"/>
      <c r="X7" s="2883">
        <f>ROUND(IF(项目基本情况!B7="出让",SUMPRODUCT(PRODUCT(1+N7:N$33)),SUMPRODUCT(PRODUCT(1+N7:N$32))),4)</f>
        <v>1.571</v>
      </c>
      <c r="Y7" s="2883">
        <f>ROUND(IF(项目基本情况!B7="出让",SUMPRODUCT(PRODUCT(1+O7:O$33)),SUMPRODUCT(PRODUCT(1+O7:O$32))),4)</f>
        <v>1.3420000000000001</v>
      </c>
      <c r="Z7" s="2883">
        <f t="shared" ref="Z7" si="33">Y7</f>
        <v>1.3420000000000001</v>
      </c>
      <c r="AA7" s="2883">
        <f>ROUND(IF(项目基本情况!B7="出让",SUMPRODUCT(PRODUCT(1+P7:P$33)),SUMPRODUCT(PRODUCT(1+P7:P$32))),4)</f>
        <v>1.6415999999999999</v>
      </c>
      <c r="AB7" s="2883">
        <f>ROUND(IF(项目基本情况!B7="出让",SUMPRODUCT(PRODUCT(1+Q7:Q$33)),SUMPRODUCT(PRODUCT(1+Q7:Q$32))),4)</f>
        <v>1.389</v>
      </c>
      <c r="AC7" s="2883"/>
      <c r="AD7" s="2884">
        <f>ROUND(AVERAGE(I7:I$33)/100,4)</f>
        <v>1.8100000000000002E-2</v>
      </c>
      <c r="AE7" s="2884">
        <f>ROUND(AVERAGE(J7:J$33)/100,4)</f>
        <v>1.1900000000000001E-2</v>
      </c>
      <c r="AF7" s="2884">
        <f t="shared" ref="AF7" si="34">AE7</f>
        <v>1.1900000000000001E-2</v>
      </c>
      <c r="AG7" s="2884">
        <f>ROUND(AVERAGE(K7:K$33)/100,4)</f>
        <v>1.9900000000000001E-2</v>
      </c>
      <c r="AH7" s="2884">
        <f>ROUND(AVERAGE(L7:L$33)/100,4)</f>
        <v>1.2800000000000001E-2</v>
      </c>
    </row>
    <row r="8" spans="1:34" s="2902" customFormat="1">
      <c r="A8" s="2895" t="s">
        <v>2962</v>
      </c>
      <c r="B8" s="2896">
        <f t="shared" ref="B8" si="35">B9*(1+N8)</f>
        <v>481.4103506697644</v>
      </c>
      <c r="C8" s="2896">
        <f t="shared" ref="C8" si="36">C9*(1+O8)</f>
        <v>347.29066026648707</v>
      </c>
      <c r="D8" s="2896">
        <f t="shared" ref="D8" si="37">C8</f>
        <v>347.29066026648707</v>
      </c>
      <c r="E8" s="2896">
        <f t="shared" ref="E8" si="38">E9*(1+P8)</f>
        <v>690.85977273901995</v>
      </c>
      <c r="F8" s="2896">
        <f t="shared" ref="F8" si="39">F9*(1+Q8)</f>
        <v>319.13136737000184</v>
      </c>
      <c r="G8" s="2879">
        <v>2020</v>
      </c>
      <c r="H8" s="2897">
        <v>2</v>
      </c>
      <c r="I8" s="2859">
        <v>0.31</v>
      </c>
      <c r="J8" s="2859">
        <v>-0.78</v>
      </c>
      <c r="K8" s="2859">
        <v>0.5</v>
      </c>
      <c r="L8" s="2860">
        <v>0.47</v>
      </c>
      <c r="M8" s="2883"/>
      <c r="N8" s="2898">
        <f t="shared" ref="N8" si="40">I8/100</f>
        <v>3.0999999999999999E-3</v>
      </c>
      <c r="O8" s="2884">
        <f t="shared" ref="O8" si="41">J8/100</f>
        <v>-7.8000000000000005E-3</v>
      </c>
      <c r="P8" s="2884">
        <f t="shared" ref="P8" si="42">K8/100</f>
        <v>5.0000000000000001E-3</v>
      </c>
      <c r="Q8" s="2884">
        <f t="shared" ref="Q8" si="43">L8/100</f>
        <v>4.6999999999999993E-3</v>
      </c>
      <c r="R8" s="2899"/>
      <c r="S8" s="2900"/>
      <c r="T8" s="2901"/>
      <c r="U8" s="2901"/>
      <c r="V8" s="2901"/>
      <c r="W8" s="2883"/>
      <c r="X8" s="2883">
        <f>ROUND(IF(项目基本情况!B8="出让",SUMPRODUCT(PRODUCT(1+N8:N$33)),SUMPRODUCT(PRODUCT(1+N8:N$32))),4)</f>
        <v>1.5652999999999999</v>
      </c>
      <c r="Y8" s="2883">
        <f>ROUND(IF(项目基本情况!B8="出让",SUMPRODUCT(PRODUCT(1+O8:O$33)),SUMPRODUCT(PRODUCT(1+O8:O$32))),4)</f>
        <v>1.3472</v>
      </c>
      <c r="Z8" s="2883">
        <f t="shared" ref="Z8" si="44">Y8</f>
        <v>1.3472</v>
      </c>
      <c r="AA8" s="2883">
        <f>ROUND(IF(项目基本情况!B8="出让",SUMPRODUCT(PRODUCT(1+P8:P$33)),SUMPRODUCT(PRODUCT(1+P8:P$32))),4)</f>
        <v>1.6335999999999999</v>
      </c>
      <c r="AB8" s="2883">
        <f>ROUND(IF(项目基本情况!B8="出让",SUMPRODUCT(PRODUCT(1+Q8:Q$33)),SUMPRODUCT(PRODUCT(1+Q8:Q$32))),4)</f>
        <v>1.3880999999999999</v>
      </c>
      <c r="AC8" s="2883"/>
      <c r="AD8" s="2884">
        <f>ROUND(AVERAGE(I8:I$33)/100,4)</f>
        <v>1.8599999999999998E-2</v>
      </c>
      <c r="AE8" s="2884">
        <f>ROUND(AVERAGE(J8:J$33)/100,4)</f>
        <v>1.2500000000000001E-2</v>
      </c>
      <c r="AF8" s="2884">
        <f t="shared" ref="AF8" si="45">AE8</f>
        <v>1.2500000000000001E-2</v>
      </c>
      <c r="AG8" s="2884">
        <f>ROUND(AVERAGE(K8:K$33)/100,4)</f>
        <v>2.0400000000000001E-2</v>
      </c>
      <c r="AH8" s="2884">
        <f>ROUND(AVERAGE(L8:L$33)/100,4)</f>
        <v>1.32E-2</v>
      </c>
    </row>
    <row r="9" spans="1:34" s="2902" customFormat="1">
      <c r="A9" s="2895" t="s">
        <v>2960</v>
      </c>
      <c r="B9" s="2896">
        <f t="shared" ref="B9" si="46">B10*(1+N9)</f>
        <v>479.92259063878413</v>
      </c>
      <c r="C9" s="2896">
        <f t="shared" ref="C9" si="47">C10*(1+O9)</f>
        <v>350.02082268341775</v>
      </c>
      <c r="D9" s="2896">
        <f t="shared" ref="D9" si="48">C9</f>
        <v>350.02082268341775</v>
      </c>
      <c r="E9" s="2896">
        <f t="shared" ref="E9" si="49">E10*(1+P9)</f>
        <v>687.42265944181099</v>
      </c>
      <c r="F9" s="2896">
        <f t="shared" ref="F9" si="50">F10*(1+Q9)</f>
        <v>317.63846657708956</v>
      </c>
      <c r="G9" s="2879">
        <v>2020</v>
      </c>
      <c r="H9" s="2897">
        <v>1</v>
      </c>
      <c r="I9" s="2859">
        <v>0.12</v>
      </c>
      <c r="J9" s="2859">
        <v>-0.4</v>
      </c>
      <c r="K9" s="2859">
        <v>0.21</v>
      </c>
      <c r="L9" s="2860">
        <v>0.27</v>
      </c>
      <c r="M9" s="2883"/>
      <c r="N9" s="2898">
        <f t="shared" ref="N9" si="51">I9/100</f>
        <v>1.1999999999999999E-3</v>
      </c>
      <c r="O9" s="2884">
        <f t="shared" ref="O9" si="52">J9/100</f>
        <v>-4.0000000000000001E-3</v>
      </c>
      <c r="P9" s="2884">
        <f t="shared" ref="P9" si="53">K9/100</f>
        <v>2.0999999999999999E-3</v>
      </c>
      <c r="Q9" s="2884">
        <f t="shared" ref="Q9" si="54">L9/100</f>
        <v>2.7000000000000001E-3</v>
      </c>
      <c r="R9" s="2899"/>
      <c r="S9" s="2900">
        <f>B9/B10-1</f>
        <v>1.2000000000000899E-3</v>
      </c>
      <c r="T9" s="2901">
        <f>C9/C10-1</f>
        <v>-4.0000000000000036E-3</v>
      </c>
      <c r="U9" s="2901">
        <f>E9/E10-1</f>
        <v>2.0999999999999908E-3</v>
      </c>
      <c r="V9" s="2901">
        <f>F9/F10-1</f>
        <v>2.6999999999999247E-3</v>
      </c>
      <c r="W9" s="2883"/>
      <c r="X9" s="2883">
        <f>ROUND(IF(项目基本情况!B8="出让",SUMPRODUCT(PRODUCT(1+N9:N$33)),SUMPRODUCT(PRODUCT(1+N9:N$32))),4)</f>
        <v>1.5605</v>
      </c>
      <c r="Y9" s="2883">
        <f>ROUND(IF(项目基本情况!B8="出让",SUMPRODUCT(PRODUCT(1+O9:O$33)),SUMPRODUCT(PRODUCT(1+O9:O$32))),4)</f>
        <v>1.3577999999999999</v>
      </c>
      <c r="Z9" s="2883">
        <f t="shared" ref="Z9" si="55">Y9</f>
        <v>1.3577999999999999</v>
      </c>
      <c r="AA9" s="2883">
        <f>ROUND(IF(项目基本情况!B8="出让",SUMPRODUCT(PRODUCT(1+P9:P$33)),SUMPRODUCT(PRODUCT(1+P9:P$32))),4)</f>
        <v>1.6254999999999999</v>
      </c>
      <c r="AB9" s="2883">
        <f>ROUND(IF(项目基本情况!B8="出让",SUMPRODUCT(PRODUCT(1+Q9:Q$33)),SUMPRODUCT(PRODUCT(1+Q9:Q$32))),4)</f>
        <v>1.3815999999999999</v>
      </c>
      <c r="AC9" s="2883"/>
      <c r="AD9" s="2884">
        <f>ROUND(AVERAGE(I9:I$33)/100,4)</f>
        <v>1.9199999999999998E-2</v>
      </c>
      <c r="AE9" s="2884">
        <f>ROUND(AVERAGE(J9:J$33)/100,4)</f>
        <v>1.3299999999999999E-2</v>
      </c>
      <c r="AF9" s="2884">
        <f t="shared" ref="AF9" si="56">AE9</f>
        <v>1.3299999999999999E-2</v>
      </c>
      <c r="AG9" s="2884">
        <f>ROUND(AVERAGE(K9:K$33)/100,4)</f>
        <v>2.1100000000000001E-2</v>
      </c>
      <c r="AH9" s="2884">
        <f>ROUND(AVERAGE(L9:L$33)/100,4)</f>
        <v>1.3599999999999999E-2</v>
      </c>
    </row>
    <row r="10" spans="1:34" s="2902" customFormat="1">
      <c r="A10" s="2895" t="s">
        <v>2957</v>
      </c>
      <c r="B10" s="2896">
        <f t="shared" ref="B10" si="57">B11*(1+N10)</f>
        <v>479.34737379023579</v>
      </c>
      <c r="C10" s="2896">
        <f t="shared" ref="C10" si="58">C11*(1+O10)</f>
        <v>351.4265287986122</v>
      </c>
      <c r="D10" s="2896">
        <f t="shared" ref="D10" si="59">C10</f>
        <v>351.4265287986122</v>
      </c>
      <c r="E10" s="2896">
        <f t="shared" ref="E10" si="60">E11*(1+P10)</f>
        <v>685.98209703803116</v>
      </c>
      <c r="F10" s="2896">
        <f t="shared" ref="F10" si="61">F11*(1+Q10)</f>
        <v>316.78315206651001</v>
      </c>
      <c r="G10" s="2879">
        <v>2019</v>
      </c>
      <c r="H10" s="2897">
        <v>4</v>
      </c>
      <c r="I10" s="2897">
        <v>0.45</v>
      </c>
      <c r="J10" s="2897">
        <v>-0.12</v>
      </c>
      <c r="K10" s="2897">
        <v>0.54</v>
      </c>
      <c r="L10" s="2903">
        <v>0.48</v>
      </c>
      <c r="M10" s="2883"/>
      <c r="N10" s="2898">
        <f t="shared" ref="N10" si="62">I10/100</f>
        <v>4.5000000000000005E-3</v>
      </c>
      <c r="O10" s="2884">
        <f t="shared" ref="O10" si="63">J10/100</f>
        <v>-1.1999999999999999E-3</v>
      </c>
      <c r="P10" s="2884">
        <f t="shared" ref="P10" si="64">K10/100</f>
        <v>5.4000000000000003E-3</v>
      </c>
      <c r="Q10" s="2884">
        <f t="shared" ref="Q10" si="65">L10/100</f>
        <v>4.7999999999999996E-3</v>
      </c>
      <c r="R10" s="2899"/>
      <c r="S10" s="2900"/>
      <c r="T10" s="2901"/>
      <c r="U10" s="2901"/>
      <c r="V10" s="2901"/>
      <c r="W10" s="2883"/>
      <c r="X10" s="2883">
        <f>ROUND(IF(项目基本情况!B8="出让",SUMPRODUCT(PRODUCT(1+N10:N$33)),SUMPRODUCT(PRODUCT(1+N10:N$32))),4)</f>
        <v>1.5586</v>
      </c>
      <c r="Y10" s="2883">
        <f>ROUND(IF(项目基本情况!B8="出让",SUMPRODUCT(PRODUCT(1+O10:O$33)),SUMPRODUCT(PRODUCT(1+O10:O$32))),4)</f>
        <v>1.3633</v>
      </c>
      <c r="Z10" s="2883">
        <f t="shared" ref="Z10" si="66">Y10</f>
        <v>1.3633</v>
      </c>
      <c r="AA10" s="2883">
        <f>ROUND(IF(项目基本情况!B8="出让",SUMPRODUCT(PRODUCT(1+P10:P$33)),SUMPRODUCT(PRODUCT(1+P10:P$32))),4)</f>
        <v>1.6221000000000001</v>
      </c>
      <c r="AB10" s="2883">
        <f>ROUND(IF(项目基本情况!B8="出让",SUMPRODUCT(PRODUCT(1+Q10:Q$33)),SUMPRODUCT(PRODUCT(1+Q10:Q$32))),4)</f>
        <v>1.3777999999999999</v>
      </c>
      <c r="AC10" s="2883"/>
      <c r="AD10" s="2884">
        <f>ROUND(AVERAGE(I10:I$33)/100,4)</f>
        <v>0.02</v>
      </c>
      <c r="AE10" s="2884">
        <f>ROUND(AVERAGE(J10:J$33)/100,4)</f>
        <v>1.4E-2</v>
      </c>
      <c r="AF10" s="2884">
        <f t="shared" ref="AF10" si="67">AE10</f>
        <v>1.4E-2</v>
      </c>
      <c r="AG10" s="2884">
        <f>ROUND(AVERAGE(K10:K$33)/100,4)</f>
        <v>2.1899999999999999E-2</v>
      </c>
      <c r="AH10" s="2884">
        <f>ROUND(AVERAGE(L10:L$33)/100,4)</f>
        <v>1.4E-2</v>
      </c>
    </row>
    <row r="11" spans="1:34" s="2902" customFormat="1" ht="13.5" thickBot="1">
      <c r="A11" s="2895" t="s">
        <v>2956</v>
      </c>
      <c r="B11" s="2896">
        <f t="shared" ref="B11" si="68">B12*(1+N11)</f>
        <v>477.19997390765138</v>
      </c>
      <c r="C11" s="2896">
        <f t="shared" ref="C11" si="69">C12*(1+O11)</f>
        <v>351.84874729536665</v>
      </c>
      <c r="D11" s="2896">
        <f t="shared" ref="D11" si="70">C11</f>
        <v>351.84874729536665</v>
      </c>
      <c r="E11" s="2896">
        <f t="shared" ref="E11" si="71">E12*(1+P11)</f>
        <v>682.29768951465201</v>
      </c>
      <c r="F11" s="2896">
        <f t="shared" ref="F11" si="72">F12*(1+Q11)</f>
        <v>315.26985675409043</v>
      </c>
      <c r="G11" s="2879">
        <v>2019</v>
      </c>
      <c r="H11" s="2897">
        <v>3</v>
      </c>
      <c r="I11" s="2897">
        <v>0.61</v>
      </c>
      <c r="J11" s="2897">
        <v>0.67</v>
      </c>
      <c r="K11" s="2897">
        <v>0.6</v>
      </c>
      <c r="L11" s="2903">
        <v>1.03</v>
      </c>
      <c r="M11" s="2883"/>
      <c r="N11" s="2898">
        <f t="shared" ref="N11" si="73">I11/100</f>
        <v>6.0999999999999995E-3</v>
      </c>
      <c r="O11" s="2884">
        <f t="shared" ref="O11" si="74">J11/100</f>
        <v>6.7000000000000002E-3</v>
      </c>
      <c r="P11" s="2884">
        <f t="shared" ref="P11" si="75">K11/100</f>
        <v>6.0000000000000001E-3</v>
      </c>
      <c r="Q11" s="2884">
        <f t="shared" ref="Q11" si="76">L11/100</f>
        <v>1.03E-2</v>
      </c>
      <c r="R11" s="2899"/>
      <c r="S11" s="2900"/>
      <c r="T11" s="2901"/>
      <c r="U11" s="2901"/>
      <c r="V11" s="2901"/>
      <c r="W11" s="2883"/>
      <c r="X11" s="2883">
        <f>ROUND(IF(项目基本情况!B8="出让",SUMPRODUCT(PRODUCT(1+N11:N$33)),SUMPRODUCT(PRODUCT(1+N11:N$32))),4)</f>
        <v>1.5516000000000001</v>
      </c>
      <c r="Y11" s="2883">
        <f>ROUND(IF(项目基本情况!B8="出让",SUMPRODUCT(PRODUCT(1+O11:O$33)),SUMPRODUCT(PRODUCT(1+O11:O$32))),4)</f>
        <v>1.3649</v>
      </c>
      <c r="Z11" s="2883">
        <f t="shared" ref="Z11" si="77">Y11</f>
        <v>1.3649</v>
      </c>
      <c r="AA11" s="2883">
        <f>ROUND(IF(项目基本情况!B8="出让",SUMPRODUCT(PRODUCT(1+P11:P$33)),SUMPRODUCT(PRODUCT(1+P11:P$32))),4)</f>
        <v>1.6133999999999999</v>
      </c>
      <c r="AB11" s="2883">
        <f>ROUND(IF(项目基本情况!B8="出让",SUMPRODUCT(PRODUCT(1+Q11:Q$33)),SUMPRODUCT(PRODUCT(1+Q11:Q$32))),4)</f>
        <v>1.3713</v>
      </c>
      <c r="AC11" s="2883"/>
      <c r="AD11" s="2884">
        <f>ROUND(AVERAGE(I11:I$33)/100,4)</f>
        <v>2.07E-2</v>
      </c>
      <c r="AE11" s="2884">
        <f>ROUND(AVERAGE(J11:J$33)/100,4)</f>
        <v>1.47E-2</v>
      </c>
      <c r="AF11" s="2884">
        <f t="shared" ref="AF11" si="78">AE11</f>
        <v>1.47E-2</v>
      </c>
      <c r="AG11" s="2884">
        <f>ROUND(AVERAGE(K11:K$33)/100,4)</f>
        <v>2.2599999999999999E-2</v>
      </c>
      <c r="AH11" s="2884">
        <f>ROUND(AVERAGE(L11:L$33)/100,4)</f>
        <v>1.44E-2</v>
      </c>
    </row>
    <row r="12" spans="1:34" s="2902" customFormat="1">
      <c r="A12" s="2895" t="s">
        <v>2953</v>
      </c>
      <c r="B12" s="2896">
        <f t="shared" ref="B12:B17" si="79">B13*(1+N12)</f>
        <v>474.30670301923408</v>
      </c>
      <c r="C12" s="2896">
        <f t="shared" ref="C12" si="80">C13*(1+O12)</f>
        <v>349.50705005996491</v>
      </c>
      <c r="D12" s="2896">
        <f t="shared" ref="D12" si="81">C12</f>
        <v>349.50705005996491</v>
      </c>
      <c r="E12" s="2896">
        <f t="shared" ref="E12" si="82">E13*(1+P12)</f>
        <v>678.22831959706957</v>
      </c>
      <c r="F12" s="2896">
        <f t="shared" ref="F12" si="83">F13*(1+Q12)</f>
        <v>312.0556832169558</v>
      </c>
      <c r="G12" s="2879">
        <v>2019</v>
      </c>
      <c r="H12" s="2904">
        <v>2</v>
      </c>
      <c r="I12" s="2904">
        <v>1.53</v>
      </c>
      <c r="J12" s="2904">
        <v>1.01</v>
      </c>
      <c r="K12" s="2904">
        <v>1.62</v>
      </c>
      <c r="L12" s="2905">
        <v>1.25</v>
      </c>
      <c r="M12" s="2883"/>
      <c r="N12" s="2898">
        <f t="shared" ref="N12" si="84">I12/100</f>
        <v>1.5300000000000001E-2</v>
      </c>
      <c r="O12" s="2884">
        <f t="shared" ref="O12" si="85">J12/100</f>
        <v>1.01E-2</v>
      </c>
      <c r="P12" s="2884">
        <f t="shared" ref="P12" si="86">K12/100</f>
        <v>1.6200000000000003E-2</v>
      </c>
      <c r="Q12" s="2884">
        <f t="shared" ref="Q12" si="87">L12/100</f>
        <v>1.2500000000000001E-2</v>
      </c>
      <c r="R12" s="2899"/>
      <c r="S12" s="2900"/>
      <c r="T12" s="2901"/>
      <c r="U12" s="2901"/>
      <c r="V12" s="2901"/>
      <c r="W12" s="2883"/>
      <c r="X12" s="2883">
        <f>ROUND(IF(项目基本情况!B8="出让",SUMPRODUCT(PRODUCT(1+N12:N$33)),SUMPRODUCT(PRODUCT(1+N12:N$32))),4)</f>
        <v>1.5422</v>
      </c>
      <c r="Y12" s="2883">
        <f>ROUND(IF(项目基本情况!B8="出让",SUMPRODUCT(PRODUCT(1+O12:O$33)),SUMPRODUCT(PRODUCT(1+O12:O$32))),4)</f>
        <v>1.3557999999999999</v>
      </c>
      <c r="Z12" s="2883">
        <f t="shared" ref="Z12" si="88">Y12</f>
        <v>1.3557999999999999</v>
      </c>
      <c r="AA12" s="2883">
        <f>ROUND(IF(项目基本情况!B8="出让",SUMPRODUCT(PRODUCT(1+P12:P$33)),SUMPRODUCT(PRODUCT(1+P12:P$32))),4)</f>
        <v>1.6036999999999999</v>
      </c>
      <c r="AB12" s="2883">
        <f>ROUND(IF(项目基本情况!B8="出让",SUMPRODUCT(PRODUCT(1+Q12:Q$33)),SUMPRODUCT(PRODUCT(1+Q12:Q$32))),4)</f>
        <v>1.3573</v>
      </c>
      <c r="AC12" s="2883"/>
      <c r="AD12" s="2884">
        <f>ROUND(AVERAGE(I12:I$33)/100,4)</f>
        <v>2.1299999999999999E-2</v>
      </c>
      <c r="AE12" s="2884">
        <f>ROUND(AVERAGE(J12:J$33)/100,4)</f>
        <v>1.4999999999999999E-2</v>
      </c>
      <c r="AF12" s="2884">
        <f t="shared" ref="AF12" si="89">AE12</f>
        <v>1.4999999999999999E-2</v>
      </c>
      <c r="AG12" s="2884">
        <f>ROUND(AVERAGE(K12:K$33)/100,4)</f>
        <v>2.3300000000000001E-2</v>
      </c>
      <c r="AH12" s="2884">
        <f>ROUND(AVERAGE(L12:L$33)/100,4)</f>
        <v>1.46E-2</v>
      </c>
    </row>
    <row r="13" spans="1:34" s="2902" customFormat="1" ht="13.5" thickBot="1">
      <c r="A13" s="2895" t="s">
        <v>2952</v>
      </c>
      <c r="B13" s="2896">
        <f t="shared" si="79"/>
        <v>467.15916775261894</v>
      </c>
      <c r="C13" s="2896">
        <f t="shared" ref="C13" si="90">C14*(1+O13)</f>
        <v>346.01232557169084</v>
      </c>
      <c r="D13" s="2896">
        <f t="shared" ref="D13" si="91">C13</f>
        <v>346.01232557169084</v>
      </c>
      <c r="E13" s="2896">
        <f t="shared" ref="E13" si="92">E14*(1+P13)</f>
        <v>667.41617752122568</v>
      </c>
      <c r="F13" s="2896">
        <f t="shared" ref="F13" si="93">F14*(1+Q13)</f>
        <v>308.20314391798104</v>
      </c>
      <c r="G13" s="2879">
        <v>2019</v>
      </c>
      <c r="H13" s="2897">
        <v>1</v>
      </c>
      <c r="I13" s="2897">
        <v>0.6</v>
      </c>
      <c r="J13" s="2897">
        <v>0.37</v>
      </c>
      <c r="K13" s="2897">
        <v>0.63</v>
      </c>
      <c r="L13" s="2903">
        <v>1.1299999999999999</v>
      </c>
      <c r="M13" s="2883"/>
      <c r="N13" s="2898">
        <f t="shared" ref="N13" si="94">I13/100</f>
        <v>6.0000000000000001E-3</v>
      </c>
      <c r="O13" s="2884">
        <f t="shared" ref="O13" si="95">J13/100</f>
        <v>3.7000000000000002E-3</v>
      </c>
      <c r="P13" s="2884">
        <f t="shared" ref="P13" si="96">K13/100</f>
        <v>6.3E-3</v>
      </c>
      <c r="Q13" s="2884">
        <f t="shared" ref="Q13" si="97">L13/100</f>
        <v>1.1299999999999999E-2</v>
      </c>
      <c r="R13" s="2899"/>
      <c r="S13" s="2900">
        <f>B13/B14-1</f>
        <v>6.0000000000000053E-3</v>
      </c>
      <c r="T13" s="2901">
        <f>C13/C14-1</f>
        <v>3.7000000000000366E-3</v>
      </c>
      <c r="U13" s="2901">
        <f>E13/E14-1</f>
        <v>6.2999999999999723E-3</v>
      </c>
      <c r="V13" s="2901">
        <f>F13/F14-1</f>
        <v>1.1300000000000088E-2</v>
      </c>
      <c r="W13" s="2883"/>
      <c r="X13" s="2883">
        <f>ROUND(IF(项目基本情况!B8="出让",SUMPRODUCT(PRODUCT(1+N13:N$33)),SUMPRODUCT(PRODUCT(1+N13:N$32))),4)</f>
        <v>1.5189999999999999</v>
      </c>
      <c r="Y13" s="2883">
        <f>ROUND(IF(项目基本情况!B8="出让",SUMPRODUCT(PRODUCT(1+O13:O$33)),SUMPRODUCT(PRODUCT(1+O13:O$32))),4)</f>
        <v>1.3423</v>
      </c>
      <c r="Z13" s="2883">
        <f t="shared" ref="Z13" si="98">Y13</f>
        <v>1.3423</v>
      </c>
      <c r="AA13" s="2883">
        <f>ROUND(IF(项目基本情况!B8="出让",SUMPRODUCT(PRODUCT(1+P13:P$33)),SUMPRODUCT(PRODUCT(1+P13:P$32))),4)</f>
        <v>1.5782</v>
      </c>
      <c r="AB13" s="2883">
        <f>ROUND(IF(项目基本情况!B8="出让",SUMPRODUCT(PRODUCT(1+Q13:Q$33)),SUMPRODUCT(PRODUCT(1+Q13:Q$32))),4)</f>
        <v>1.3405</v>
      </c>
      <c r="AC13" s="2883"/>
      <c r="AD13" s="2884">
        <f>ROUND(AVERAGE(I13:I$33)/100,4)</f>
        <v>2.1600000000000001E-2</v>
      </c>
      <c r="AE13" s="2884">
        <f>ROUND(AVERAGE(J13:J$33)/100,4)</f>
        <v>1.5299999999999999E-2</v>
      </c>
      <c r="AF13" s="2884">
        <f t="shared" ref="AF13" si="99">AE13</f>
        <v>1.5299999999999999E-2</v>
      </c>
      <c r="AG13" s="2884">
        <f>ROUND(AVERAGE(K13:K$33)/100,4)</f>
        <v>2.3699999999999999E-2</v>
      </c>
      <c r="AH13" s="2884">
        <f>ROUND(AVERAGE(L13:L$33)/100,4)</f>
        <v>1.47E-2</v>
      </c>
    </row>
    <row r="14" spans="1:34" s="2902" customFormat="1">
      <c r="A14" s="2895" t="s">
        <v>2949</v>
      </c>
      <c r="B14" s="2906">
        <f t="shared" si="79"/>
        <v>464.37293017158942</v>
      </c>
      <c r="C14" s="2906">
        <f t="shared" ref="C14" si="100">C15*(1+O14)</f>
        <v>344.73679941385956</v>
      </c>
      <c r="D14" s="2906">
        <f t="shared" ref="D14" si="101">C14</f>
        <v>344.73679941385956</v>
      </c>
      <c r="E14" s="2906">
        <f t="shared" ref="E14" si="102">E15*(1+P14)</f>
        <v>663.2377795103107</v>
      </c>
      <c r="F14" s="2907">
        <f t="shared" ref="F14" si="103">F15*(1+Q14)</f>
        <v>304.75936311478398</v>
      </c>
      <c r="G14" s="3572">
        <v>2018</v>
      </c>
      <c r="H14" s="2904">
        <v>4</v>
      </c>
      <c r="I14" s="2904">
        <v>0.96</v>
      </c>
      <c r="J14" s="2904">
        <v>1.03</v>
      </c>
      <c r="K14" s="2904">
        <v>0.92</v>
      </c>
      <c r="L14" s="2905">
        <v>1.29</v>
      </c>
      <c r="M14" s="2883"/>
      <c r="N14" s="2898">
        <f t="shared" ref="N14" si="104">I14/100</f>
        <v>9.5999999999999992E-3</v>
      </c>
      <c r="O14" s="2884">
        <f t="shared" ref="O14" si="105">J14/100</f>
        <v>1.03E-2</v>
      </c>
      <c r="P14" s="2884">
        <f t="shared" ref="P14" si="106">K14/100</f>
        <v>9.1999999999999998E-3</v>
      </c>
      <c r="Q14" s="2884">
        <f t="shared" ref="Q14" si="107">L14/100</f>
        <v>1.29E-2</v>
      </c>
      <c r="R14" s="2899"/>
      <c r="S14" s="2908"/>
      <c r="T14" s="2909"/>
      <c r="U14" s="2909"/>
      <c r="V14" s="2909"/>
      <c r="W14" s="2883"/>
      <c r="X14" s="2883">
        <f>ROUND(SUMPRODUCT(PRODUCT(1+N14:N$32)),4)</f>
        <v>1.5099</v>
      </c>
      <c r="Y14" s="2883">
        <f>ROUND(SUMPRODUCT(PRODUCT(1+O14:O$32)),4)</f>
        <v>1.3372999999999999</v>
      </c>
      <c r="Z14" s="2883">
        <f t="shared" ref="Z14" si="108">Y14</f>
        <v>1.3372999999999999</v>
      </c>
      <c r="AA14" s="2883">
        <f>ROUND(SUMPRODUCT(PRODUCT(1+P14:P$32)),4)</f>
        <v>1.5683</v>
      </c>
      <c r="AB14" s="2883">
        <f>ROUND(SUMPRODUCT(PRODUCT(1+Q14:Q$32)),4)</f>
        <v>1.3255999999999999</v>
      </c>
      <c r="AC14" s="2883"/>
      <c r="AD14" s="2884">
        <f>ROUND(AVERAGE(I14:I$33)/100,4)</f>
        <v>2.24E-2</v>
      </c>
      <c r="AE14" s="2884">
        <f>ROUND(AVERAGE(J14:J$33)/100,4)</f>
        <v>1.5800000000000002E-2</v>
      </c>
      <c r="AF14" s="2884">
        <f t="shared" ref="AF14" si="109">AE14</f>
        <v>1.5800000000000002E-2</v>
      </c>
      <c r="AG14" s="2884">
        <f>ROUND(AVERAGE(K14:K$33)/100,4)</f>
        <v>2.4500000000000001E-2</v>
      </c>
      <c r="AH14" s="2884">
        <f>ROUND(AVERAGE(L14:L$33)/100,4)</f>
        <v>1.49E-2</v>
      </c>
    </row>
    <row r="15" spans="1:34" s="2902" customFormat="1" ht="14.45" customHeight="1">
      <c r="A15" s="2895" t="s">
        <v>2942</v>
      </c>
      <c r="B15" s="2896">
        <f t="shared" si="79"/>
        <v>459.95733971036987</v>
      </c>
      <c r="C15" s="2896">
        <f t="shared" ref="C15" si="110">C16*(1+O15)</f>
        <v>341.22221064422405</v>
      </c>
      <c r="D15" s="2896">
        <f t="shared" ref="D15" si="111">C15</f>
        <v>341.22221064422405</v>
      </c>
      <c r="E15" s="2896">
        <f t="shared" ref="E15" si="112">E16*(1+P15)</f>
        <v>657.19161663724799</v>
      </c>
      <c r="F15" s="2896">
        <f t="shared" ref="F15" si="113">F16*(1+Q15)</f>
        <v>300.87803644464805</v>
      </c>
      <c r="G15" s="3572"/>
      <c r="H15" s="2897">
        <v>3</v>
      </c>
      <c r="I15" s="2897">
        <v>1.51</v>
      </c>
      <c r="J15" s="2897">
        <v>1.41</v>
      </c>
      <c r="K15" s="2897">
        <v>1.52</v>
      </c>
      <c r="L15" s="2903">
        <v>1.74</v>
      </c>
      <c r="M15" s="2883"/>
      <c r="N15" s="2898">
        <f t="shared" ref="N15" si="114">I15/100</f>
        <v>1.5100000000000001E-2</v>
      </c>
      <c r="O15" s="2884">
        <f t="shared" ref="O15" si="115">J15/100</f>
        <v>1.41E-2</v>
      </c>
      <c r="P15" s="2884">
        <f t="shared" ref="P15" si="116">K15/100</f>
        <v>1.52E-2</v>
      </c>
      <c r="Q15" s="2884">
        <f t="shared" ref="Q15" si="117">L15/100</f>
        <v>1.7399999999999999E-2</v>
      </c>
      <c r="R15" s="2899"/>
      <c r="S15" s="2898"/>
      <c r="T15" s="2884"/>
      <c r="U15" s="2884"/>
      <c r="V15" s="2884"/>
      <c r="W15" s="2883"/>
      <c r="X15" s="2883">
        <f>ROUND(SUMPRODUCT(PRODUCT(1+N15:N$32)),4)</f>
        <v>1.4956</v>
      </c>
      <c r="Y15" s="2883">
        <f>ROUND(SUMPRODUCT(PRODUCT(1+O15:O$32)),4)</f>
        <v>1.3237000000000001</v>
      </c>
      <c r="Z15" s="2883">
        <f t="shared" ref="Z15" si="118">Y15</f>
        <v>1.3237000000000001</v>
      </c>
      <c r="AA15" s="2883">
        <f>ROUND(SUMPRODUCT(PRODUCT(1+P15:P$32)),4)</f>
        <v>1.554</v>
      </c>
      <c r="AB15" s="2883">
        <f>ROUND(SUMPRODUCT(PRODUCT(1+Q15:Q$32)),4)</f>
        <v>1.3087</v>
      </c>
      <c r="AC15" s="2883"/>
      <c r="AD15" s="2884">
        <f>ROUND(AVERAGE(I15:I$33)/100,4)</f>
        <v>2.3099999999999999E-2</v>
      </c>
      <c r="AE15" s="2884">
        <f>ROUND(AVERAGE(J15:J$33)/100,4)</f>
        <v>1.61E-2</v>
      </c>
      <c r="AF15" s="2884">
        <f t="shared" ref="AF15" si="119">AE15</f>
        <v>1.61E-2</v>
      </c>
      <c r="AG15" s="2884">
        <f>ROUND(AVERAGE(K15:K$33)/100,4)</f>
        <v>2.53E-2</v>
      </c>
      <c r="AH15" s="2884">
        <f>ROUND(AVERAGE(L15:L$33)/100,4)</f>
        <v>1.4999999999999999E-2</v>
      </c>
    </row>
    <row r="16" spans="1:34" s="2902" customFormat="1" ht="14.45" customHeight="1">
      <c r="A16" s="2895" t="s">
        <v>2943</v>
      </c>
      <c r="B16" s="2896">
        <f t="shared" si="79"/>
        <v>453.11529869999993</v>
      </c>
      <c r="C16" s="2896">
        <f t="shared" ref="C16" si="120">C17*(1+O16)</f>
        <v>336.47787264000004</v>
      </c>
      <c r="D16" s="2896">
        <f t="shared" ref="D16" si="121">C16</f>
        <v>336.47787264000004</v>
      </c>
      <c r="E16" s="2896">
        <f t="shared" ref="E16" si="122">E17*(1+P16)</f>
        <v>647.35186823999993</v>
      </c>
      <c r="F16" s="2896">
        <f t="shared" ref="F16" si="123">F17*(1+Q16)</f>
        <v>295.73229452000004</v>
      </c>
      <c r="G16" s="3572"/>
      <c r="H16" s="2910">
        <v>2</v>
      </c>
      <c r="I16" s="2910">
        <v>1.49</v>
      </c>
      <c r="J16" s="2910">
        <v>0.96</v>
      </c>
      <c r="K16" s="2910">
        <v>1.58</v>
      </c>
      <c r="L16" s="2911">
        <v>2.44</v>
      </c>
      <c r="M16" s="2883"/>
      <c r="N16" s="2898">
        <f t="shared" ref="N16" si="124">I16/100</f>
        <v>1.49E-2</v>
      </c>
      <c r="O16" s="2884">
        <f t="shared" ref="O16" si="125">J16/100</f>
        <v>9.5999999999999992E-3</v>
      </c>
      <c r="P16" s="2884">
        <f t="shared" ref="P16" si="126">K16/100</f>
        <v>1.5800000000000002E-2</v>
      </c>
      <c r="Q16" s="2884">
        <f t="shared" ref="Q16" si="127">L16/100</f>
        <v>2.4399999999999998E-2</v>
      </c>
      <c r="R16" s="2899"/>
      <c r="S16" s="2898"/>
      <c r="T16" s="2884"/>
      <c r="U16" s="2884"/>
      <c r="V16" s="2884"/>
      <c r="W16" s="2883"/>
      <c r="X16" s="2883">
        <f>ROUND(SUMPRODUCT(PRODUCT(1+N16:N$32)),4)</f>
        <v>1.4733000000000001</v>
      </c>
      <c r="Y16" s="2883">
        <f>ROUND(SUMPRODUCT(PRODUCT(1+O16:O$32)),4)</f>
        <v>1.3052999999999999</v>
      </c>
      <c r="Z16" s="2883">
        <f t="shared" ref="Z16" si="128">Y16</f>
        <v>1.3052999999999999</v>
      </c>
      <c r="AA16" s="2883">
        <f>ROUND(SUMPRODUCT(PRODUCT(1+P16:P$32)),4)</f>
        <v>1.5306999999999999</v>
      </c>
      <c r="AB16" s="2883">
        <f>ROUND(SUMPRODUCT(PRODUCT(1+Q16:Q$32)),4)</f>
        <v>1.2863</v>
      </c>
      <c r="AC16" s="2883"/>
      <c r="AD16" s="2884">
        <f>ROUND(AVERAGE(I16:I$33)/100,4)</f>
        <v>2.35E-2</v>
      </c>
      <c r="AE16" s="2884">
        <f>ROUND(AVERAGE(J16:J$33)/100,4)</f>
        <v>1.6199999999999999E-2</v>
      </c>
      <c r="AF16" s="2884">
        <f t="shared" ref="AF16" si="129">AE16</f>
        <v>1.6199999999999999E-2</v>
      </c>
      <c r="AG16" s="2884">
        <f>ROUND(AVERAGE(K16:K$33)/100,4)</f>
        <v>2.5899999999999999E-2</v>
      </c>
      <c r="AH16" s="2884">
        <f>ROUND(AVERAGE(L16:L$33)/100,4)</f>
        <v>1.49E-2</v>
      </c>
    </row>
    <row r="17" spans="1:34" s="2902" customFormat="1" ht="15" customHeight="1" thickBot="1">
      <c r="A17" s="2895" t="s">
        <v>2939</v>
      </c>
      <c r="B17" s="2896">
        <f t="shared" si="79"/>
        <v>446.46299999999997</v>
      </c>
      <c r="C17" s="2896">
        <f t="shared" ref="C17" si="130">C18*(1+O17)</f>
        <v>333.27840000000003</v>
      </c>
      <c r="D17" s="2896">
        <f t="shared" ref="D17:D22" si="131">C17</f>
        <v>333.27840000000003</v>
      </c>
      <c r="E17" s="2896">
        <f t="shared" ref="E17" si="132">E18*(1+P17)</f>
        <v>637.28279999999995</v>
      </c>
      <c r="F17" s="2896">
        <f t="shared" ref="F17" si="133">F18*(1+Q17)</f>
        <v>288.68830000000003</v>
      </c>
      <c r="G17" s="3578"/>
      <c r="H17" s="2897">
        <v>1</v>
      </c>
      <c r="I17" s="2897">
        <v>1.7</v>
      </c>
      <c r="J17" s="2897">
        <v>1.92</v>
      </c>
      <c r="K17" s="2897">
        <v>1.64</v>
      </c>
      <c r="L17" s="2903">
        <v>2.0099999999999998</v>
      </c>
      <c r="M17" s="2883"/>
      <c r="N17" s="2898">
        <f t="shared" ref="N17:N22" si="134">I17/100</f>
        <v>1.7000000000000001E-2</v>
      </c>
      <c r="O17" s="2884">
        <f t="shared" ref="O17" si="135">J17/100</f>
        <v>1.9199999999999998E-2</v>
      </c>
      <c r="P17" s="2884">
        <f t="shared" ref="P17" si="136">K17/100</f>
        <v>1.6399999999999998E-2</v>
      </c>
      <c r="Q17" s="2884">
        <f t="shared" ref="Q17" si="137">L17/100</f>
        <v>2.0099999999999996E-2</v>
      </c>
      <c r="R17" s="2899"/>
      <c r="S17" s="2900">
        <f>B17/B18-1</f>
        <v>1.6999999999999904E-2</v>
      </c>
      <c r="T17" s="2901">
        <f>C17/C18-1</f>
        <v>1.9200000000000106E-2</v>
      </c>
      <c r="U17" s="2901">
        <f>E17/E18-1</f>
        <v>1.639999999999997E-2</v>
      </c>
      <c r="V17" s="2901">
        <f>F17/F18-1</f>
        <v>2.0100000000000007E-2</v>
      </c>
      <c r="W17" s="2883"/>
      <c r="X17" s="2883">
        <f>ROUND(SUMPRODUCT(PRODUCT(1+N17:N$32)),4)</f>
        <v>1.4517</v>
      </c>
      <c r="Y17" s="2883">
        <f>ROUND(SUMPRODUCT(PRODUCT(1+O17:O$32)),4)</f>
        <v>1.2928999999999999</v>
      </c>
      <c r="Z17" s="2883">
        <f t="shared" ref="Z17" si="138">Y17</f>
        <v>1.2928999999999999</v>
      </c>
      <c r="AA17" s="2883">
        <f>ROUND(SUMPRODUCT(PRODUCT(1+P17:P$32)),4)</f>
        <v>1.5068999999999999</v>
      </c>
      <c r="AB17" s="2883">
        <f>ROUND(SUMPRODUCT(PRODUCT(1+Q17:Q$32)),4)</f>
        <v>1.2557</v>
      </c>
      <c r="AC17" s="2883"/>
      <c r="AD17" s="2884">
        <f>ROUND(AVERAGE(I17:I$33)/100,4)</f>
        <v>2.4E-2</v>
      </c>
      <c r="AE17" s="2884">
        <f>ROUND(AVERAGE(J17:J$33)/100,4)</f>
        <v>1.66E-2</v>
      </c>
      <c r="AF17" s="2884">
        <f t="shared" ref="AF17" si="139">AE17</f>
        <v>1.66E-2</v>
      </c>
      <c r="AG17" s="2884">
        <f>ROUND(AVERAGE(K17:K$33)/100,4)</f>
        <v>2.6499999999999999E-2</v>
      </c>
      <c r="AH17" s="2884">
        <f>ROUND(AVERAGE(L17:L$33)/100,4)</f>
        <v>1.43E-2</v>
      </c>
    </row>
    <row r="18" spans="1:34">
      <c r="A18" s="2895" t="s">
        <v>2931</v>
      </c>
      <c r="B18" s="2912">
        <v>439</v>
      </c>
      <c r="C18" s="2912">
        <v>327</v>
      </c>
      <c r="D18" s="2912">
        <f t="shared" si="131"/>
        <v>327</v>
      </c>
      <c r="E18" s="2912">
        <v>627</v>
      </c>
      <c r="F18" s="2913">
        <v>283</v>
      </c>
      <c r="G18" s="3577">
        <v>2017</v>
      </c>
      <c r="H18" s="2904">
        <v>4</v>
      </c>
      <c r="I18" s="2904">
        <v>1.71</v>
      </c>
      <c r="J18" s="2904">
        <v>1.78</v>
      </c>
      <c r="K18" s="2904">
        <v>1.71</v>
      </c>
      <c r="L18" s="2905">
        <v>1.43</v>
      </c>
      <c r="N18" s="2914">
        <f t="shared" si="134"/>
        <v>1.7100000000000001E-2</v>
      </c>
      <c r="O18" s="2915">
        <f t="shared" ref="O18" si="140">J18/100</f>
        <v>1.78E-2</v>
      </c>
      <c r="P18" s="2915">
        <f t="shared" ref="P18" si="141">K18/100</f>
        <v>1.7100000000000001E-2</v>
      </c>
      <c r="Q18" s="2915">
        <f t="shared" ref="Q18" si="142">L18/100</f>
        <v>1.43E-2</v>
      </c>
      <c r="R18" s="2899"/>
      <c r="S18" s="2908"/>
      <c r="T18" s="2909"/>
      <c r="U18" s="2909"/>
      <c r="V18" s="2909"/>
      <c r="X18" s="2883">
        <f>ROUND(SUMPRODUCT(PRODUCT(1+N18:N$32)),4)</f>
        <v>1.4274</v>
      </c>
      <c r="Y18" s="2883">
        <f>ROUND(SUMPRODUCT(PRODUCT(1+O18:O$32)),4)</f>
        <v>1.2685</v>
      </c>
      <c r="Z18" s="2883">
        <f t="shared" si="0"/>
        <v>1.2685</v>
      </c>
      <c r="AA18" s="2883">
        <f>ROUND(SUMPRODUCT(PRODUCT(1+P18:P$32)),4)</f>
        <v>1.4825999999999999</v>
      </c>
      <c r="AB18" s="2883">
        <f>ROUND(SUMPRODUCT(PRODUCT(1+Q18:Q$32)),4)</f>
        <v>1.2309000000000001</v>
      </c>
      <c r="AD18" s="2884">
        <f>ROUND(AVERAGE(I18:I$33)/100,4)</f>
        <v>2.4500000000000001E-2</v>
      </c>
      <c r="AE18" s="2884">
        <f>ROUND(AVERAGE(J18:J$33)/100,4)</f>
        <v>1.6500000000000001E-2</v>
      </c>
      <c r="AF18" s="2884">
        <f t="shared" si="1"/>
        <v>1.6500000000000001E-2</v>
      </c>
      <c r="AG18" s="2884">
        <f>ROUND(AVERAGE(K18:K$33)/100,4)</f>
        <v>2.7099999999999999E-2</v>
      </c>
      <c r="AH18" s="2884">
        <f>ROUND(AVERAGE(L18:L$33)/100,4)</f>
        <v>1.3899999999999999E-2</v>
      </c>
    </row>
    <row r="19" spans="1:34" s="2902" customFormat="1" ht="14.45" customHeight="1">
      <c r="A19" s="2895" t="s">
        <v>2934</v>
      </c>
      <c r="B19" s="2896">
        <f t="shared" ref="B19:C21" si="143">B20*(1+N19)</f>
        <v>431.80730811680002</v>
      </c>
      <c r="C19" s="2896">
        <f t="shared" si="143"/>
        <v>320.57880516480003</v>
      </c>
      <c r="D19" s="2896">
        <f t="shared" si="131"/>
        <v>320.57880516480003</v>
      </c>
      <c r="E19" s="2896">
        <f t="shared" ref="E19:F21" si="144">E20*(1+P19)</f>
        <v>615.96110553196797</v>
      </c>
      <c r="F19" s="2896">
        <f t="shared" si="144"/>
        <v>279.46777300108801</v>
      </c>
      <c r="G19" s="3572"/>
      <c r="H19" s="2897">
        <v>3</v>
      </c>
      <c r="I19" s="2897">
        <v>2.98</v>
      </c>
      <c r="J19" s="2897">
        <v>2.11</v>
      </c>
      <c r="K19" s="2897">
        <v>3.24</v>
      </c>
      <c r="L19" s="2903">
        <v>1.72</v>
      </c>
      <c r="M19" s="2883"/>
      <c r="N19" s="2898">
        <f t="shared" si="134"/>
        <v>2.98E-2</v>
      </c>
      <c r="O19" s="2916">
        <f t="shared" ref="O19:O20" si="145">J19/100</f>
        <v>2.1099999999999997E-2</v>
      </c>
      <c r="P19" s="2916">
        <f t="shared" ref="P19:P20" si="146">K19/100</f>
        <v>3.2400000000000005E-2</v>
      </c>
      <c r="Q19" s="2916">
        <f t="shared" ref="Q19:Q20" si="147">L19/100</f>
        <v>1.72E-2</v>
      </c>
      <c r="R19" s="2899"/>
      <c r="S19" s="2898"/>
      <c r="T19" s="2884"/>
      <c r="U19" s="2884"/>
      <c r="V19" s="2884"/>
      <c r="W19" s="2883"/>
      <c r="X19" s="2883">
        <f>ROUND(SUMPRODUCT(PRODUCT(1+N19:N$32)),4)</f>
        <v>1.4034</v>
      </c>
      <c r="Y19" s="2883">
        <f>ROUND(SUMPRODUCT(PRODUCT(1+O19:O$32)),4)</f>
        <v>1.2463</v>
      </c>
      <c r="Z19" s="2883">
        <f t="shared" si="0"/>
        <v>1.2463</v>
      </c>
      <c r="AA19" s="2883">
        <f>ROUND(SUMPRODUCT(PRODUCT(1+P19:P$32)),4)</f>
        <v>1.4577</v>
      </c>
      <c r="AB19" s="2883">
        <f>ROUND(SUMPRODUCT(PRODUCT(1+Q19:Q$32)),4)</f>
        <v>1.2136</v>
      </c>
      <c r="AC19" s="2883"/>
      <c r="AD19" s="2884">
        <f>ROUND(AVERAGE(I19:I$33)/100,4)</f>
        <v>2.4899999999999999E-2</v>
      </c>
      <c r="AE19" s="2884">
        <f>ROUND(AVERAGE(J19:J$33)/100,4)</f>
        <v>1.6400000000000001E-2</v>
      </c>
      <c r="AF19" s="2884">
        <f t="shared" si="1"/>
        <v>1.6400000000000001E-2</v>
      </c>
      <c r="AG19" s="2884">
        <f>ROUND(AVERAGE(K19:K$33)/100,4)</f>
        <v>2.7799999999999998E-2</v>
      </c>
      <c r="AH19" s="2884">
        <f>ROUND(AVERAGE(L19:L$33)/100,4)</f>
        <v>1.3899999999999999E-2</v>
      </c>
    </row>
    <row r="20" spans="1:34" s="2861" customFormat="1" ht="14.45" customHeight="1">
      <c r="A20" s="2895" t="s">
        <v>2561</v>
      </c>
      <c r="B20" s="2896">
        <f t="shared" si="143"/>
        <v>419.31181600000002</v>
      </c>
      <c r="C20" s="2896">
        <f t="shared" si="143"/>
        <v>313.95436800000004</v>
      </c>
      <c r="D20" s="2896">
        <f t="shared" si="131"/>
        <v>313.95436800000004</v>
      </c>
      <c r="E20" s="2896">
        <f t="shared" si="144"/>
        <v>596.63028431999999</v>
      </c>
      <c r="F20" s="2896">
        <f t="shared" si="144"/>
        <v>274.74220703999998</v>
      </c>
      <c r="G20" s="3572"/>
      <c r="H20" s="2910">
        <v>2</v>
      </c>
      <c r="I20" s="2910">
        <v>3.4</v>
      </c>
      <c r="J20" s="2910">
        <v>2</v>
      </c>
      <c r="K20" s="2910">
        <v>3.82</v>
      </c>
      <c r="L20" s="2911">
        <v>1.68</v>
      </c>
      <c r="N20" s="2898">
        <f t="shared" si="134"/>
        <v>3.4000000000000002E-2</v>
      </c>
      <c r="O20" s="2916">
        <f t="shared" si="145"/>
        <v>0.02</v>
      </c>
      <c r="P20" s="2916">
        <f t="shared" si="146"/>
        <v>3.8199999999999998E-2</v>
      </c>
      <c r="Q20" s="2916">
        <f t="shared" si="147"/>
        <v>1.6799999999999999E-2</v>
      </c>
      <c r="S20" s="2898"/>
      <c r="T20" s="2884"/>
      <c r="U20" s="2884"/>
      <c r="V20" s="2884"/>
      <c r="X20" s="2883">
        <f>ROUND(SUMPRODUCT(PRODUCT(1+N20:N$32)),4)</f>
        <v>1.3628</v>
      </c>
      <c r="Y20" s="2883">
        <f>ROUND(SUMPRODUCT(PRODUCT(1+O20:O$32)),4)</f>
        <v>1.2205999999999999</v>
      </c>
      <c r="Z20" s="2883">
        <f t="shared" si="0"/>
        <v>1.2205999999999999</v>
      </c>
      <c r="AA20" s="2883">
        <f>ROUND(SUMPRODUCT(PRODUCT(1+P20:P$32)),4)</f>
        <v>1.4118999999999999</v>
      </c>
      <c r="AB20" s="2883">
        <f>ROUND(SUMPRODUCT(PRODUCT(1+Q20:Q$32)),4)</f>
        <v>1.1930000000000001</v>
      </c>
      <c r="AD20" s="2884">
        <f>ROUND(AVERAGE(I20:I$33)/100,4)</f>
        <v>2.46E-2</v>
      </c>
      <c r="AE20" s="2884">
        <f>ROUND(AVERAGE(J20:J$33)/100,4)</f>
        <v>1.6E-2</v>
      </c>
      <c r="AF20" s="2884">
        <f t="shared" si="1"/>
        <v>1.6E-2</v>
      </c>
      <c r="AG20" s="2884">
        <f>ROUND(AVERAGE(K20:K$33)/100,4)</f>
        <v>2.75E-2</v>
      </c>
      <c r="AH20" s="2884">
        <f>ROUND(AVERAGE(L20:L$33)/100,4)</f>
        <v>1.37E-2</v>
      </c>
    </row>
    <row r="21" spans="1:34" s="2902" customFormat="1" ht="15" customHeight="1" thickBot="1">
      <c r="A21" s="2895" t="s">
        <v>2562</v>
      </c>
      <c r="B21" s="2896">
        <f t="shared" si="143"/>
        <v>405.524</v>
      </c>
      <c r="C21" s="2896">
        <f t="shared" si="143"/>
        <v>307.79840000000002</v>
      </c>
      <c r="D21" s="2896">
        <f t="shared" si="131"/>
        <v>307.79840000000002</v>
      </c>
      <c r="E21" s="2896">
        <f t="shared" si="144"/>
        <v>574.67759999999998</v>
      </c>
      <c r="F21" s="2896">
        <f t="shared" si="144"/>
        <v>270.20280000000002</v>
      </c>
      <c r="G21" s="3578"/>
      <c r="H21" s="2897">
        <v>1</v>
      </c>
      <c r="I21" s="2897">
        <v>3.45</v>
      </c>
      <c r="J21" s="2897">
        <v>1.92</v>
      </c>
      <c r="K21" s="2897">
        <v>3.92</v>
      </c>
      <c r="L21" s="2903">
        <v>1.58</v>
      </c>
      <c r="M21" s="2883"/>
      <c r="N21" s="2900">
        <f t="shared" si="134"/>
        <v>3.4500000000000003E-2</v>
      </c>
      <c r="O21" s="2901">
        <f t="shared" ref="O21" si="148">J21/100</f>
        <v>1.9199999999999998E-2</v>
      </c>
      <c r="P21" s="2901">
        <f t="shared" ref="P21" si="149">K21/100</f>
        <v>3.9199999999999999E-2</v>
      </c>
      <c r="Q21" s="2901">
        <f t="shared" ref="Q21" si="150">L21/100</f>
        <v>1.5800000000000002E-2</v>
      </c>
      <c r="R21" s="2899"/>
      <c r="S21" s="2900">
        <f>B21/B22-1</f>
        <v>3.4499999999999975E-2</v>
      </c>
      <c r="T21" s="2901">
        <f>C21/C22-1</f>
        <v>1.9200000000000106E-2</v>
      </c>
      <c r="U21" s="2901">
        <f>E21/E22-1</f>
        <v>3.9199999999999902E-2</v>
      </c>
      <c r="V21" s="2901">
        <f>F21/F22-1</f>
        <v>1.5800000000000036E-2</v>
      </c>
      <c r="W21" s="2883"/>
      <c r="X21" s="2883">
        <f>ROUND(SUMPRODUCT(PRODUCT(1+N21:N$32)),4)</f>
        <v>1.3180000000000001</v>
      </c>
      <c r="Y21" s="2883">
        <f>ROUND(SUMPRODUCT(PRODUCT(1+O21:O$32)),4)</f>
        <v>1.1966000000000001</v>
      </c>
      <c r="Z21" s="2883">
        <f t="shared" si="0"/>
        <v>1.1966000000000001</v>
      </c>
      <c r="AA21" s="2883">
        <f>ROUND(SUMPRODUCT(PRODUCT(1+P21:P$32)),4)</f>
        <v>1.36</v>
      </c>
      <c r="AB21" s="2883">
        <f>ROUND(SUMPRODUCT(PRODUCT(1+Q21:Q$32)),4)</f>
        <v>1.1733</v>
      </c>
      <c r="AC21" s="2883"/>
      <c r="AD21" s="2884">
        <f>ROUND(AVERAGE(I21:I$33)/100,4)</f>
        <v>2.3900000000000001E-2</v>
      </c>
      <c r="AE21" s="2884">
        <f>ROUND(AVERAGE(J21:J$33)/100,4)</f>
        <v>1.5699999999999999E-2</v>
      </c>
      <c r="AF21" s="2884">
        <f t="shared" si="1"/>
        <v>1.5699999999999999E-2</v>
      </c>
      <c r="AG21" s="2884">
        <f>ROUND(AVERAGE(K21:K$33)/100,4)</f>
        <v>2.6599999999999999E-2</v>
      </c>
      <c r="AH21" s="2884">
        <f>ROUND(AVERAGE(L21:L$33)/100,4)</f>
        <v>1.34E-2</v>
      </c>
    </row>
    <row r="22" spans="1:34">
      <c r="A22" s="2895" t="s">
        <v>961</v>
      </c>
      <c r="B22" s="2917">
        <v>392</v>
      </c>
      <c r="C22" s="2917">
        <v>302</v>
      </c>
      <c r="D22" s="2917">
        <f t="shared" si="131"/>
        <v>302</v>
      </c>
      <c r="E22" s="2917">
        <v>553</v>
      </c>
      <c r="F22" s="2918">
        <v>266</v>
      </c>
      <c r="G22" s="3577">
        <v>2016</v>
      </c>
      <c r="H22" s="2904">
        <v>4</v>
      </c>
      <c r="I22" s="2904">
        <v>4.5599999999999996</v>
      </c>
      <c r="J22" s="2904">
        <v>2.15</v>
      </c>
      <c r="K22" s="2904">
        <v>5.32</v>
      </c>
      <c r="L22" s="2905">
        <v>1.57</v>
      </c>
      <c r="N22" s="2898">
        <f t="shared" si="134"/>
        <v>4.5599999999999995E-2</v>
      </c>
      <c r="O22" s="2884">
        <f t="shared" ref="O22:Q37" si="151">J22/100</f>
        <v>2.1499999999999998E-2</v>
      </c>
      <c r="P22" s="2884">
        <f t="shared" si="151"/>
        <v>5.3200000000000004E-2</v>
      </c>
      <c r="Q22" s="2884">
        <f t="shared" si="151"/>
        <v>1.5700000000000002E-2</v>
      </c>
      <c r="R22" s="2899"/>
      <c r="S22" s="2908"/>
      <c r="T22" s="2909"/>
      <c r="U22" s="2909"/>
      <c r="V22" s="2909"/>
      <c r="X22" s="2883">
        <f>ROUND(SUMPRODUCT(PRODUCT(1+N22:N$32)),4)</f>
        <v>1.274</v>
      </c>
      <c r="Y22" s="2883">
        <f>ROUND(SUMPRODUCT(PRODUCT(1+O22:O$32)),4)</f>
        <v>1.1740999999999999</v>
      </c>
      <c r="Z22" s="2883">
        <f t="shared" si="0"/>
        <v>1.1740999999999999</v>
      </c>
      <c r="AA22" s="2883">
        <f>ROUND(SUMPRODUCT(PRODUCT(1+P22:P$32)),4)</f>
        <v>1.3087</v>
      </c>
      <c r="AB22" s="2883">
        <f>ROUND(SUMPRODUCT(PRODUCT(1+Q22:Q$32)),4)</f>
        <v>1.1551</v>
      </c>
      <c r="AD22" s="2884">
        <f>ROUND(AVERAGE(I22:I$33)/100,4)</f>
        <v>2.3E-2</v>
      </c>
      <c r="AE22" s="2884">
        <f>ROUND(AVERAGE(J22:J$33)/100,4)</f>
        <v>1.55E-2</v>
      </c>
      <c r="AF22" s="2884">
        <f t="shared" si="1"/>
        <v>1.55E-2</v>
      </c>
      <c r="AG22" s="2884">
        <f>ROUND(AVERAGE(K22:K$33)/100,4)</f>
        <v>2.5600000000000001E-2</v>
      </c>
      <c r="AH22" s="2884">
        <f>ROUND(AVERAGE(L22:L$33)/100,4)</f>
        <v>1.32E-2</v>
      </c>
    </row>
    <row r="23" spans="1:34">
      <c r="A23" s="2895" t="s">
        <v>960</v>
      </c>
      <c r="B23" s="2896">
        <f t="shared" ref="B23:C25" si="152">B22/(1+N22)</f>
        <v>374.90436113236416</v>
      </c>
      <c r="C23" s="2896">
        <f t="shared" si="152"/>
        <v>295.64366128242779</v>
      </c>
      <c r="D23" s="2896">
        <f t="shared" ref="D23:D82" si="153">C23</f>
        <v>295.64366128242779</v>
      </c>
      <c r="E23" s="2896">
        <f t="shared" ref="E23:F25" si="154">E22/(1+P22)</f>
        <v>525.06646410938095</v>
      </c>
      <c r="F23" s="2896">
        <f t="shared" si="154"/>
        <v>261.88835286009646</v>
      </c>
      <c r="G23" s="3572"/>
      <c r="H23" s="2897">
        <v>3</v>
      </c>
      <c r="I23" s="2897">
        <v>4.12</v>
      </c>
      <c r="J23" s="2897">
        <v>2</v>
      </c>
      <c r="K23" s="2897">
        <v>4.79</v>
      </c>
      <c r="L23" s="2903">
        <v>1.97</v>
      </c>
      <c r="N23" s="2898">
        <f t="shared" ref="N23:Q57" si="155">I23/100</f>
        <v>4.1200000000000001E-2</v>
      </c>
      <c r="O23" s="2884">
        <f t="shared" si="151"/>
        <v>0.02</v>
      </c>
      <c r="P23" s="2884">
        <f t="shared" si="151"/>
        <v>4.7899999999999998E-2</v>
      </c>
      <c r="Q23" s="2884">
        <f t="shared" si="151"/>
        <v>1.9699999999999999E-2</v>
      </c>
      <c r="R23" s="2899"/>
      <c r="S23" s="2898"/>
      <c r="T23" s="2884"/>
      <c r="U23" s="2884"/>
      <c r="V23" s="2884"/>
      <c r="X23" s="2883">
        <f>ROUND(SUMPRODUCT(PRODUCT(1+N23:N$32)),4)</f>
        <v>1.2184999999999999</v>
      </c>
      <c r="Y23" s="2883">
        <f>ROUND(SUMPRODUCT(PRODUCT(1+O23:O$32)),4)</f>
        <v>1.1494</v>
      </c>
      <c r="Z23" s="2883">
        <f t="shared" si="0"/>
        <v>1.1494</v>
      </c>
      <c r="AA23" s="2883">
        <f>ROUND(SUMPRODUCT(PRODUCT(1+P23:P$32)),4)</f>
        <v>1.2425999999999999</v>
      </c>
      <c r="AB23" s="2883">
        <f>ROUND(SUMPRODUCT(PRODUCT(1+Q23:Q$32)),4)</f>
        <v>1.1372</v>
      </c>
      <c r="AD23" s="2884">
        <f>ROUND(AVERAGE(I23:I$33)/100,4)</f>
        <v>2.0899999999999998E-2</v>
      </c>
      <c r="AE23" s="2884">
        <f>ROUND(AVERAGE(J23:J$33)/100,4)</f>
        <v>1.49E-2</v>
      </c>
      <c r="AF23" s="2884">
        <f t="shared" si="1"/>
        <v>1.49E-2</v>
      </c>
      <c r="AG23" s="2884">
        <f>ROUND(AVERAGE(K23:K$33)/100,4)</f>
        <v>2.3099999999999999E-2</v>
      </c>
      <c r="AH23" s="2884">
        <f>ROUND(AVERAGE(L23:L$33)/100,4)</f>
        <v>1.2999999999999999E-2</v>
      </c>
    </row>
    <row r="24" spans="1:34">
      <c r="A24" s="2895" t="s">
        <v>950</v>
      </c>
      <c r="B24" s="2896">
        <f t="shared" si="152"/>
        <v>360.06949782209392</v>
      </c>
      <c r="C24" s="2896">
        <f t="shared" si="152"/>
        <v>289.84672674747821</v>
      </c>
      <c r="D24" s="2896">
        <f t="shared" si="153"/>
        <v>289.84672674747821</v>
      </c>
      <c r="E24" s="2896">
        <f t="shared" si="154"/>
        <v>501.06543001181495</v>
      </c>
      <c r="F24" s="2896">
        <f t="shared" si="154"/>
        <v>256.82882500744967</v>
      </c>
      <c r="G24" s="3572"/>
      <c r="H24" s="2910">
        <v>2</v>
      </c>
      <c r="I24" s="2910">
        <v>3.85</v>
      </c>
      <c r="J24" s="2910">
        <v>1.95</v>
      </c>
      <c r="K24" s="2910">
        <v>4.4800000000000004</v>
      </c>
      <c r="L24" s="2911">
        <v>1.41</v>
      </c>
      <c r="N24" s="2898">
        <f t="shared" si="155"/>
        <v>3.85E-2</v>
      </c>
      <c r="O24" s="2884">
        <f t="shared" si="151"/>
        <v>1.95E-2</v>
      </c>
      <c r="P24" s="2884">
        <f t="shared" si="151"/>
        <v>4.4800000000000006E-2</v>
      </c>
      <c r="Q24" s="2884">
        <f t="shared" si="151"/>
        <v>1.41E-2</v>
      </c>
      <c r="R24" s="2899"/>
      <c r="S24" s="2898"/>
      <c r="T24" s="2884"/>
      <c r="U24" s="2884"/>
      <c r="V24" s="2884"/>
      <c r="X24" s="2883">
        <f>ROUND(SUMPRODUCT(PRODUCT(1+N24:N$32)),4)</f>
        <v>1.1702999999999999</v>
      </c>
      <c r="Y24" s="2883">
        <f>ROUND(SUMPRODUCT(PRODUCT(1+O24:O$32)),4)</f>
        <v>1.1269</v>
      </c>
      <c r="Z24" s="2883">
        <f t="shared" si="0"/>
        <v>1.1269</v>
      </c>
      <c r="AA24" s="2883">
        <f>ROUND(SUMPRODUCT(PRODUCT(1+P24:P$32)),4)</f>
        <v>1.1858</v>
      </c>
      <c r="AB24" s="2883">
        <f>ROUND(SUMPRODUCT(PRODUCT(1+Q24:Q$32)),4)</f>
        <v>1.1152</v>
      </c>
      <c r="AD24" s="2884">
        <f>ROUND(AVERAGE(I24:I$33)/100,4)</f>
        <v>1.89E-2</v>
      </c>
      <c r="AE24" s="2884">
        <f>ROUND(AVERAGE(J24:J$33)/100,4)</f>
        <v>1.44E-2</v>
      </c>
      <c r="AF24" s="2884">
        <f t="shared" si="1"/>
        <v>1.44E-2</v>
      </c>
      <c r="AG24" s="2884">
        <f>ROUND(AVERAGE(K24:K$33)/100,4)</f>
        <v>2.06E-2</v>
      </c>
      <c r="AH24" s="2884">
        <f>ROUND(AVERAGE(L24:L$33)/100,4)</f>
        <v>1.23E-2</v>
      </c>
    </row>
    <row r="25" spans="1:34" ht="13.5" thickBot="1">
      <c r="A25" s="2895" t="s">
        <v>959</v>
      </c>
      <c r="B25" s="2896">
        <f t="shared" si="152"/>
        <v>346.720748986128</v>
      </c>
      <c r="C25" s="2896">
        <f t="shared" si="152"/>
        <v>284.30282172386285</v>
      </c>
      <c r="D25" s="2896">
        <f t="shared" si="153"/>
        <v>284.30282172386285</v>
      </c>
      <c r="E25" s="2896">
        <f t="shared" si="154"/>
        <v>479.58023546306947</v>
      </c>
      <c r="F25" s="2896">
        <f t="shared" si="154"/>
        <v>253.25788877571213</v>
      </c>
      <c r="G25" s="3573"/>
      <c r="H25" s="2897">
        <v>1</v>
      </c>
      <c r="I25" s="2897">
        <v>4.09</v>
      </c>
      <c r="J25" s="2897">
        <v>2.93</v>
      </c>
      <c r="K25" s="2897">
        <v>4.54</v>
      </c>
      <c r="L25" s="2903">
        <v>1.48</v>
      </c>
      <c r="N25" s="2898">
        <f t="shared" si="155"/>
        <v>4.0899999999999999E-2</v>
      </c>
      <c r="O25" s="2884">
        <f t="shared" si="151"/>
        <v>2.9300000000000003E-2</v>
      </c>
      <c r="P25" s="2884">
        <f t="shared" si="151"/>
        <v>4.5400000000000003E-2</v>
      </c>
      <c r="Q25" s="2884">
        <f t="shared" si="151"/>
        <v>1.4800000000000001E-2</v>
      </c>
      <c r="R25" s="2899"/>
      <c r="S25" s="2900">
        <f>B25/B26-1</f>
        <v>4.1203450408792808E-2</v>
      </c>
      <c r="T25" s="2901">
        <f>C25/C26-1</f>
        <v>2.6363977342465095E-2</v>
      </c>
      <c r="U25" s="2901">
        <f>E25/E26-1</f>
        <v>4.4837114298626357E-2</v>
      </c>
      <c r="V25" s="2901">
        <f>F25/F26-1</f>
        <v>1.7099954922538574E-2</v>
      </c>
      <c r="X25" s="2883">
        <f>ROUND(SUMPRODUCT(PRODUCT(1+N25:N$32)),4)</f>
        <v>1.1269</v>
      </c>
      <c r="Y25" s="2883">
        <f>ROUND(SUMPRODUCT(PRODUCT(1+O25:O$32)),4)</f>
        <v>1.1052999999999999</v>
      </c>
      <c r="Z25" s="2883">
        <f t="shared" si="0"/>
        <v>1.1052999999999999</v>
      </c>
      <c r="AA25" s="2883">
        <f>ROUND(SUMPRODUCT(PRODUCT(1+P25:P$32)),4)</f>
        <v>1.1349</v>
      </c>
      <c r="AB25" s="2883">
        <f>ROUND(SUMPRODUCT(PRODUCT(1+Q25:Q$32)),4)</f>
        <v>1.0996999999999999</v>
      </c>
      <c r="AD25" s="2884">
        <f>ROUND(AVERAGE(I25:I$33)/100,4)</f>
        <v>1.67E-2</v>
      </c>
      <c r="AE25" s="2884">
        <f>ROUND(AVERAGE(J25:J$33)/100,4)</f>
        <v>1.38E-2</v>
      </c>
      <c r="AF25" s="2884">
        <f t="shared" si="1"/>
        <v>1.38E-2</v>
      </c>
      <c r="AG25" s="2884">
        <f>ROUND(AVERAGE(K25:K$33)/100,4)</f>
        <v>1.7899999999999999E-2</v>
      </c>
      <c r="AH25" s="2884">
        <f>ROUND(AVERAGE(L25:L$33)/100,4)</f>
        <v>1.21E-2</v>
      </c>
    </row>
    <row r="26" spans="1:34" ht="13.5" thickBot="1">
      <c r="A26" s="2895" t="s">
        <v>958</v>
      </c>
      <c r="B26" s="2917">
        <v>333</v>
      </c>
      <c r="C26" s="2917">
        <v>277</v>
      </c>
      <c r="D26" s="2917">
        <f t="shared" si="153"/>
        <v>277</v>
      </c>
      <c r="E26" s="2917">
        <v>459</v>
      </c>
      <c r="F26" s="2918">
        <v>249</v>
      </c>
      <c r="G26" s="3571">
        <v>2015</v>
      </c>
      <c r="H26" s="2919">
        <v>4</v>
      </c>
      <c r="I26" s="2919">
        <v>1.63</v>
      </c>
      <c r="J26" s="2919">
        <v>1.1100000000000001</v>
      </c>
      <c r="K26" s="2919">
        <v>1.77</v>
      </c>
      <c r="L26" s="2920">
        <v>1.89</v>
      </c>
      <c r="N26" s="2914">
        <f t="shared" si="155"/>
        <v>1.6299999999999999E-2</v>
      </c>
      <c r="O26" s="2915">
        <f t="shared" si="151"/>
        <v>1.11E-2</v>
      </c>
      <c r="P26" s="2915">
        <f t="shared" si="151"/>
        <v>1.77E-2</v>
      </c>
      <c r="Q26" s="2915">
        <f t="shared" si="151"/>
        <v>1.89E-2</v>
      </c>
      <c r="R26" s="2899"/>
      <c r="X26" s="2883">
        <f>ROUND(SUMPRODUCT(PRODUCT(1+N26:N$32)),4)</f>
        <v>1.0826</v>
      </c>
      <c r="Y26" s="2883">
        <f>ROUND(SUMPRODUCT(PRODUCT(1+O26:O$32)),4)</f>
        <v>1.0738000000000001</v>
      </c>
      <c r="Z26" s="2883">
        <f t="shared" si="0"/>
        <v>1.0738000000000001</v>
      </c>
      <c r="AA26" s="2883">
        <f>ROUND(SUMPRODUCT(PRODUCT(1+P26:P$32)),4)</f>
        <v>1.0855999999999999</v>
      </c>
      <c r="AB26" s="2883">
        <f>ROUND(SUMPRODUCT(PRODUCT(1+Q26:Q$32)),4)</f>
        <v>1.0837000000000001</v>
      </c>
      <c r="AD26" s="2884">
        <f>ROUND(AVERAGE(I26:I$33)/100,4)</f>
        <v>1.37E-2</v>
      </c>
      <c r="AE26" s="2884">
        <f>ROUND(AVERAGE(J26:J$33)/100,4)</f>
        <v>1.1900000000000001E-2</v>
      </c>
      <c r="AF26" s="2884">
        <f t="shared" si="1"/>
        <v>1.1900000000000001E-2</v>
      </c>
      <c r="AG26" s="2884">
        <f>ROUND(AVERAGE(K26:K$33)/100,4)</f>
        <v>1.4500000000000001E-2</v>
      </c>
      <c r="AH26" s="2884">
        <f>ROUND(AVERAGE(L26:L$33)/100,4)</f>
        <v>1.18E-2</v>
      </c>
    </row>
    <row r="27" spans="1:34">
      <c r="A27" s="2895" t="s">
        <v>957</v>
      </c>
      <c r="B27" s="2896">
        <f t="shared" ref="B27:C29" si="156">B26/(1+N26)</f>
        <v>327.65915576109415</v>
      </c>
      <c r="C27" s="2896">
        <f t="shared" si="156"/>
        <v>273.95905449510434</v>
      </c>
      <c r="D27" s="2896">
        <f t="shared" si="153"/>
        <v>273.95905449510434</v>
      </c>
      <c r="E27" s="2896">
        <f t="shared" ref="E27:F29" si="157">E26/(1+P26)</f>
        <v>451.01699911565294</v>
      </c>
      <c r="F27" s="2896">
        <f t="shared" si="157"/>
        <v>244.38119540681129</v>
      </c>
      <c r="G27" s="3572"/>
      <c r="H27" s="2922">
        <v>3</v>
      </c>
      <c r="I27" s="2922">
        <v>1.65</v>
      </c>
      <c r="J27" s="2922">
        <v>0.92</v>
      </c>
      <c r="K27" s="2922">
        <v>1.88</v>
      </c>
      <c r="L27" s="2923">
        <v>1.26</v>
      </c>
      <c r="N27" s="2898">
        <f t="shared" si="155"/>
        <v>1.6500000000000001E-2</v>
      </c>
      <c r="O27" s="2916">
        <f t="shared" si="151"/>
        <v>9.1999999999999998E-3</v>
      </c>
      <c r="P27" s="2916">
        <f t="shared" si="151"/>
        <v>1.8799999999999997E-2</v>
      </c>
      <c r="Q27" s="2916">
        <f t="shared" si="151"/>
        <v>1.26E-2</v>
      </c>
      <c r="R27" s="2899"/>
      <c r="S27" s="2898"/>
      <c r="T27" s="2884"/>
      <c r="U27" s="2884"/>
      <c r="V27" s="2884"/>
      <c r="X27" s="2883">
        <f>ROUND(SUMPRODUCT(PRODUCT(1+N27:N$32)),4)</f>
        <v>1.0651999999999999</v>
      </c>
      <c r="Y27" s="2883">
        <f>ROUND(SUMPRODUCT(PRODUCT(1+O27:O$32)),4)</f>
        <v>1.0621</v>
      </c>
      <c r="Z27" s="2883">
        <f t="shared" si="0"/>
        <v>1.0621</v>
      </c>
      <c r="AA27" s="2883">
        <f>ROUND(SUMPRODUCT(PRODUCT(1+P27:P$32)),4)</f>
        <v>1.0668</v>
      </c>
      <c r="AB27" s="2883">
        <f>ROUND(SUMPRODUCT(PRODUCT(1+Q27:Q$32)),4)</f>
        <v>1.0636000000000001</v>
      </c>
      <c r="AD27" s="2884">
        <f>ROUND(AVERAGE(I27:I$33)/100,4)</f>
        <v>1.3299999999999999E-2</v>
      </c>
      <c r="AE27" s="2884">
        <f>ROUND(AVERAGE(J27:J$33)/100,4)</f>
        <v>1.2E-2</v>
      </c>
      <c r="AF27" s="2884">
        <f t="shared" si="1"/>
        <v>1.2E-2</v>
      </c>
      <c r="AG27" s="2884">
        <f>ROUND(AVERAGE(K27:K$33)/100,4)</f>
        <v>1.4E-2</v>
      </c>
      <c r="AH27" s="2884">
        <f>ROUND(AVERAGE(L27:L$33)/100,4)</f>
        <v>1.0800000000000001E-2</v>
      </c>
    </row>
    <row r="28" spans="1:34">
      <c r="A28" s="2895" t="s">
        <v>956</v>
      </c>
      <c r="B28" s="2896">
        <f t="shared" si="156"/>
        <v>322.34053690220776</v>
      </c>
      <c r="C28" s="2896">
        <f t="shared" si="156"/>
        <v>271.46160770422546</v>
      </c>
      <c r="D28" s="2896">
        <f t="shared" si="153"/>
        <v>271.46160770422546</v>
      </c>
      <c r="E28" s="2896">
        <f t="shared" si="157"/>
        <v>442.69434542172456</v>
      </c>
      <c r="F28" s="2896">
        <f t="shared" si="157"/>
        <v>241.34030753190925</v>
      </c>
      <c r="G28" s="3572"/>
      <c r="H28" s="2910">
        <v>2</v>
      </c>
      <c r="I28" s="2910">
        <v>0.77</v>
      </c>
      <c r="J28" s="2910">
        <v>0.69</v>
      </c>
      <c r="K28" s="2910">
        <v>0.8</v>
      </c>
      <c r="L28" s="2911">
        <v>0.88</v>
      </c>
      <c r="N28" s="2898">
        <f t="shared" si="155"/>
        <v>7.7000000000000002E-3</v>
      </c>
      <c r="O28" s="2916">
        <f t="shared" si="151"/>
        <v>6.8999999999999999E-3</v>
      </c>
      <c r="P28" s="2916">
        <f t="shared" si="151"/>
        <v>8.0000000000000002E-3</v>
      </c>
      <c r="Q28" s="2916">
        <f t="shared" si="151"/>
        <v>8.8000000000000005E-3</v>
      </c>
      <c r="R28" s="2899"/>
      <c r="S28" s="2898"/>
      <c r="T28" s="2884"/>
      <c r="U28" s="2884"/>
      <c r="V28" s="2884"/>
      <c r="X28" s="2883">
        <f>ROUND(SUMPRODUCT(PRODUCT(1+N28:N$32)),4)</f>
        <v>1.048</v>
      </c>
      <c r="Y28" s="2883">
        <f>ROUND(SUMPRODUCT(PRODUCT(1+O28:O$32)),4)</f>
        <v>1.0524</v>
      </c>
      <c r="Z28" s="2883">
        <f t="shared" si="0"/>
        <v>1.0524</v>
      </c>
      <c r="AA28" s="2883">
        <f>ROUND(SUMPRODUCT(PRODUCT(1+P28:P$32)),4)</f>
        <v>1.0470999999999999</v>
      </c>
      <c r="AB28" s="2883">
        <f>ROUND(SUMPRODUCT(PRODUCT(1+Q28:Q$32)),4)</f>
        <v>1.0504</v>
      </c>
      <c r="AD28" s="2884">
        <f>ROUND(AVERAGE(I28:I$33)/100,4)</f>
        <v>1.2800000000000001E-2</v>
      </c>
      <c r="AE28" s="2884">
        <f>ROUND(AVERAGE(J28:J$33)/100,4)</f>
        <v>1.2500000000000001E-2</v>
      </c>
      <c r="AF28" s="2884">
        <f t="shared" si="1"/>
        <v>1.2500000000000001E-2</v>
      </c>
      <c r="AG28" s="2884">
        <f>ROUND(AVERAGE(K28:K$33)/100,4)</f>
        <v>1.32E-2</v>
      </c>
      <c r="AH28" s="2884">
        <f>ROUND(AVERAGE(L28:L$33)/100,4)</f>
        <v>1.0500000000000001E-2</v>
      </c>
    </row>
    <row r="29" spans="1:34">
      <c r="A29" s="2895" t="s">
        <v>955</v>
      </c>
      <c r="B29" s="2896">
        <f t="shared" si="156"/>
        <v>319.87748030386797</v>
      </c>
      <c r="C29" s="2896">
        <f t="shared" si="156"/>
        <v>269.60135833173649</v>
      </c>
      <c r="D29" s="2896">
        <f t="shared" si="153"/>
        <v>269.60135833173649</v>
      </c>
      <c r="E29" s="2896">
        <f t="shared" si="157"/>
        <v>439.18089823583784</v>
      </c>
      <c r="F29" s="2896">
        <f t="shared" si="157"/>
        <v>239.23503918706311</v>
      </c>
      <c r="G29" s="3573"/>
      <c r="H29" s="2897">
        <v>1</v>
      </c>
      <c r="I29" s="2897">
        <v>0.51</v>
      </c>
      <c r="J29" s="2897">
        <v>0.54</v>
      </c>
      <c r="K29" s="2897">
        <v>0.48</v>
      </c>
      <c r="L29" s="2903">
        <v>0.93</v>
      </c>
      <c r="N29" s="2900">
        <f t="shared" si="155"/>
        <v>5.1000000000000004E-3</v>
      </c>
      <c r="O29" s="2901">
        <f t="shared" si="151"/>
        <v>5.4000000000000003E-3</v>
      </c>
      <c r="P29" s="2901">
        <f t="shared" si="151"/>
        <v>4.7999999999999996E-3</v>
      </c>
      <c r="Q29" s="2901">
        <f t="shared" si="151"/>
        <v>9.300000000000001E-3</v>
      </c>
      <c r="R29" s="2899"/>
      <c r="S29" s="2900">
        <f>B29/B30-1</f>
        <v>5.9040261127922822E-3</v>
      </c>
      <c r="T29" s="2901">
        <f>C29/C30-1</f>
        <v>5.9752176557332781E-3</v>
      </c>
      <c r="U29" s="2901">
        <f>E29/E30-1</f>
        <v>4.9906138119859556E-3</v>
      </c>
      <c r="V29" s="2901">
        <f>F29/F30-1</f>
        <v>9.4305450930933787E-3</v>
      </c>
      <c r="X29" s="2883">
        <f>ROUND(SUMPRODUCT(PRODUCT(1+N29:N$32)),4)</f>
        <v>1.0399</v>
      </c>
      <c r="Y29" s="2883">
        <f>ROUND(SUMPRODUCT(PRODUCT(1+O29:O$32)),4)</f>
        <v>1.0451999999999999</v>
      </c>
      <c r="Z29" s="2883">
        <f t="shared" si="0"/>
        <v>1.0451999999999999</v>
      </c>
      <c r="AA29" s="2883">
        <f>ROUND(SUMPRODUCT(PRODUCT(1+P29:P$32)),4)</f>
        <v>1.0387999999999999</v>
      </c>
      <c r="AB29" s="2883">
        <f>ROUND(SUMPRODUCT(PRODUCT(1+Q29:Q$32)),4)</f>
        <v>1.0411999999999999</v>
      </c>
      <c r="AD29" s="2884">
        <f>ROUND(AVERAGE(I29:I$33)/100,4)</f>
        <v>1.38E-2</v>
      </c>
      <c r="AE29" s="2884">
        <f>ROUND(AVERAGE(J29:J$33)/100,4)</f>
        <v>1.3599999999999999E-2</v>
      </c>
      <c r="AF29" s="2884">
        <f t="shared" si="1"/>
        <v>1.3599999999999999E-2</v>
      </c>
      <c r="AG29" s="2884">
        <f>ROUND(AVERAGE(K29:K$33)/100,4)</f>
        <v>1.4200000000000001E-2</v>
      </c>
      <c r="AH29" s="2884">
        <f>ROUND(AVERAGE(L29:L$33)/100,4)</f>
        <v>1.0800000000000001E-2</v>
      </c>
    </row>
    <row r="30" spans="1:34" ht="13.5" thickBot="1">
      <c r="A30" s="2895" t="s">
        <v>954</v>
      </c>
      <c r="B30" s="2924">
        <v>318</v>
      </c>
      <c r="C30" s="2924">
        <v>268</v>
      </c>
      <c r="D30" s="2924">
        <f t="shared" si="153"/>
        <v>268</v>
      </c>
      <c r="E30" s="2924">
        <v>437</v>
      </c>
      <c r="F30" s="2925">
        <v>237</v>
      </c>
      <c r="G30" s="3571">
        <v>2014</v>
      </c>
      <c r="H30" s="2919">
        <v>4</v>
      </c>
      <c r="I30" s="2919">
        <v>0.21</v>
      </c>
      <c r="J30" s="2919">
        <v>0.41</v>
      </c>
      <c r="K30" s="2919">
        <v>0.12</v>
      </c>
      <c r="L30" s="2920">
        <v>0.89</v>
      </c>
      <c r="N30" s="2898">
        <f t="shared" si="155"/>
        <v>2.0999999999999999E-3</v>
      </c>
      <c r="O30" s="2884">
        <f t="shared" si="151"/>
        <v>4.0999999999999995E-3</v>
      </c>
      <c r="P30" s="2884">
        <f t="shared" si="151"/>
        <v>1.1999999999999999E-3</v>
      </c>
      <c r="Q30" s="2884">
        <f t="shared" si="151"/>
        <v>8.8999999999999999E-3</v>
      </c>
      <c r="R30" s="2899"/>
      <c r="S30" s="2908"/>
      <c r="T30" s="2909"/>
      <c r="U30" s="2909"/>
      <c r="V30" s="2909"/>
      <c r="X30" s="2883">
        <f>ROUND(SUMPRODUCT(PRODUCT(1+N30:N$32)),4)</f>
        <v>1.0347</v>
      </c>
      <c r="Y30" s="2883">
        <f>ROUND(SUMPRODUCT(PRODUCT(1+O30:O$32)),4)</f>
        <v>1.0395000000000001</v>
      </c>
      <c r="Z30" s="2883">
        <f t="shared" si="0"/>
        <v>1.0395000000000001</v>
      </c>
      <c r="AA30" s="2883">
        <f>ROUND(SUMPRODUCT(PRODUCT(1+P30:P$32)),4)</f>
        <v>1.0338000000000001</v>
      </c>
      <c r="AB30" s="2883">
        <f>ROUND(SUMPRODUCT(PRODUCT(1+Q30:Q$32)),4)</f>
        <v>1.0316000000000001</v>
      </c>
      <c r="AD30" s="2884">
        <f>ROUND(AVERAGE(I30:I$33)/100,4)</f>
        <v>1.6E-2</v>
      </c>
      <c r="AE30" s="2884">
        <f>ROUND(AVERAGE(J30:J$33)/100,4)</f>
        <v>1.5599999999999999E-2</v>
      </c>
      <c r="AF30" s="2884">
        <f t="shared" si="1"/>
        <v>1.5599999999999999E-2</v>
      </c>
      <c r="AG30" s="2884">
        <f>ROUND(AVERAGE(K30:K$33)/100,4)</f>
        <v>1.66E-2</v>
      </c>
      <c r="AH30" s="2884">
        <f>ROUND(AVERAGE(L30:L$33)/100,4)</f>
        <v>1.12E-2</v>
      </c>
    </row>
    <row r="31" spans="1:34">
      <c r="A31" s="2895" t="s">
        <v>953</v>
      </c>
      <c r="B31" s="2896">
        <f t="shared" ref="B31:C33" si="158">B30/(1+N30)</f>
        <v>317.33359944117353</v>
      </c>
      <c r="C31" s="2896">
        <f t="shared" si="158"/>
        <v>266.90568668459315</v>
      </c>
      <c r="D31" s="2896">
        <f t="shared" si="153"/>
        <v>266.90568668459315</v>
      </c>
      <c r="E31" s="2896">
        <f t="shared" ref="E31:F33" si="159">E30/(1+P30)</f>
        <v>436.47622852576905</v>
      </c>
      <c r="F31" s="2896">
        <f t="shared" si="159"/>
        <v>234.90930716622066</v>
      </c>
      <c r="G31" s="3572"/>
      <c r="H31" s="2926">
        <v>3</v>
      </c>
      <c r="I31" s="2926">
        <v>0.83</v>
      </c>
      <c r="J31" s="2926">
        <v>1.47</v>
      </c>
      <c r="K31" s="2926">
        <v>0.65</v>
      </c>
      <c r="L31" s="2927">
        <v>0.72</v>
      </c>
      <c r="N31" s="2898">
        <f t="shared" si="155"/>
        <v>8.3000000000000001E-3</v>
      </c>
      <c r="O31" s="2884">
        <f t="shared" si="151"/>
        <v>1.47E-2</v>
      </c>
      <c r="P31" s="2884">
        <f t="shared" si="151"/>
        <v>6.5000000000000006E-3</v>
      </c>
      <c r="Q31" s="2884">
        <f t="shared" si="151"/>
        <v>7.1999999999999998E-3</v>
      </c>
      <c r="R31" s="2899"/>
      <c r="S31" s="2898"/>
      <c r="T31" s="2884"/>
      <c r="U31" s="2884"/>
      <c r="V31" s="2884"/>
      <c r="X31" s="2883">
        <f>ROUND(SUMPRODUCT(PRODUCT(1+N31:N$32)),4)</f>
        <v>1.0325</v>
      </c>
      <c r="Y31" s="2883">
        <f>ROUND(SUMPRODUCT(PRODUCT(1+O31:O$32)),4)</f>
        <v>1.0353000000000001</v>
      </c>
      <c r="Z31" s="2883">
        <f t="shared" ref="Z31:Z32" si="160">Y31</f>
        <v>1.0353000000000001</v>
      </c>
      <c r="AA31" s="2883">
        <f>ROUND(SUMPRODUCT(PRODUCT(1+P31:P$32)),4)</f>
        <v>1.0326</v>
      </c>
      <c r="AB31" s="2883">
        <f>ROUND(SUMPRODUCT(PRODUCT(1+Q31:Q$32)),4)</f>
        <v>1.0225</v>
      </c>
      <c r="AD31" s="2884">
        <f>ROUND(AVERAGE(I31:I$33)/100,4)</f>
        <v>2.07E-2</v>
      </c>
      <c r="AE31" s="2884">
        <f>ROUND(AVERAGE(J31:J$33)/100,4)</f>
        <v>1.95E-2</v>
      </c>
      <c r="AF31" s="2884">
        <f t="shared" si="1"/>
        <v>1.95E-2</v>
      </c>
      <c r="AG31" s="2884">
        <f>ROUND(AVERAGE(K31:K$33)/100,4)</f>
        <v>2.1700000000000001E-2</v>
      </c>
      <c r="AH31" s="2884">
        <f>ROUND(AVERAGE(L31:L$33)/100,4)</f>
        <v>1.2E-2</v>
      </c>
    </row>
    <row r="32" spans="1:34" ht="13.5" thickBot="1">
      <c r="A32" s="2895" t="s">
        <v>952</v>
      </c>
      <c r="B32" s="2896">
        <f t="shared" si="158"/>
        <v>314.72141172386546</v>
      </c>
      <c r="C32" s="2896">
        <f t="shared" si="158"/>
        <v>263.03901319069001</v>
      </c>
      <c r="D32" s="2896">
        <f t="shared" si="153"/>
        <v>263.03901319069001</v>
      </c>
      <c r="E32" s="2896">
        <f t="shared" si="159"/>
        <v>433.65745506782821</v>
      </c>
      <c r="F32" s="2896">
        <f t="shared" si="159"/>
        <v>233.23005080045735</v>
      </c>
      <c r="G32" s="3572"/>
      <c r="H32" s="2919">
        <v>2</v>
      </c>
      <c r="I32" s="2919">
        <v>2.4</v>
      </c>
      <c r="J32" s="2919">
        <v>2.0299999999999998</v>
      </c>
      <c r="K32" s="2919">
        <v>2.59</v>
      </c>
      <c r="L32" s="2920">
        <v>1.52</v>
      </c>
      <c r="N32" s="2898">
        <f t="shared" si="155"/>
        <v>2.4E-2</v>
      </c>
      <c r="O32" s="2884">
        <f t="shared" si="151"/>
        <v>2.0299999999999999E-2</v>
      </c>
      <c r="P32" s="2884">
        <f t="shared" si="151"/>
        <v>2.5899999999999999E-2</v>
      </c>
      <c r="Q32" s="2884">
        <f t="shared" si="151"/>
        <v>1.52E-2</v>
      </c>
      <c r="R32" s="2899"/>
      <c r="S32" s="2898"/>
      <c r="T32" s="2884"/>
      <c r="U32" s="2884"/>
      <c r="V32" s="2884"/>
      <c r="X32" s="2883">
        <f>1+N32</f>
        <v>1.024</v>
      </c>
      <c r="Y32" s="2883">
        <f>1+O32</f>
        <v>1.0203</v>
      </c>
      <c r="Z32" s="2883">
        <f t="shared" si="160"/>
        <v>1.0203</v>
      </c>
      <c r="AA32" s="2883">
        <f>1+P32</f>
        <v>1.0259</v>
      </c>
      <c r="AB32" s="2883">
        <f>1+Q32</f>
        <v>1.0152000000000001</v>
      </c>
      <c r="AD32" s="2884">
        <f>ROUND(AVERAGE(I32:I$33)/100,4)</f>
        <v>2.69E-2</v>
      </c>
      <c r="AE32" s="2884">
        <f>ROUND(AVERAGE(J32:J$33)/100,4)</f>
        <v>2.1899999999999999E-2</v>
      </c>
      <c r="AF32" s="2884">
        <f t="shared" ref="AF32" si="161">AE32</f>
        <v>2.1899999999999999E-2</v>
      </c>
      <c r="AG32" s="2884">
        <f>ROUND(AVERAGE(K32:K$33)/100,4)</f>
        <v>2.9399999999999999E-2</v>
      </c>
      <c r="AH32" s="2884">
        <f>ROUND(AVERAGE(L32:L$33)/100,4)</f>
        <v>1.44E-2</v>
      </c>
    </row>
    <row r="33" spans="1:34" s="2932" customFormat="1" ht="13.5" thickBot="1">
      <c r="A33" s="2928" t="s">
        <v>951</v>
      </c>
      <c r="B33" s="2929">
        <f t="shared" si="158"/>
        <v>307.34512863658733</v>
      </c>
      <c r="C33" s="2929">
        <f t="shared" si="158"/>
        <v>257.80556031626975</v>
      </c>
      <c r="D33" s="2929">
        <f t="shared" si="153"/>
        <v>257.80556031626975</v>
      </c>
      <c r="E33" s="2929">
        <f t="shared" si="159"/>
        <v>422.70928459677179</v>
      </c>
      <c r="F33" s="2929">
        <f t="shared" si="159"/>
        <v>229.73803270336617</v>
      </c>
      <c r="G33" s="3573"/>
      <c r="H33" s="2930">
        <v>1</v>
      </c>
      <c r="I33" s="2930">
        <v>2.97</v>
      </c>
      <c r="J33" s="2930">
        <v>2.34</v>
      </c>
      <c r="K33" s="2930">
        <v>3.28</v>
      </c>
      <c r="L33" s="2931">
        <v>1.36</v>
      </c>
      <c r="N33" s="2933">
        <f t="shared" si="155"/>
        <v>2.9700000000000001E-2</v>
      </c>
      <c r="O33" s="2934">
        <f t="shared" si="151"/>
        <v>2.3399999999999997E-2</v>
      </c>
      <c r="P33" s="2934">
        <f t="shared" si="151"/>
        <v>3.2799999999999996E-2</v>
      </c>
      <c r="Q33" s="2934">
        <f t="shared" si="151"/>
        <v>1.3600000000000001E-2</v>
      </c>
      <c r="R33" s="2935"/>
      <c r="S33" s="2936">
        <f>B33/B34-1</f>
        <v>2.7910129219355539E-2</v>
      </c>
      <c r="T33" s="2937">
        <f>C33/C34-1</f>
        <v>2.3037937762975247E-2</v>
      </c>
      <c r="U33" s="2937">
        <f>E33/E34-1</f>
        <v>3.3519033243940788E-2</v>
      </c>
      <c r="V33" s="2937">
        <f>F33/F34-1</f>
        <v>1.2061818076502862E-2</v>
      </c>
      <c r="W33" s="2938" t="s">
        <v>2620</v>
      </c>
      <c r="X33" s="2939">
        <v>1</v>
      </c>
      <c r="Y33" s="2939">
        <v>1</v>
      </c>
      <c r="Z33" s="2939">
        <v>1</v>
      </c>
      <c r="AA33" s="2939">
        <v>1</v>
      </c>
      <c r="AB33" s="2939">
        <v>1</v>
      </c>
      <c r="AD33" s="2934">
        <f>I33/100</f>
        <v>2.9700000000000001E-2</v>
      </c>
      <c r="AE33" s="2934">
        <f>J33/100</f>
        <v>2.3399999999999997E-2</v>
      </c>
      <c r="AF33" s="2934">
        <f>AE33</f>
        <v>2.3399999999999997E-2</v>
      </c>
      <c r="AG33" s="2934">
        <f>K33/100</f>
        <v>3.2799999999999996E-2</v>
      </c>
      <c r="AH33" s="2934">
        <f>L33/100</f>
        <v>1.3600000000000001E-2</v>
      </c>
    </row>
    <row r="34" spans="1:34" ht="13.5" thickBot="1">
      <c r="A34" s="2895" t="s">
        <v>2563</v>
      </c>
      <c r="B34" s="2917">
        <v>299</v>
      </c>
      <c r="C34" s="2917">
        <v>252</v>
      </c>
      <c r="D34" s="2917">
        <f t="shared" si="153"/>
        <v>252</v>
      </c>
      <c r="E34" s="2917">
        <v>409</v>
      </c>
      <c r="F34" s="2918">
        <v>227</v>
      </c>
      <c r="G34" s="3574">
        <v>2013</v>
      </c>
      <c r="H34" s="2940">
        <v>4</v>
      </c>
      <c r="I34" s="2940">
        <v>1.83</v>
      </c>
      <c r="J34" s="2940">
        <v>1.68</v>
      </c>
      <c r="K34" s="2940">
        <v>1.97</v>
      </c>
      <c r="L34" s="2941">
        <v>0.87</v>
      </c>
      <c r="N34" s="2914">
        <f t="shared" si="155"/>
        <v>1.83E-2</v>
      </c>
      <c r="O34" s="2915">
        <f t="shared" si="151"/>
        <v>1.6799999999999999E-2</v>
      </c>
      <c r="P34" s="2915">
        <f t="shared" si="151"/>
        <v>1.9699999999999999E-2</v>
      </c>
      <c r="Q34" s="2915">
        <f t="shared" si="151"/>
        <v>8.6999999999999994E-3</v>
      </c>
      <c r="R34" s="2899"/>
      <c r="S34" s="2908"/>
      <c r="T34" s="2909"/>
      <c r="U34" s="2909"/>
      <c r="V34" s="2909"/>
      <c r="X34" s="2909"/>
      <c r="Y34" s="2909"/>
      <c r="Z34" s="2909"/>
    </row>
    <row r="35" spans="1:34">
      <c r="A35" s="2895" t="s">
        <v>2564</v>
      </c>
      <c r="B35" s="2896">
        <f t="shared" ref="B35:C37" si="162">B34/(1+N34)</f>
        <v>293.62663262299913</v>
      </c>
      <c r="C35" s="2896">
        <f t="shared" si="162"/>
        <v>247.83634933123525</v>
      </c>
      <c r="D35" s="2896">
        <f t="shared" si="153"/>
        <v>247.83634933123525</v>
      </c>
      <c r="E35" s="2896">
        <f t="shared" ref="E35:F37" si="163">E34/(1+P34)</f>
        <v>401.09836226341076</v>
      </c>
      <c r="F35" s="2896">
        <f t="shared" si="163"/>
        <v>225.04213343908003</v>
      </c>
      <c r="G35" s="3575"/>
      <c r="H35" s="2922">
        <v>3</v>
      </c>
      <c r="I35" s="2922">
        <v>1.86</v>
      </c>
      <c r="J35" s="2922">
        <v>1.72</v>
      </c>
      <c r="K35" s="2922">
        <v>1.98</v>
      </c>
      <c r="L35" s="2923">
        <v>0.88</v>
      </c>
      <c r="N35" s="2898">
        <f t="shared" si="155"/>
        <v>1.8600000000000002E-2</v>
      </c>
      <c r="O35" s="2916">
        <f t="shared" si="151"/>
        <v>1.72E-2</v>
      </c>
      <c r="P35" s="2916">
        <f t="shared" si="151"/>
        <v>1.9799999999999998E-2</v>
      </c>
      <c r="Q35" s="2916">
        <f t="shared" si="151"/>
        <v>8.8000000000000005E-3</v>
      </c>
      <c r="R35" s="2899"/>
      <c r="S35" s="2898"/>
      <c r="T35" s="2884"/>
      <c r="U35" s="2884"/>
      <c r="V35" s="2884"/>
    </row>
    <row r="36" spans="1:34">
      <c r="A36" s="2895" t="s">
        <v>2565</v>
      </c>
      <c r="B36" s="2896">
        <f t="shared" si="162"/>
        <v>288.2649053828776</v>
      </c>
      <c r="C36" s="2896">
        <f t="shared" si="162"/>
        <v>243.64564425013293</v>
      </c>
      <c r="D36" s="2896">
        <f t="shared" si="153"/>
        <v>243.64564425013293</v>
      </c>
      <c r="E36" s="2896">
        <f t="shared" si="163"/>
        <v>393.31080825986544</v>
      </c>
      <c r="F36" s="2896">
        <f t="shared" si="163"/>
        <v>223.07903790551154</v>
      </c>
      <c r="G36" s="3575"/>
      <c r="H36" s="2910">
        <v>2</v>
      </c>
      <c r="I36" s="2910">
        <v>2.04</v>
      </c>
      <c r="J36" s="2910">
        <v>2.33</v>
      </c>
      <c r="K36" s="2910">
        <v>2.0699999999999998</v>
      </c>
      <c r="L36" s="2911">
        <v>0.69</v>
      </c>
      <c r="N36" s="2898">
        <f t="shared" si="155"/>
        <v>2.0400000000000001E-2</v>
      </c>
      <c r="O36" s="2916">
        <f t="shared" si="151"/>
        <v>2.3300000000000001E-2</v>
      </c>
      <c r="P36" s="2916">
        <f t="shared" si="151"/>
        <v>2.07E-2</v>
      </c>
      <c r="Q36" s="2916">
        <f t="shared" si="151"/>
        <v>6.8999999999999999E-3</v>
      </c>
      <c r="R36" s="2899"/>
      <c r="S36" s="2898"/>
      <c r="T36" s="2884"/>
      <c r="U36" s="2884"/>
      <c r="V36" s="2884"/>
      <c r="X36" s="2942"/>
      <c r="Y36" s="2943"/>
    </row>
    <row r="37" spans="1:34">
      <c r="A37" s="2895" t="s">
        <v>2566</v>
      </c>
      <c r="B37" s="2896">
        <f t="shared" si="162"/>
        <v>282.50186729015837</v>
      </c>
      <c r="C37" s="2896">
        <f t="shared" si="162"/>
        <v>238.09796174155468</v>
      </c>
      <c r="D37" s="2896">
        <f t="shared" si="153"/>
        <v>238.09796174155468</v>
      </c>
      <c r="E37" s="2896">
        <f t="shared" si="163"/>
        <v>385.33438646014054</v>
      </c>
      <c r="F37" s="2896">
        <f t="shared" si="163"/>
        <v>221.55034055567739</v>
      </c>
      <c r="G37" s="3576"/>
      <c r="H37" s="2897">
        <v>1</v>
      </c>
      <c r="I37" s="2897">
        <v>1.67</v>
      </c>
      <c r="J37" s="2897">
        <v>1.31</v>
      </c>
      <c r="K37" s="2897">
        <v>1.85</v>
      </c>
      <c r="L37" s="2903">
        <v>0.96</v>
      </c>
      <c r="N37" s="2900">
        <f t="shared" si="155"/>
        <v>1.67E-2</v>
      </c>
      <c r="O37" s="2901">
        <f t="shared" si="151"/>
        <v>1.3100000000000001E-2</v>
      </c>
      <c r="P37" s="2901">
        <f t="shared" si="151"/>
        <v>1.8500000000000003E-2</v>
      </c>
      <c r="Q37" s="2901">
        <f t="shared" si="151"/>
        <v>9.5999999999999992E-3</v>
      </c>
      <c r="R37" s="2899"/>
      <c r="S37" s="2900">
        <f>B37/B38-1</f>
        <v>1.6193767230785472E-2</v>
      </c>
      <c r="T37" s="2901">
        <f>C37/C38-1</f>
        <v>1.7512657015190891E-2</v>
      </c>
      <c r="U37" s="2901">
        <f>E37/E38-1</f>
        <v>1.6713420739157048E-2</v>
      </c>
      <c r="V37" s="2901">
        <f>F37/F38-1</f>
        <v>7.0470025258062563E-3</v>
      </c>
      <c r="X37" s="2944"/>
      <c r="Y37" s="2884"/>
      <c r="Z37" s="2884"/>
    </row>
    <row r="38" spans="1:34" ht="13.5" thickBot="1">
      <c r="A38" s="2895" t="s">
        <v>2567</v>
      </c>
      <c r="B38" s="2945">
        <v>278</v>
      </c>
      <c r="C38" s="2945">
        <v>234</v>
      </c>
      <c r="D38" s="2945">
        <f t="shared" si="153"/>
        <v>234</v>
      </c>
      <c r="E38" s="2945">
        <v>379</v>
      </c>
      <c r="F38" s="2946">
        <v>220</v>
      </c>
      <c r="G38" s="3571">
        <v>2012</v>
      </c>
      <c r="H38" s="2919">
        <v>4</v>
      </c>
      <c r="I38" s="2919">
        <v>0.91</v>
      </c>
      <c r="J38" s="2919">
        <v>0.68</v>
      </c>
      <c r="K38" s="2919">
        <v>0.98</v>
      </c>
      <c r="L38" s="2920">
        <v>0.9</v>
      </c>
      <c r="N38" s="2898">
        <f t="shared" si="155"/>
        <v>9.1000000000000004E-3</v>
      </c>
      <c r="O38" s="2884">
        <f t="shared" si="155"/>
        <v>6.8000000000000005E-3</v>
      </c>
      <c r="P38" s="2884">
        <f t="shared" si="155"/>
        <v>9.7999999999999997E-3</v>
      </c>
      <c r="Q38" s="2884">
        <f t="shared" si="155"/>
        <v>9.0000000000000011E-3</v>
      </c>
      <c r="R38" s="2899"/>
      <c r="S38" s="2908"/>
      <c r="T38" s="2909"/>
      <c r="U38" s="2909"/>
      <c r="V38" s="2909"/>
      <c r="X38" s="2909"/>
      <c r="Y38" s="2909"/>
      <c r="Z38" s="2909"/>
    </row>
    <row r="39" spans="1:34">
      <c r="A39" s="2895" t="s">
        <v>2568</v>
      </c>
      <c r="B39" s="2896">
        <f>B38/(1+N38)</f>
        <v>275.49301357645425</v>
      </c>
      <c r="C39" s="2896">
        <f>C38/(1+O38)</f>
        <v>232.41954707985698</v>
      </c>
      <c r="D39" s="2896">
        <f t="shared" si="153"/>
        <v>232.41954707985698</v>
      </c>
      <c r="E39" s="2896">
        <f t="shared" ref="E39:F41" si="164">E38/(1+P38)</f>
        <v>375.32184591008121</v>
      </c>
      <c r="F39" s="2896">
        <f t="shared" si="164"/>
        <v>218.03766105054513</v>
      </c>
      <c r="G39" s="3572"/>
      <c r="H39" s="2922">
        <v>3</v>
      </c>
      <c r="I39" s="2922">
        <v>0.09</v>
      </c>
      <c r="J39" s="2922">
        <v>0.28999999999999998</v>
      </c>
      <c r="K39" s="2922">
        <v>-0.01</v>
      </c>
      <c r="L39" s="2923">
        <v>0.57999999999999996</v>
      </c>
      <c r="N39" s="2898">
        <f t="shared" si="155"/>
        <v>8.9999999999999998E-4</v>
      </c>
      <c r="O39" s="2884">
        <f t="shared" si="155"/>
        <v>2.8999999999999998E-3</v>
      </c>
      <c r="P39" s="2884">
        <f t="shared" si="155"/>
        <v>-1E-4</v>
      </c>
      <c r="Q39" s="2884">
        <f t="shared" si="155"/>
        <v>5.7999999999999996E-3</v>
      </c>
      <c r="R39" s="2899"/>
      <c r="S39" s="2898"/>
      <c r="T39" s="2884"/>
      <c r="U39" s="2884"/>
      <c r="V39" s="2884"/>
    </row>
    <row r="40" spans="1:34">
      <c r="A40" s="2895" t="s">
        <v>2569</v>
      </c>
      <c r="B40" s="2896">
        <f>B39/(1+N39)</f>
        <v>275.24529281292263</v>
      </c>
      <c r="C40" s="2896">
        <f>C39/(1+O39)</f>
        <v>231.74747938962707</v>
      </c>
      <c r="D40" s="2896">
        <f t="shared" si="153"/>
        <v>231.74747938962707</v>
      </c>
      <c r="E40" s="2896">
        <f t="shared" si="164"/>
        <v>375.35938184826603</v>
      </c>
      <c r="F40" s="2896">
        <f t="shared" si="164"/>
        <v>216.78033510692495</v>
      </c>
      <c r="G40" s="3572"/>
      <c r="H40" s="2910">
        <v>2</v>
      </c>
      <c r="I40" s="2910">
        <v>0.02</v>
      </c>
      <c r="J40" s="2910">
        <v>0.12</v>
      </c>
      <c r="K40" s="2910">
        <v>-0.08</v>
      </c>
      <c r="L40" s="2911">
        <v>1.24</v>
      </c>
      <c r="N40" s="2898">
        <f t="shared" si="155"/>
        <v>2.0000000000000001E-4</v>
      </c>
      <c r="O40" s="2884">
        <f t="shared" si="155"/>
        <v>1.1999999999999999E-3</v>
      </c>
      <c r="P40" s="2884">
        <f t="shared" si="155"/>
        <v>-8.0000000000000004E-4</v>
      </c>
      <c r="Q40" s="2884">
        <f t="shared" si="155"/>
        <v>1.24E-2</v>
      </c>
      <c r="R40" s="2899"/>
      <c r="S40" s="2898"/>
      <c r="T40" s="2884"/>
      <c r="U40" s="2884"/>
      <c r="V40" s="2884"/>
    </row>
    <row r="41" spans="1:34" ht="13.5" thickBot="1">
      <c r="A41" s="2895" t="s">
        <v>2570</v>
      </c>
      <c r="B41" s="2896">
        <f>B40/(1+N40)</f>
        <v>275.19025476197027</v>
      </c>
      <c r="C41" s="2947">
        <v>232</v>
      </c>
      <c r="D41" s="2947">
        <f t="shared" si="153"/>
        <v>232</v>
      </c>
      <c r="E41" s="2896">
        <f t="shared" si="164"/>
        <v>375.65990977608692</v>
      </c>
      <c r="F41" s="2896">
        <f t="shared" si="164"/>
        <v>214.12518283971252</v>
      </c>
      <c r="G41" s="3573"/>
      <c r="H41" s="2897">
        <v>1</v>
      </c>
      <c r="I41" s="2897">
        <v>0.02</v>
      </c>
      <c r="J41" s="2897">
        <v>0.13</v>
      </c>
      <c r="K41" s="2897">
        <v>-0.04</v>
      </c>
      <c r="L41" s="2903">
        <v>0.46</v>
      </c>
      <c r="N41" s="2898">
        <f t="shared" si="155"/>
        <v>2.0000000000000001E-4</v>
      </c>
      <c r="O41" s="2884">
        <f t="shared" si="155"/>
        <v>1.2999999999999999E-3</v>
      </c>
      <c r="P41" s="2884">
        <f t="shared" si="155"/>
        <v>-4.0000000000000002E-4</v>
      </c>
      <c r="Q41" s="2884">
        <f t="shared" si="155"/>
        <v>4.5999999999999999E-3</v>
      </c>
      <c r="R41" s="2899"/>
      <c r="S41" s="2900">
        <f>B41/B42-1</f>
        <v>6.9183549807361189E-4</v>
      </c>
      <c r="T41" s="2901">
        <f>C41/C42-1</f>
        <v>0</v>
      </c>
      <c r="U41" s="2901">
        <f>E41/E42-1</f>
        <v>-9.0449527636460303E-4</v>
      </c>
      <c r="V41" s="2901">
        <f>F41/F42-1</f>
        <v>5.2825485432512753E-3</v>
      </c>
      <c r="X41" s="2884"/>
      <c r="Y41" s="2884"/>
      <c r="Z41" s="2884"/>
    </row>
    <row r="42" spans="1:34" ht="13.5" thickBot="1">
      <c r="A42" s="2895" t="s">
        <v>2571</v>
      </c>
      <c r="B42" s="2917">
        <v>275</v>
      </c>
      <c r="C42" s="2917">
        <v>232</v>
      </c>
      <c r="D42" s="2917">
        <f t="shared" si="153"/>
        <v>232</v>
      </c>
      <c r="E42" s="2917">
        <v>376</v>
      </c>
      <c r="F42" s="2918">
        <v>213</v>
      </c>
      <c r="G42" s="3571">
        <v>2011</v>
      </c>
      <c r="H42" s="2919">
        <v>4</v>
      </c>
      <c r="I42" s="2919">
        <v>-0.2</v>
      </c>
      <c r="J42" s="2919">
        <v>0.04</v>
      </c>
      <c r="K42" s="2919">
        <v>-0.34</v>
      </c>
      <c r="L42" s="2920">
        <v>0.46</v>
      </c>
      <c r="N42" s="2914">
        <f t="shared" si="155"/>
        <v>-2E-3</v>
      </c>
      <c r="O42" s="2915">
        <f t="shared" si="155"/>
        <v>4.0000000000000002E-4</v>
      </c>
      <c r="P42" s="2915">
        <f t="shared" si="155"/>
        <v>-3.4000000000000002E-3</v>
      </c>
      <c r="Q42" s="2915">
        <f t="shared" si="155"/>
        <v>4.5999999999999999E-3</v>
      </c>
      <c r="R42" s="2899"/>
      <c r="S42" s="2908"/>
      <c r="T42" s="2909"/>
      <c r="U42" s="2909"/>
      <c r="V42" s="2909"/>
      <c r="X42" s="2909"/>
      <c r="Y42" s="2909"/>
      <c r="Z42" s="2909"/>
    </row>
    <row r="43" spans="1:34">
      <c r="A43" s="2895" t="s">
        <v>2572</v>
      </c>
      <c r="B43" s="2896">
        <f t="shared" ref="B43:C45" si="165">B42/(1+N42)</f>
        <v>275.55110220440883</v>
      </c>
      <c r="C43" s="2896">
        <f t="shared" si="165"/>
        <v>231.90723710515795</v>
      </c>
      <c r="D43" s="2896">
        <f t="shared" si="153"/>
        <v>231.90723710515795</v>
      </c>
      <c r="E43" s="2896">
        <f t="shared" ref="E43:F45" si="166">E42/(1+P42)</f>
        <v>377.28276138872161</v>
      </c>
      <c r="F43" s="2896">
        <f t="shared" si="166"/>
        <v>212.02468644236512</v>
      </c>
      <c r="G43" s="3572">
        <v>2011</v>
      </c>
      <c r="H43" s="2922">
        <v>3</v>
      </c>
      <c r="I43" s="2922">
        <v>0.13</v>
      </c>
      <c r="J43" s="2922">
        <v>0.75</v>
      </c>
      <c r="K43" s="2922">
        <v>-0.08</v>
      </c>
      <c r="L43" s="2923">
        <v>0.53</v>
      </c>
      <c r="N43" s="2898">
        <f t="shared" si="155"/>
        <v>1.2999999999999999E-3</v>
      </c>
      <c r="O43" s="2916">
        <f t="shared" si="155"/>
        <v>7.4999999999999997E-3</v>
      </c>
      <c r="P43" s="2916">
        <f t="shared" si="155"/>
        <v>-8.0000000000000004E-4</v>
      </c>
      <c r="Q43" s="2916">
        <f t="shared" si="155"/>
        <v>5.3E-3</v>
      </c>
      <c r="R43" s="2899"/>
      <c r="S43" s="2898"/>
      <c r="T43" s="2884"/>
      <c r="U43" s="2884"/>
      <c r="V43" s="2884"/>
    </row>
    <row r="44" spans="1:34">
      <c r="A44" s="2895" t="s">
        <v>2573</v>
      </c>
      <c r="B44" s="2896">
        <f t="shared" si="165"/>
        <v>275.19335084830601</v>
      </c>
      <c r="C44" s="2896">
        <f t="shared" si="165"/>
        <v>230.18088050139744</v>
      </c>
      <c r="D44" s="2896">
        <f t="shared" si="153"/>
        <v>230.18088050139744</v>
      </c>
      <c r="E44" s="2896">
        <f t="shared" si="166"/>
        <v>377.58482925212331</v>
      </c>
      <c r="F44" s="2896">
        <f t="shared" si="166"/>
        <v>210.90687997847917</v>
      </c>
      <c r="G44" s="3572">
        <v>2011</v>
      </c>
      <c r="H44" s="2910">
        <v>2</v>
      </c>
      <c r="I44" s="2910">
        <v>-0.4</v>
      </c>
      <c r="J44" s="2910">
        <v>0.17</v>
      </c>
      <c r="K44" s="2910">
        <v>-0.57999999999999996</v>
      </c>
      <c r="L44" s="2911">
        <v>-0.2</v>
      </c>
      <c r="N44" s="2898">
        <f t="shared" si="155"/>
        <v>-4.0000000000000001E-3</v>
      </c>
      <c r="O44" s="2916">
        <f t="shared" si="155"/>
        <v>1.7000000000000001E-3</v>
      </c>
      <c r="P44" s="2916">
        <f t="shared" si="155"/>
        <v>-5.7999999999999996E-3</v>
      </c>
      <c r="Q44" s="2916">
        <f t="shared" si="155"/>
        <v>-2E-3</v>
      </c>
      <c r="R44" s="2899"/>
      <c r="S44" s="2898"/>
      <c r="T44" s="2884"/>
      <c r="U44" s="2884"/>
      <c r="V44" s="2884"/>
    </row>
    <row r="45" spans="1:34" ht="13.5" thickBot="1">
      <c r="A45" s="2895" t="s">
        <v>2574</v>
      </c>
      <c r="B45" s="2896">
        <f t="shared" si="165"/>
        <v>276.29854502841971</v>
      </c>
      <c r="C45" s="2896">
        <f t="shared" si="165"/>
        <v>229.79023709833027</v>
      </c>
      <c r="D45" s="2896">
        <f t="shared" si="153"/>
        <v>229.79023709833027</v>
      </c>
      <c r="E45" s="2896">
        <f t="shared" si="166"/>
        <v>379.78759731655936</v>
      </c>
      <c r="F45" s="2896">
        <f t="shared" si="166"/>
        <v>211.32953905659235</v>
      </c>
      <c r="G45" s="3573">
        <v>2011</v>
      </c>
      <c r="H45" s="2897">
        <v>1</v>
      </c>
      <c r="I45" s="2897">
        <v>2.65</v>
      </c>
      <c r="J45" s="2897">
        <v>3.76</v>
      </c>
      <c r="K45" s="2897">
        <v>1.89</v>
      </c>
      <c r="L45" s="2903">
        <v>7.95</v>
      </c>
      <c r="N45" s="2900">
        <f t="shared" si="155"/>
        <v>2.6499999999999999E-2</v>
      </c>
      <c r="O45" s="2901">
        <f t="shared" si="155"/>
        <v>3.7599999999999995E-2</v>
      </c>
      <c r="P45" s="2901">
        <f t="shared" si="155"/>
        <v>1.89E-2</v>
      </c>
      <c r="Q45" s="2901">
        <f t="shared" si="155"/>
        <v>7.9500000000000001E-2</v>
      </c>
      <c r="R45" s="2899"/>
      <c r="S45" s="2900">
        <f>B45/B46-1</f>
        <v>2.713213765211786E-2</v>
      </c>
      <c r="T45" s="2901">
        <f>C45/C46-1</f>
        <v>3.9774828499231862E-2</v>
      </c>
      <c r="U45" s="2901">
        <f>E45/E46-1</f>
        <v>1.8197311840641772E-2</v>
      </c>
      <c r="V45" s="2901">
        <f>F45/F46-1</f>
        <v>7.8211933962205826E-2</v>
      </c>
      <c r="X45" s="2884"/>
      <c r="Y45" s="2884"/>
      <c r="Z45" s="2884"/>
    </row>
    <row r="46" spans="1:34" ht="13.5" thickBot="1">
      <c r="A46" s="2895" t="s">
        <v>2575</v>
      </c>
      <c r="B46" s="2917">
        <v>269</v>
      </c>
      <c r="C46" s="2917">
        <v>221</v>
      </c>
      <c r="D46" s="2917">
        <f t="shared" si="153"/>
        <v>221</v>
      </c>
      <c r="E46" s="2917">
        <v>373</v>
      </c>
      <c r="F46" s="2918">
        <v>196</v>
      </c>
      <c r="G46" s="3571">
        <v>2010</v>
      </c>
      <c r="H46" s="2919">
        <v>4</v>
      </c>
      <c r="I46" s="2919">
        <v>5.72</v>
      </c>
      <c r="J46" s="2919">
        <v>6.57</v>
      </c>
      <c r="K46" s="2919">
        <v>5.72</v>
      </c>
      <c r="L46" s="2920">
        <v>2.72</v>
      </c>
      <c r="N46" s="2898">
        <f t="shared" si="155"/>
        <v>5.7200000000000001E-2</v>
      </c>
      <c r="O46" s="2884">
        <f t="shared" si="155"/>
        <v>6.5700000000000008E-2</v>
      </c>
      <c r="P46" s="2884">
        <f t="shared" si="155"/>
        <v>5.7200000000000001E-2</v>
      </c>
      <c r="Q46" s="2884">
        <f t="shared" si="155"/>
        <v>2.7200000000000002E-2</v>
      </c>
      <c r="R46" s="2899"/>
      <c r="S46" s="2908"/>
      <c r="T46" s="2909"/>
      <c r="U46" s="2909"/>
      <c r="V46" s="2909"/>
      <c r="X46" s="2909"/>
      <c r="Y46" s="2909"/>
      <c r="Z46" s="2909"/>
    </row>
    <row r="47" spans="1:34">
      <c r="A47" s="2895" t="s">
        <v>2576</v>
      </c>
      <c r="B47" s="2896">
        <f t="shared" ref="B47:C49" si="167">B46/(1+N46)</f>
        <v>254.44570563753314</v>
      </c>
      <c r="C47" s="2896">
        <f t="shared" si="167"/>
        <v>207.37543398705074</v>
      </c>
      <c r="D47" s="2896">
        <f t="shared" si="153"/>
        <v>207.37543398705074</v>
      </c>
      <c r="E47" s="2896">
        <f t="shared" ref="E47:F49" si="168">E46/(1+P46)</f>
        <v>352.81876655315932</v>
      </c>
      <c r="F47" s="2896">
        <f t="shared" si="168"/>
        <v>190.809968847352</v>
      </c>
      <c r="G47" s="3572">
        <v>2010</v>
      </c>
      <c r="H47" s="2922">
        <v>3</v>
      </c>
      <c r="I47" s="2922">
        <v>4.7300000000000004</v>
      </c>
      <c r="J47" s="2922">
        <v>3.9</v>
      </c>
      <c r="K47" s="2922">
        <v>5.03</v>
      </c>
      <c r="L47" s="2923">
        <v>4.21</v>
      </c>
      <c r="N47" s="2898">
        <f t="shared" si="155"/>
        <v>4.7300000000000002E-2</v>
      </c>
      <c r="O47" s="2884">
        <f t="shared" si="155"/>
        <v>3.9E-2</v>
      </c>
      <c r="P47" s="2884">
        <f t="shared" si="155"/>
        <v>5.0300000000000004E-2</v>
      </c>
      <c r="Q47" s="2884">
        <f t="shared" si="155"/>
        <v>4.2099999999999999E-2</v>
      </c>
      <c r="R47" s="2899"/>
      <c r="S47" s="2898"/>
      <c r="T47" s="2884"/>
      <c r="U47" s="2884"/>
      <c r="V47" s="2884"/>
    </row>
    <row r="48" spans="1:34">
      <c r="A48" s="2895" t="s">
        <v>2577</v>
      </c>
      <c r="B48" s="2896">
        <f t="shared" si="167"/>
        <v>242.95398227588385</v>
      </c>
      <c r="C48" s="2896">
        <f t="shared" si="167"/>
        <v>199.59137053614126</v>
      </c>
      <c r="D48" s="2896">
        <f t="shared" si="153"/>
        <v>199.59137053614126</v>
      </c>
      <c r="E48" s="2896">
        <f t="shared" si="168"/>
        <v>335.92189522342125</v>
      </c>
      <c r="F48" s="2896">
        <f t="shared" si="168"/>
        <v>183.10139991109489</v>
      </c>
      <c r="G48" s="3572">
        <v>2010</v>
      </c>
      <c r="H48" s="2910">
        <v>2</v>
      </c>
      <c r="I48" s="2910">
        <v>4.6900000000000004</v>
      </c>
      <c r="J48" s="2910">
        <v>3.55</v>
      </c>
      <c r="K48" s="2910">
        <v>5.07</v>
      </c>
      <c r="L48" s="2911">
        <v>4.2300000000000004</v>
      </c>
      <c r="N48" s="2898">
        <f t="shared" si="155"/>
        <v>4.6900000000000004E-2</v>
      </c>
      <c r="O48" s="2884">
        <f t="shared" si="155"/>
        <v>3.5499999999999997E-2</v>
      </c>
      <c r="P48" s="2884">
        <f t="shared" si="155"/>
        <v>5.0700000000000002E-2</v>
      </c>
      <c r="Q48" s="2884">
        <f t="shared" si="155"/>
        <v>4.2300000000000004E-2</v>
      </c>
      <c r="R48" s="2899"/>
      <c r="S48" s="2898"/>
      <c r="T48" s="2884"/>
      <c r="U48" s="2884"/>
      <c r="V48" s="2884"/>
    </row>
    <row r="49" spans="1:26" ht="13.5" thickBot="1">
      <c r="A49" s="2895" t="s">
        <v>2578</v>
      </c>
      <c r="B49" s="2896">
        <f t="shared" si="167"/>
        <v>232.06990378821649</v>
      </c>
      <c r="C49" s="2896">
        <f t="shared" si="167"/>
        <v>192.74878854286936</v>
      </c>
      <c r="D49" s="2896">
        <f t="shared" si="153"/>
        <v>192.74878854286936</v>
      </c>
      <c r="E49" s="2896">
        <f t="shared" si="168"/>
        <v>319.71247284992984</v>
      </c>
      <c r="F49" s="2896">
        <f t="shared" si="168"/>
        <v>175.67053622862409</v>
      </c>
      <c r="G49" s="3573">
        <v>2010</v>
      </c>
      <c r="H49" s="2897">
        <v>1</v>
      </c>
      <c r="I49" s="2897">
        <v>5.4</v>
      </c>
      <c r="J49" s="2897">
        <v>3.2</v>
      </c>
      <c r="K49" s="2897">
        <v>6.16</v>
      </c>
      <c r="L49" s="2903">
        <v>4.51</v>
      </c>
      <c r="N49" s="2898">
        <f t="shared" si="155"/>
        <v>5.4000000000000006E-2</v>
      </c>
      <c r="O49" s="2884">
        <f t="shared" si="155"/>
        <v>3.2000000000000001E-2</v>
      </c>
      <c r="P49" s="2884">
        <f t="shared" si="155"/>
        <v>6.1600000000000002E-2</v>
      </c>
      <c r="Q49" s="2884">
        <f t="shared" si="155"/>
        <v>4.5100000000000001E-2</v>
      </c>
      <c r="R49" s="2899"/>
      <c r="S49" s="2900">
        <f>B49/B50-1</f>
        <v>5.4863199037347599E-2</v>
      </c>
      <c r="T49" s="2901">
        <f>C49/C50-1</f>
        <v>3.0742184721226584E-2</v>
      </c>
      <c r="U49" s="2901">
        <f>E49/E50-1</f>
        <v>6.2167683886810154E-2</v>
      </c>
      <c r="V49" s="2901">
        <f>F49/F50-1</f>
        <v>4.5657953741810031E-2</v>
      </c>
      <c r="X49" s="2884"/>
      <c r="Y49" s="2884"/>
      <c r="Z49" s="2884"/>
    </row>
    <row r="50" spans="1:26" ht="13.5" thickBot="1">
      <c r="A50" s="2895" t="s">
        <v>2579</v>
      </c>
      <c r="B50" s="2917">
        <v>220</v>
      </c>
      <c r="C50" s="2917">
        <v>187</v>
      </c>
      <c r="D50" s="2917">
        <f t="shared" si="153"/>
        <v>187</v>
      </c>
      <c r="E50" s="2917">
        <v>301</v>
      </c>
      <c r="F50" s="2918">
        <v>168</v>
      </c>
      <c r="G50" s="3571">
        <v>2009</v>
      </c>
      <c r="H50" s="2919">
        <v>4</v>
      </c>
      <c r="I50" s="2919">
        <v>2.2999999999999998</v>
      </c>
      <c r="J50" s="2919">
        <v>1.04</v>
      </c>
      <c r="K50" s="2919">
        <v>2.84</v>
      </c>
      <c r="L50" s="2920">
        <v>0.67</v>
      </c>
      <c r="N50" s="2914">
        <f t="shared" si="155"/>
        <v>2.3E-2</v>
      </c>
      <c r="O50" s="2915">
        <f t="shared" si="155"/>
        <v>1.04E-2</v>
      </c>
      <c r="P50" s="2915">
        <f t="shared" si="155"/>
        <v>2.8399999999999998E-2</v>
      </c>
      <c r="Q50" s="2915">
        <f t="shared" si="155"/>
        <v>6.7000000000000002E-3</v>
      </c>
      <c r="R50" s="2899"/>
      <c r="S50" s="2908"/>
      <c r="T50" s="2909"/>
      <c r="U50" s="2909"/>
      <c r="V50" s="2909"/>
      <c r="X50" s="2909"/>
      <c r="Y50" s="2909"/>
      <c r="Z50" s="2909"/>
    </row>
    <row r="51" spans="1:26">
      <c r="A51" s="2895" t="s">
        <v>2580</v>
      </c>
      <c r="B51" s="2896">
        <f t="shared" ref="B51:C53" si="169">B50/(1+N50)</f>
        <v>215.05376344086022</v>
      </c>
      <c r="C51" s="2896">
        <f t="shared" si="169"/>
        <v>185.0752177355503</v>
      </c>
      <c r="D51" s="2896">
        <f t="shared" si="153"/>
        <v>185.0752177355503</v>
      </c>
      <c r="E51" s="2896">
        <f t="shared" ref="E51:F53" si="170">E50/(1+P50)</f>
        <v>292.68767016725008</v>
      </c>
      <c r="F51" s="2896">
        <f t="shared" si="170"/>
        <v>166.88189132810174</v>
      </c>
      <c r="G51" s="3572">
        <v>2009</v>
      </c>
      <c r="H51" s="2922">
        <v>3</v>
      </c>
      <c r="I51" s="2922">
        <v>2.1</v>
      </c>
      <c r="J51" s="2922">
        <v>1.86</v>
      </c>
      <c r="K51" s="2922">
        <v>2.29</v>
      </c>
      <c r="L51" s="2923">
        <v>0.85</v>
      </c>
      <c r="N51" s="2898">
        <f t="shared" si="155"/>
        <v>2.1000000000000001E-2</v>
      </c>
      <c r="O51" s="2916">
        <f t="shared" si="155"/>
        <v>1.8600000000000002E-2</v>
      </c>
      <c r="P51" s="2916">
        <f t="shared" si="155"/>
        <v>2.29E-2</v>
      </c>
      <c r="Q51" s="2916">
        <f t="shared" si="155"/>
        <v>8.5000000000000006E-3</v>
      </c>
      <c r="R51" s="2899"/>
      <c r="S51" s="2898"/>
      <c r="T51" s="2884"/>
      <c r="U51" s="2884"/>
      <c r="V51" s="2884"/>
    </row>
    <row r="52" spans="1:26">
      <c r="A52" s="2895" t="s">
        <v>2581</v>
      </c>
      <c r="B52" s="2896">
        <f t="shared" si="169"/>
        <v>210.630522469011</v>
      </c>
      <c r="C52" s="2896">
        <f t="shared" si="169"/>
        <v>181.69567812247232</v>
      </c>
      <c r="D52" s="2896">
        <f t="shared" si="153"/>
        <v>181.69567812247232</v>
      </c>
      <c r="E52" s="2896">
        <f t="shared" si="170"/>
        <v>286.13517466736738</v>
      </c>
      <c r="F52" s="2896">
        <f t="shared" si="170"/>
        <v>165.47535084591149</v>
      </c>
      <c r="G52" s="3572">
        <v>2009</v>
      </c>
      <c r="H52" s="2910">
        <v>2</v>
      </c>
      <c r="I52" s="2910">
        <v>0.86</v>
      </c>
      <c r="J52" s="2910">
        <v>-1.1299999999999999</v>
      </c>
      <c r="K52" s="2910">
        <v>1.79</v>
      </c>
      <c r="L52" s="2911">
        <v>-2.0699999999999998</v>
      </c>
      <c r="N52" s="2898">
        <f t="shared" si="155"/>
        <v>8.6E-3</v>
      </c>
      <c r="O52" s="2916">
        <f t="shared" si="155"/>
        <v>-1.1299999999999999E-2</v>
      </c>
      <c r="P52" s="2916">
        <f t="shared" si="155"/>
        <v>1.7899999999999999E-2</v>
      </c>
      <c r="Q52" s="2916">
        <f t="shared" si="155"/>
        <v>-2.07E-2</v>
      </c>
      <c r="R52" s="2899"/>
      <c r="S52" s="2898"/>
      <c r="T52" s="2884"/>
      <c r="U52" s="2884"/>
      <c r="V52" s="2884"/>
    </row>
    <row r="53" spans="1:26">
      <c r="A53" s="2895" t="s">
        <v>2582</v>
      </c>
      <c r="B53" s="2896">
        <f t="shared" si="169"/>
        <v>208.83454537875372</v>
      </c>
      <c r="C53" s="2896">
        <f t="shared" si="169"/>
        <v>183.77230517090351</v>
      </c>
      <c r="D53" s="2896">
        <f t="shared" si="153"/>
        <v>183.77230517090351</v>
      </c>
      <c r="E53" s="2896">
        <f t="shared" si="170"/>
        <v>281.10342338870947</v>
      </c>
      <c r="F53" s="2896">
        <f t="shared" si="170"/>
        <v>168.97309388942256</v>
      </c>
      <c r="G53" s="3573">
        <v>2009</v>
      </c>
      <c r="H53" s="2897">
        <v>1</v>
      </c>
      <c r="I53" s="2897">
        <v>-2.64</v>
      </c>
      <c r="J53" s="2897">
        <v>-2.5299999999999998</v>
      </c>
      <c r="K53" s="2897">
        <v>-3.02</v>
      </c>
      <c r="L53" s="2903">
        <v>1.52</v>
      </c>
      <c r="N53" s="2900">
        <f t="shared" si="155"/>
        <v>-2.64E-2</v>
      </c>
      <c r="O53" s="2901">
        <f t="shared" si="155"/>
        <v>-2.53E-2</v>
      </c>
      <c r="P53" s="2901">
        <f t="shared" si="155"/>
        <v>-3.0200000000000001E-2</v>
      </c>
      <c r="Q53" s="2901">
        <f t="shared" si="155"/>
        <v>1.52E-2</v>
      </c>
      <c r="R53" s="2899"/>
      <c r="S53" s="2900">
        <f>B53/B54-1</f>
        <v>-2.4137638417038754E-2</v>
      </c>
      <c r="T53" s="2901">
        <f>C53/C54-1</f>
        <v>-2.248773845264096E-2</v>
      </c>
      <c r="U53" s="2901">
        <f>E53/E54-1</f>
        <v>-2.7323794502735366E-2</v>
      </c>
      <c r="V53" s="2901">
        <f>F53/F54-1</f>
        <v>1.7910204153148035E-2</v>
      </c>
      <c r="X53" s="2884"/>
      <c r="Y53" s="2884"/>
      <c r="Z53" s="2884"/>
    </row>
    <row r="54" spans="1:26" ht="13.5" thickBot="1">
      <c r="A54" s="2895" t="s">
        <v>2583</v>
      </c>
      <c r="B54" s="2945">
        <v>214</v>
      </c>
      <c r="C54" s="2945">
        <v>188</v>
      </c>
      <c r="D54" s="2945">
        <f t="shared" si="153"/>
        <v>188</v>
      </c>
      <c r="E54" s="2945">
        <v>289</v>
      </c>
      <c r="F54" s="2946">
        <v>166</v>
      </c>
      <c r="G54" s="3571">
        <v>2008</v>
      </c>
      <c r="H54" s="2919">
        <v>4</v>
      </c>
      <c r="I54" s="2919">
        <v>1.73</v>
      </c>
      <c r="J54" s="2919">
        <v>0.03</v>
      </c>
      <c r="K54" s="2919">
        <v>2.59</v>
      </c>
      <c r="L54" s="2920">
        <v>-1.66</v>
      </c>
      <c r="N54" s="2898">
        <f t="shared" si="155"/>
        <v>1.7299999999999999E-2</v>
      </c>
      <c r="O54" s="2884">
        <f t="shared" si="155"/>
        <v>2.9999999999999997E-4</v>
      </c>
      <c r="P54" s="2884">
        <f t="shared" si="155"/>
        <v>2.5899999999999999E-2</v>
      </c>
      <c r="Q54" s="2884">
        <f t="shared" si="155"/>
        <v>-1.66E-2</v>
      </c>
      <c r="R54" s="2899"/>
      <c r="S54" s="2908"/>
      <c r="T54" s="2909"/>
      <c r="U54" s="2909"/>
      <c r="V54" s="2909"/>
      <c r="X54" s="2909"/>
      <c r="Y54" s="2909"/>
      <c r="Z54" s="2909"/>
    </row>
    <row r="55" spans="1:26">
      <c r="A55" s="2895" t="s">
        <v>2584</v>
      </c>
      <c r="B55" s="2896">
        <f t="shared" ref="B55:C57" si="171">B54/(1+N54)</f>
        <v>210.36075887152265</v>
      </c>
      <c r="C55" s="2896">
        <f t="shared" si="171"/>
        <v>187.94361691492554</v>
      </c>
      <c r="D55" s="2896">
        <f t="shared" si="153"/>
        <v>187.94361691492554</v>
      </c>
      <c r="E55" s="2896">
        <f t="shared" ref="E55:F57" si="172">E54/(1+P54)</f>
        <v>281.70386977288234</v>
      </c>
      <c r="F55" s="2896">
        <f t="shared" si="172"/>
        <v>168.80211511083994</v>
      </c>
      <c r="G55" s="3572">
        <v>2008</v>
      </c>
      <c r="H55" s="2922">
        <v>3</v>
      </c>
      <c r="I55" s="2922">
        <v>1.96</v>
      </c>
      <c r="J55" s="2922">
        <v>2.36</v>
      </c>
      <c r="K55" s="2922">
        <v>1.82</v>
      </c>
      <c r="L55" s="2923">
        <v>2.2200000000000002</v>
      </c>
      <c r="N55" s="2898">
        <f t="shared" si="155"/>
        <v>1.9599999999999999E-2</v>
      </c>
      <c r="O55" s="2884">
        <f t="shared" si="155"/>
        <v>2.3599999999999999E-2</v>
      </c>
      <c r="P55" s="2884">
        <f t="shared" si="155"/>
        <v>1.8200000000000001E-2</v>
      </c>
      <c r="Q55" s="2884">
        <f t="shared" si="155"/>
        <v>2.2200000000000001E-2</v>
      </c>
      <c r="R55" s="2899"/>
      <c r="S55" s="2898"/>
      <c r="T55" s="2884"/>
      <c r="U55" s="2884"/>
      <c r="V55" s="2884"/>
    </row>
    <row r="56" spans="1:26">
      <c r="A56" s="2895" t="s">
        <v>2585</v>
      </c>
      <c r="B56" s="2896">
        <f t="shared" si="171"/>
        <v>206.31694671589116</v>
      </c>
      <c r="C56" s="2896">
        <f t="shared" si="171"/>
        <v>183.61041121036101</v>
      </c>
      <c r="D56" s="2896">
        <f t="shared" si="153"/>
        <v>183.61041121036101</v>
      </c>
      <c r="E56" s="2896">
        <f t="shared" si="172"/>
        <v>276.66850301795557</v>
      </c>
      <c r="F56" s="2896">
        <f t="shared" si="172"/>
        <v>165.1360938278614</v>
      </c>
      <c r="G56" s="3572">
        <v>2008</v>
      </c>
      <c r="H56" s="2910">
        <v>2</v>
      </c>
      <c r="I56" s="2910">
        <v>4.93</v>
      </c>
      <c r="J56" s="2910">
        <v>7.38</v>
      </c>
      <c r="K56" s="2910">
        <v>3.98</v>
      </c>
      <c r="L56" s="2911">
        <v>6.86</v>
      </c>
      <c r="N56" s="2898">
        <f t="shared" si="155"/>
        <v>4.9299999999999997E-2</v>
      </c>
      <c r="O56" s="2884">
        <f t="shared" si="155"/>
        <v>7.3800000000000004E-2</v>
      </c>
      <c r="P56" s="2884">
        <f t="shared" si="155"/>
        <v>3.9800000000000002E-2</v>
      </c>
      <c r="Q56" s="2884">
        <f t="shared" si="155"/>
        <v>6.8600000000000008E-2</v>
      </c>
      <c r="R56" s="2899"/>
      <c r="S56" s="2898"/>
      <c r="T56" s="2884"/>
      <c r="U56" s="2884"/>
      <c r="V56" s="2884"/>
    </row>
    <row r="57" spans="1:26" s="2951" customFormat="1" ht="13.5" thickBot="1">
      <c r="A57" s="2895" t="s">
        <v>2586</v>
      </c>
      <c r="B57" s="2948">
        <f t="shared" si="171"/>
        <v>196.62341248059772</v>
      </c>
      <c r="C57" s="2948">
        <f t="shared" si="171"/>
        <v>170.99125648199012</v>
      </c>
      <c r="D57" s="2948">
        <f t="shared" si="153"/>
        <v>170.99125648199012</v>
      </c>
      <c r="E57" s="2948">
        <f t="shared" si="172"/>
        <v>266.07857570490052</v>
      </c>
      <c r="F57" s="2948">
        <f t="shared" si="172"/>
        <v>154.53499328828505</v>
      </c>
      <c r="G57" s="3573">
        <v>2008</v>
      </c>
      <c r="H57" s="2949">
        <v>1</v>
      </c>
      <c r="I57" s="2949">
        <v>4.1399999999999997</v>
      </c>
      <c r="J57" s="2949">
        <v>3.45</v>
      </c>
      <c r="K57" s="2949">
        <v>4.95</v>
      </c>
      <c r="L57" s="2950">
        <v>4.82</v>
      </c>
      <c r="N57" s="2952">
        <f t="shared" si="155"/>
        <v>4.1399999999999999E-2</v>
      </c>
      <c r="O57" s="2953">
        <f t="shared" si="155"/>
        <v>3.4500000000000003E-2</v>
      </c>
      <c r="P57" s="2953">
        <f t="shared" si="155"/>
        <v>4.9500000000000002E-2</v>
      </c>
      <c r="Q57" s="2953">
        <f t="shared" si="155"/>
        <v>4.82E-2</v>
      </c>
      <c r="R57" s="2954"/>
      <c r="S57" s="2952">
        <f>B57/B58-1</f>
        <v>4.5869215322328349E-2</v>
      </c>
      <c r="T57" s="2953">
        <f>C57/C58-1</f>
        <v>3.6310645345394743E-2</v>
      </c>
      <c r="U57" s="2953">
        <f>E57/E58-1</f>
        <v>4.7553447657088688E-2</v>
      </c>
      <c r="V57" s="2953">
        <f>F57/F58-1</f>
        <v>4.4155360055980086E-2</v>
      </c>
      <c r="X57" s="2953"/>
      <c r="Y57" s="2953"/>
      <c r="Z57" s="2953"/>
    </row>
    <row r="58" spans="1:26" ht="13.5" thickBot="1">
      <c r="A58" s="2895" t="s">
        <v>2587</v>
      </c>
      <c r="B58" s="2917">
        <v>188</v>
      </c>
      <c r="C58" s="2917">
        <v>165</v>
      </c>
      <c r="D58" s="2917">
        <f t="shared" si="153"/>
        <v>165</v>
      </c>
      <c r="E58" s="2917">
        <v>254</v>
      </c>
      <c r="F58" s="2918">
        <v>148</v>
      </c>
      <c r="G58" s="3571">
        <v>2007</v>
      </c>
      <c r="H58" s="2955">
        <v>4</v>
      </c>
      <c r="I58" s="2955">
        <v>5.51</v>
      </c>
      <c r="J58" s="2955">
        <v>4.8899999999999997</v>
      </c>
      <c r="K58" s="2955">
        <v>6.43</v>
      </c>
      <c r="L58" s="2956">
        <v>5.36</v>
      </c>
      <c r="N58" s="2957">
        <f t="shared" ref="N58:O61" si="173">B58/B59-1</f>
        <v>4.1339718365245526E-2</v>
      </c>
      <c r="O58" s="2958">
        <f t="shared" si="173"/>
        <v>4.0324492593776018E-2</v>
      </c>
      <c r="P58" s="2958">
        <f t="shared" ref="P58:Q61" si="174">E58/E59-1</f>
        <v>6.1625555347990968E-2</v>
      </c>
      <c r="Q58" s="2958">
        <f t="shared" si="174"/>
        <v>4.6757569250590603E-2</v>
      </c>
      <c r="R58" s="2899"/>
      <c r="S58" s="2908"/>
      <c r="T58" s="2909"/>
      <c r="U58" s="2909"/>
      <c r="V58" s="2909"/>
      <c r="X58" s="2909"/>
      <c r="Y58" s="2909"/>
      <c r="Z58" s="2909"/>
    </row>
    <row r="59" spans="1:26">
      <c r="A59" s="2895" t="s">
        <v>2588</v>
      </c>
      <c r="B59" s="2896">
        <f t="shared" ref="B59:C61" si="175">B60+(B$58-B$62)*I59/SUM(I$58:I$61)</f>
        <v>180.5366651097618</v>
      </c>
      <c r="C59" s="2896">
        <f t="shared" si="175"/>
        <v>158.60435967302453</v>
      </c>
      <c r="D59" s="2896">
        <f t="shared" si="153"/>
        <v>158.60435967302453</v>
      </c>
      <c r="E59" s="2896">
        <f t="shared" ref="E59:F61" si="176">E60+(E$58-E$62)*K59/SUM(K$58:K$61)</f>
        <v>239.25573260785075</v>
      </c>
      <c r="F59" s="2896">
        <f t="shared" si="176"/>
        <v>141.38899430740037</v>
      </c>
      <c r="G59" s="3572">
        <v>2007</v>
      </c>
      <c r="H59" s="2922">
        <v>3</v>
      </c>
      <c r="I59" s="2922">
        <v>8.65</v>
      </c>
      <c r="J59" s="2922">
        <v>8.06</v>
      </c>
      <c r="K59" s="2922">
        <v>9.94</v>
      </c>
      <c r="L59" s="2923">
        <v>5.8</v>
      </c>
      <c r="N59" s="2957">
        <f t="shared" si="173"/>
        <v>6.940217571740015E-2</v>
      </c>
      <c r="O59" s="2958">
        <f t="shared" si="173"/>
        <v>7.1197482471153428E-2</v>
      </c>
      <c r="P59" s="2958">
        <f t="shared" si="174"/>
        <v>0.10529679922579582</v>
      </c>
      <c r="Q59" s="2958">
        <f t="shared" si="174"/>
        <v>5.3292245059512133E-2</v>
      </c>
      <c r="R59" s="2899"/>
      <c r="S59" s="2898"/>
      <c r="T59" s="2884"/>
      <c r="U59" s="2884"/>
      <c r="V59" s="2884"/>
      <c r="X59" s="2959"/>
      <c r="Y59" s="2959"/>
      <c r="Z59" s="2959"/>
    </row>
    <row r="60" spans="1:26">
      <c r="A60" s="2895" t="s">
        <v>2589</v>
      </c>
      <c r="B60" s="2896">
        <f t="shared" si="175"/>
        <v>168.82017748715555</v>
      </c>
      <c r="C60" s="2896">
        <f t="shared" si="175"/>
        <v>148.06267029972753</v>
      </c>
      <c r="D60" s="2896">
        <f t="shared" si="153"/>
        <v>148.06267029972753</v>
      </c>
      <c r="E60" s="2896">
        <f t="shared" si="176"/>
        <v>216.46288379323747</v>
      </c>
      <c r="F60" s="2896">
        <f t="shared" si="176"/>
        <v>134.23529411764704</v>
      </c>
      <c r="G60" s="3572">
        <v>2007</v>
      </c>
      <c r="H60" s="2910">
        <v>2</v>
      </c>
      <c r="I60" s="2910">
        <v>3.67</v>
      </c>
      <c r="J60" s="2910">
        <v>2.3199999999999998</v>
      </c>
      <c r="K60" s="2910">
        <v>5.0199999999999996</v>
      </c>
      <c r="L60" s="2911">
        <v>6.71</v>
      </c>
      <c r="N60" s="2957">
        <f t="shared" si="173"/>
        <v>3.0339138143848032E-2</v>
      </c>
      <c r="O60" s="2958">
        <f t="shared" si="173"/>
        <v>2.0922341588790472E-2</v>
      </c>
      <c r="P60" s="2958">
        <f t="shared" si="174"/>
        <v>5.6164796592717003E-2</v>
      </c>
      <c r="Q60" s="2958">
        <f t="shared" si="174"/>
        <v>6.5704536723887319E-2</v>
      </c>
      <c r="R60" s="2899"/>
      <c r="S60" s="2898"/>
      <c r="T60" s="2884"/>
      <c r="U60" s="2884"/>
      <c r="V60" s="2884"/>
      <c r="X60" s="2959"/>
      <c r="Y60" s="2959"/>
      <c r="Z60" s="2959"/>
    </row>
    <row r="61" spans="1:26">
      <c r="A61" s="2895" t="s">
        <v>2590</v>
      </c>
      <c r="B61" s="2896">
        <f t="shared" si="175"/>
        <v>163.84913591779542</v>
      </c>
      <c r="C61" s="2896">
        <f t="shared" si="175"/>
        <v>145.0283378746594</v>
      </c>
      <c r="D61" s="2896">
        <f t="shared" si="153"/>
        <v>145.0283378746594</v>
      </c>
      <c r="E61" s="2896">
        <f t="shared" si="176"/>
        <v>204.95180722891567</v>
      </c>
      <c r="F61" s="2896">
        <f t="shared" si="176"/>
        <v>125.95920303605313</v>
      </c>
      <c r="G61" s="3573">
        <v>2007</v>
      </c>
      <c r="H61" s="2897">
        <v>1</v>
      </c>
      <c r="I61" s="2897">
        <v>3.58</v>
      </c>
      <c r="J61" s="2897">
        <v>3.08</v>
      </c>
      <c r="K61" s="2897">
        <v>4.34</v>
      </c>
      <c r="L61" s="2903">
        <v>3.21</v>
      </c>
      <c r="N61" s="2960">
        <f t="shared" si="173"/>
        <v>3.0497710174814063E-2</v>
      </c>
      <c r="O61" s="2961">
        <f t="shared" si="173"/>
        <v>2.8569772160704998E-2</v>
      </c>
      <c r="P61" s="2961">
        <f t="shared" si="174"/>
        <v>5.1034908866234296E-2</v>
      </c>
      <c r="Q61" s="2961">
        <f t="shared" si="174"/>
        <v>3.245248390207478E-2</v>
      </c>
      <c r="R61" s="2899"/>
      <c r="S61" s="2900">
        <f>B61/B62-1</f>
        <v>3.0497710174814063E-2</v>
      </c>
      <c r="T61" s="2901">
        <f>C61/C62-1</f>
        <v>2.8569772160704998E-2</v>
      </c>
      <c r="U61" s="2901">
        <f>E61/E62-1</f>
        <v>5.1034908866234296E-2</v>
      </c>
      <c r="V61" s="2901">
        <f>F61/F62-1</f>
        <v>3.245248390207478E-2</v>
      </c>
      <c r="X61" s="2959"/>
      <c r="Y61" s="2959"/>
      <c r="Z61" s="2959"/>
    </row>
    <row r="62" spans="1:26" ht="13.5" thickBot="1">
      <c r="A62" s="2895" t="s">
        <v>2591</v>
      </c>
      <c r="B62" s="2924">
        <v>159</v>
      </c>
      <c r="C62" s="2924">
        <v>141</v>
      </c>
      <c r="D62" s="2924">
        <f t="shared" si="153"/>
        <v>141</v>
      </c>
      <c r="E62" s="2924">
        <v>195</v>
      </c>
      <c r="F62" s="2925">
        <v>122</v>
      </c>
      <c r="G62" s="3571">
        <v>2006</v>
      </c>
      <c r="H62" s="2919">
        <v>4</v>
      </c>
      <c r="I62" s="2919">
        <v>3.79</v>
      </c>
      <c r="J62" s="2919">
        <v>2.21</v>
      </c>
      <c r="K62" s="2919">
        <v>5.65</v>
      </c>
      <c r="L62" s="2920">
        <v>5.41</v>
      </c>
      <c r="N62" s="2957">
        <f t="shared" ref="N62:O65" si="177">I62/SUM(I$62:I$65)*(B$62/B$66-1)</f>
        <v>7.245466462748526E-2</v>
      </c>
      <c r="O62" s="2958">
        <f t="shared" si="177"/>
        <v>2.3237230038062766E-2</v>
      </c>
      <c r="P62" s="2958">
        <f t="shared" ref="P62:Q65" si="178">K62/SUM(K$62:K$65)*(E$62/E$66-1)</f>
        <v>0.16146893866323722</v>
      </c>
      <c r="Q62" s="2958">
        <f t="shared" si="178"/>
        <v>5.0755230321793784E-2</v>
      </c>
      <c r="R62" s="2899"/>
      <c r="S62" s="2908"/>
      <c r="T62" s="2909"/>
      <c r="U62" s="2909"/>
      <c r="V62" s="2909"/>
      <c r="X62" s="2959"/>
      <c r="Y62" s="2959"/>
      <c r="Z62" s="2959"/>
    </row>
    <row r="63" spans="1:26">
      <c r="A63" s="2895" t="s">
        <v>2592</v>
      </c>
      <c r="B63" s="2896">
        <f t="shared" ref="B63:C65" si="179">B64+(B$62-B$66)*I63/SUM(I$62:I$65)</f>
        <v>149.00125628140702</v>
      </c>
      <c r="C63" s="2896">
        <f t="shared" si="179"/>
        <v>137.95592286501378</v>
      </c>
      <c r="D63" s="2896">
        <f t="shared" si="153"/>
        <v>137.95592286501378</v>
      </c>
      <c r="E63" s="2896">
        <f t="shared" ref="E63:F65" si="180">E64+(E$62-E$66)*K63/SUM(K$62:K$65)</f>
        <v>169.97231450719823</v>
      </c>
      <c r="F63" s="2896">
        <f t="shared" si="180"/>
        <v>116.21390374331551</v>
      </c>
      <c r="G63" s="3572">
        <v>2006</v>
      </c>
      <c r="H63" s="2922">
        <v>3</v>
      </c>
      <c r="I63" s="2922">
        <v>0.92</v>
      </c>
      <c r="J63" s="2922">
        <v>1.08</v>
      </c>
      <c r="K63" s="2922">
        <v>0.73</v>
      </c>
      <c r="L63" s="2923">
        <v>1.08</v>
      </c>
      <c r="N63" s="2957">
        <f t="shared" si="177"/>
        <v>1.7587939698492462E-2</v>
      </c>
      <c r="O63" s="2958">
        <f t="shared" si="177"/>
        <v>1.1355750425840628E-2</v>
      </c>
      <c r="P63" s="2958">
        <f t="shared" si="178"/>
        <v>2.0862358446754544E-2</v>
      </c>
      <c r="Q63" s="2958">
        <f t="shared" si="178"/>
        <v>1.0132282578103011E-2</v>
      </c>
      <c r="R63" s="2899"/>
      <c r="S63" s="2898"/>
      <c r="T63" s="2884"/>
      <c r="U63" s="2884"/>
      <c r="V63" s="2884"/>
      <c r="X63" s="2959"/>
      <c r="Y63" s="2959"/>
      <c r="Z63" s="2959"/>
    </row>
    <row r="64" spans="1:26">
      <c r="A64" s="2895" t="s">
        <v>2593</v>
      </c>
      <c r="B64" s="2896">
        <f t="shared" si="179"/>
        <v>146.57412060301507</v>
      </c>
      <c r="C64" s="2896">
        <f t="shared" si="179"/>
        <v>136.46831955922866</v>
      </c>
      <c r="D64" s="2896">
        <f t="shared" si="153"/>
        <v>136.46831955922866</v>
      </c>
      <c r="E64" s="2896">
        <f t="shared" si="180"/>
        <v>166.73864894795128</v>
      </c>
      <c r="F64" s="2896">
        <f t="shared" si="180"/>
        <v>115.05882352941177</v>
      </c>
      <c r="G64" s="3572">
        <v>2006</v>
      </c>
      <c r="H64" s="2910">
        <v>2</v>
      </c>
      <c r="I64" s="2910">
        <v>0.96</v>
      </c>
      <c r="J64" s="2910">
        <v>0.25</v>
      </c>
      <c r="K64" s="2910">
        <v>1.9</v>
      </c>
      <c r="L64" s="2911">
        <v>0.95</v>
      </c>
      <c r="N64" s="2957">
        <f t="shared" si="177"/>
        <v>1.8352632728861701E-2</v>
      </c>
      <c r="O64" s="2958">
        <f t="shared" si="177"/>
        <v>2.6286459319075526E-3</v>
      </c>
      <c r="P64" s="2958">
        <f t="shared" si="178"/>
        <v>5.4299289107991269E-2</v>
      </c>
      <c r="Q64" s="2958">
        <f t="shared" si="178"/>
        <v>8.9126559714794995E-3</v>
      </c>
      <c r="R64" s="2899"/>
      <c r="S64" s="2898"/>
      <c r="T64" s="2884"/>
      <c r="U64" s="2884"/>
      <c r="V64" s="2884"/>
      <c r="X64" s="2959"/>
      <c r="Y64" s="2959"/>
      <c r="Z64" s="2959"/>
    </row>
    <row r="65" spans="1:26">
      <c r="A65" s="2895" t="s">
        <v>2594</v>
      </c>
      <c r="B65" s="2896">
        <f t="shared" si="179"/>
        <v>144.04145728643215</v>
      </c>
      <c r="C65" s="2896">
        <f t="shared" si="179"/>
        <v>136.12396694214877</v>
      </c>
      <c r="D65" s="2896">
        <f t="shared" si="153"/>
        <v>136.12396694214877</v>
      </c>
      <c r="E65" s="2896">
        <f t="shared" si="180"/>
        <v>158.32225913621264</v>
      </c>
      <c r="F65" s="2896">
        <f t="shared" si="180"/>
        <v>114.04278074866311</v>
      </c>
      <c r="G65" s="3573">
        <v>2006</v>
      </c>
      <c r="H65" s="2897">
        <v>1</v>
      </c>
      <c r="I65" s="2897">
        <v>2.29</v>
      </c>
      <c r="J65" s="2897">
        <v>3.72</v>
      </c>
      <c r="K65" s="2897">
        <v>0.75</v>
      </c>
      <c r="L65" s="2903">
        <v>0.04</v>
      </c>
      <c r="N65" s="2960">
        <f t="shared" si="177"/>
        <v>4.3778675988638847E-2</v>
      </c>
      <c r="O65" s="2961">
        <f t="shared" si="177"/>
        <v>3.9114251466784385E-2</v>
      </c>
      <c r="P65" s="2961">
        <f t="shared" si="178"/>
        <v>2.1433929911049188E-2</v>
      </c>
      <c r="Q65" s="2961">
        <f t="shared" si="178"/>
        <v>3.7526972511492629E-4</v>
      </c>
      <c r="R65" s="2899"/>
      <c r="S65" s="2900">
        <f>B65/B66-1</f>
        <v>4.3778675988638716E-2</v>
      </c>
      <c r="T65" s="2901">
        <f>C65/C66-1</f>
        <v>3.91142514667846E-2</v>
      </c>
      <c r="U65" s="2901">
        <f>E65/E66-1</f>
        <v>2.143392991104931E-2</v>
      </c>
      <c r="V65" s="2901">
        <f>F65/F66-1</f>
        <v>3.7526972511492396E-4</v>
      </c>
      <c r="X65" s="2959"/>
      <c r="Y65" s="2959"/>
      <c r="Z65" s="2959"/>
    </row>
    <row r="66" spans="1:26" ht="13.5" thickBot="1">
      <c r="A66" s="2895" t="s">
        <v>2595</v>
      </c>
      <c r="B66" s="2924">
        <v>138</v>
      </c>
      <c r="C66" s="2924">
        <v>131</v>
      </c>
      <c r="D66" s="2924">
        <f t="shared" si="153"/>
        <v>131</v>
      </c>
      <c r="E66" s="2924">
        <v>155</v>
      </c>
      <c r="F66" s="2925">
        <v>114</v>
      </c>
      <c r="G66" s="3571">
        <v>2005</v>
      </c>
      <c r="H66" s="2919">
        <v>4</v>
      </c>
      <c r="I66" s="2919">
        <v>3.29</v>
      </c>
      <c r="J66" s="2919">
        <v>1.44</v>
      </c>
      <c r="K66" s="2919">
        <v>0.66</v>
      </c>
      <c r="L66" s="2920">
        <v>7.78</v>
      </c>
      <c r="N66" s="2957">
        <f t="shared" ref="N66:O69" si="181">I66/SUM(I$66:I$69)*(B$66/B$70-1)</f>
        <v>9.9404603216919935E-2</v>
      </c>
      <c r="O66" s="2958">
        <f t="shared" si="181"/>
        <v>4.7636550760861554E-2</v>
      </c>
      <c r="P66" s="2958">
        <f t="shared" ref="P66:Q69" si="182">K66/SUM(K$66:K$69)*(E$66/E$70-1)</f>
        <v>8.3756345177664976E-2</v>
      </c>
      <c r="Q66" s="2958">
        <f t="shared" si="182"/>
        <v>5.2148766661559584E-2</v>
      </c>
      <c r="R66" s="2899"/>
      <c r="S66" s="2908"/>
      <c r="T66" s="2909"/>
      <c r="U66" s="2909"/>
      <c r="V66" s="2909"/>
      <c r="X66" s="2959"/>
      <c r="Y66" s="2959"/>
      <c r="Z66" s="2959"/>
    </row>
    <row r="67" spans="1:26">
      <c r="A67" s="2895" t="s">
        <v>2596</v>
      </c>
      <c r="B67" s="2896">
        <f t="shared" ref="B67:C69" si="183">B68+(B$66-B$70)*I67/SUM(I$66:I$69)</f>
        <v>125.9720430107527</v>
      </c>
      <c r="C67" s="2896">
        <f t="shared" si="183"/>
        <v>125.1883408071749</v>
      </c>
      <c r="D67" s="2896">
        <f t="shared" si="153"/>
        <v>125.1883408071749</v>
      </c>
      <c r="E67" s="2896">
        <f t="shared" ref="E67:F69" si="184">E68+(E$66-E$70)*K67/SUM(K$66:K$69)</f>
        <v>144.61421319796952</v>
      </c>
      <c r="F67" s="2896">
        <f t="shared" si="184"/>
        <v>108.42008196721311</v>
      </c>
      <c r="G67" s="3572">
        <v>2005</v>
      </c>
      <c r="H67" s="2922">
        <v>3</v>
      </c>
      <c r="I67" s="2922">
        <v>0.46</v>
      </c>
      <c r="J67" s="2922">
        <v>0.32</v>
      </c>
      <c r="K67" s="2922">
        <v>0.42</v>
      </c>
      <c r="L67" s="2923">
        <v>0.64</v>
      </c>
      <c r="N67" s="2957">
        <f t="shared" si="181"/>
        <v>1.3898515951301874E-2</v>
      </c>
      <c r="O67" s="2958">
        <f t="shared" si="181"/>
        <v>1.0585900169080346E-2</v>
      </c>
      <c r="P67" s="2958">
        <f t="shared" si="182"/>
        <v>5.3299492385786795E-2</v>
      </c>
      <c r="Q67" s="2958">
        <f t="shared" si="182"/>
        <v>4.2898728359123568E-3</v>
      </c>
      <c r="R67" s="2899"/>
      <c r="S67" s="2898"/>
      <c r="T67" s="2884"/>
      <c r="U67" s="2884"/>
      <c r="V67" s="2884"/>
      <c r="X67" s="2959"/>
      <c r="Y67" s="2959"/>
      <c r="Z67" s="2959"/>
    </row>
    <row r="68" spans="1:26">
      <c r="A68" s="2895" t="s">
        <v>2597</v>
      </c>
      <c r="B68" s="2896">
        <f t="shared" si="183"/>
        <v>124.29032258064517</v>
      </c>
      <c r="C68" s="2896">
        <f t="shared" si="183"/>
        <v>123.8968609865471</v>
      </c>
      <c r="D68" s="2896">
        <f t="shared" si="153"/>
        <v>123.8968609865471</v>
      </c>
      <c r="E68" s="2896">
        <f t="shared" si="184"/>
        <v>138.00507614213197</v>
      </c>
      <c r="F68" s="2896">
        <f t="shared" si="184"/>
        <v>107.96106557377048</v>
      </c>
      <c r="G68" s="3572">
        <v>2005</v>
      </c>
      <c r="H68" s="2910">
        <v>2</v>
      </c>
      <c r="I68" s="2910">
        <v>0.47</v>
      </c>
      <c r="J68" s="2910">
        <v>0.1</v>
      </c>
      <c r="K68" s="2910">
        <v>0.52</v>
      </c>
      <c r="L68" s="2911">
        <v>0.79</v>
      </c>
      <c r="N68" s="2957">
        <f t="shared" si="181"/>
        <v>1.420065760241713E-2</v>
      </c>
      <c r="O68" s="2958">
        <f t="shared" si="181"/>
        <v>3.3080938028376083E-3</v>
      </c>
      <c r="P68" s="2958">
        <f t="shared" si="182"/>
        <v>6.598984771573603E-2</v>
      </c>
      <c r="Q68" s="2958">
        <f t="shared" si="182"/>
        <v>5.2953117818293153E-3</v>
      </c>
      <c r="R68" s="2899"/>
      <c r="S68" s="2898"/>
      <c r="T68" s="2884"/>
      <c r="U68" s="2884"/>
      <c r="V68" s="2884"/>
      <c r="X68" s="2959"/>
      <c r="Y68" s="2959"/>
      <c r="Z68" s="2959"/>
    </row>
    <row r="69" spans="1:26">
      <c r="A69" s="2895" t="s">
        <v>2598</v>
      </c>
      <c r="B69" s="2896">
        <f t="shared" si="183"/>
        <v>122.57204301075269</v>
      </c>
      <c r="C69" s="2896">
        <f t="shared" si="183"/>
        <v>123.4932735426009</v>
      </c>
      <c r="D69" s="2896">
        <f t="shared" si="153"/>
        <v>123.4932735426009</v>
      </c>
      <c r="E69" s="2896">
        <f t="shared" si="184"/>
        <v>129.82233502538071</v>
      </c>
      <c r="F69" s="2896">
        <f t="shared" si="184"/>
        <v>107.39446721311475</v>
      </c>
      <c r="G69" s="3573">
        <v>2005</v>
      </c>
      <c r="H69" s="2897">
        <v>1</v>
      </c>
      <c r="I69" s="2897">
        <v>0.43</v>
      </c>
      <c r="J69" s="2897">
        <v>0.37</v>
      </c>
      <c r="K69" s="2897">
        <v>0.37</v>
      </c>
      <c r="L69" s="2903">
        <v>0.55000000000000004</v>
      </c>
      <c r="N69" s="2960">
        <f t="shared" si="181"/>
        <v>1.2992090997956099E-2</v>
      </c>
      <c r="O69" s="2961">
        <f t="shared" si="181"/>
        <v>1.2239947070499151E-2</v>
      </c>
      <c r="P69" s="2961">
        <f t="shared" si="182"/>
        <v>4.6954314720812178E-2</v>
      </c>
      <c r="Q69" s="2961">
        <f t="shared" si="182"/>
        <v>3.6866094683621815E-3</v>
      </c>
      <c r="R69" s="2899"/>
      <c r="S69" s="2900">
        <f>B69/B70-1</f>
        <v>1.2992090997956174E-2</v>
      </c>
      <c r="T69" s="2901">
        <f>C69/C70-1</f>
        <v>1.2239947070499246E-2</v>
      </c>
      <c r="U69" s="2901">
        <f>E69/E70-1</f>
        <v>4.695431472081224E-2</v>
      </c>
      <c r="V69" s="2901">
        <f>F69/F70-1</f>
        <v>3.6866094683620787E-3</v>
      </c>
      <c r="X69" s="2959"/>
      <c r="Y69" s="2959"/>
      <c r="Z69" s="2959"/>
    </row>
    <row r="70" spans="1:26" ht="13.5" thickBot="1">
      <c r="A70" s="2895" t="s">
        <v>2599</v>
      </c>
      <c r="B70" s="2945">
        <v>121</v>
      </c>
      <c r="C70" s="2945">
        <v>122</v>
      </c>
      <c r="D70" s="2945">
        <f t="shared" si="153"/>
        <v>122</v>
      </c>
      <c r="E70" s="2945">
        <v>124</v>
      </c>
      <c r="F70" s="2946">
        <v>107</v>
      </c>
      <c r="G70" s="3571">
        <v>2004</v>
      </c>
      <c r="H70" s="2919">
        <v>4</v>
      </c>
      <c r="I70" s="2919">
        <v>0.33</v>
      </c>
      <c r="J70" s="2919">
        <v>0.5</v>
      </c>
      <c r="K70" s="2919">
        <v>0.5</v>
      </c>
      <c r="L70" s="2920">
        <v>0</v>
      </c>
      <c r="N70" s="2957">
        <f t="shared" ref="N70:O73" si="185">I70/SUM(I$70:I$73)*(B$70/B$74-1)</f>
        <v>1.3391770148526898E-2</v>
      </c>
      <c r="O70" s="2958">
        <f t="shared" si="185"/>
        <v>1.063264221158958E-2</v>
      </c>
      <c r="P70" s="2958">
        <f t="shared" ref="P70:Q73" si="186">K70/SUM(K$70:K$73)*(E$70/E$74-1)</f>
        <v>2.2244466688911134E-2</v>
      </c>
      <c r="Q70" s="2958">
        <f t="shared" si="186"/>
        <v>0</v>
      </c>
      <c r="R70" s="2899"/>
      <c r="S70" s="2908"/>
      <c r="T70" s="2909"/>
      <c r="U70" s="2909"/>
      <c r="V70" s="2909"/>
      <c r="X70" s="2959"/>
      <c r="Y70" s="2959"/>
      <c r="Z70" s="2959"/>
    </row>
    <row r="71" spans="1:26">
      <c r="A71" s="2895" t="s">
        <v>2600</v>
      </c>
      <c r="B71" s="2896">
        <f t="shared" ref="B71:C73" si="187">B72+(B$70-B$74)*I71/SUM(I$70:I$73)</f>
        <v>119.51351351351352</v>
      </c>
      <c r="C71" s="2896">
        <f t="shared" si="187"/>
        <v>120.7878787878788</v>
      </c>
      <c r="D71" s="2896">
        <f t="shared" si="153"/>
        <v>120.7878787878788</v>
      </c>
      <c r="E71" s="2896">
        <f t="shared" ref="E71:F73" si="188">E72+(E$70-E$74)*K71/SUM(K$70:K$73)</f>
        <v>121.5975975975976</v>
      </c>
      <c r="F71" s="2896">
        <f t="shared" si="188"/>
        <v>107</v>
      </c>
      <c r="G71" s="3572">
        <v>2004</v>
      </c>
      <c r="H71" s="2922">
        <v>3</v>
      </c>
      <c r="I71" s="2922">
        <v>0.56000000000000005</v>
      </c>
      <c r="J71" s="2922">
        <v>0.8</v>
      </c>
      <c r="K71" s="2922">
        <v>0.83</v>
      </c>
      <c r="L71" s="2923">
        <v>0.06</v>
      </c>
      <c r="N71" s="2957">
        <f t="shared" si="185"/>
        <v>2.2725428130833527E-2</v>
      </c>
      <c r="O71" s="2958">
        <f t="shared" si="185"/>
        <v>1.7012227538543329E-2</v>
      </c>
      <c r="P71" s="2958">
        <f t="shared" si="186"/>
        <v>3.6925814703592477E-2</v>
      </c>
      <c r="Q71" s="2958">
        <f t="shared" si="186"/>
        <v>2.8846153846153744E-2</v>
      </c>
      <c r="R71" s="2899"/>
      <c r="S71" s="2898"/>
      <c r="T71" s="2884"/>
      <c r="U71" s="2884"/>
      <c r="V71" s="2884"/>
      <c r="X71" s="2959"/>
      <c r="Y71" s="2959"/>
      <c r="Z71" s="2959"/>
    </row>
    <row r="72" spans="1:26">
      <c r="A72" s="2895" t="s">
        <v>2601</v>
      </c>
      <c r="B72" s="2896">
        <f t="shared" si="187"/>
        <v>116.99099099099099</v>
      </c>
      <c r="C72" s="2896">
        <f t="shared" si="187"/>
        <v>118.84848484848486</v>
      </c>
      <c r="D72" s="2896">
        <f t="shared" si="153"/>
        <v>118.84848484848486</v>
      </c>
      <c r="E72" s="2896">
        <f t="shared" si="188"/>
        <v>117.60960960960961</v>
      </c>
      <c r="F72" s="2896">
        <f t="shared" si="188"/>
        <v>104</v>
      </c>
      <c r="G72" s="3572">
        <v>2004</v>
      </c>
      <c r="H72" s="2910">
        <v>2</v>
      </c>
      <c r="I72" s="2910">
        <v>1</v>
      </c>
      <c r="J72" s="2910">
        <v>1.5</v>
      </c>
      <c r="K72" s="2910">
        <v>1.5</v>
      </c>
      <c r="L72" s="2911">
        <v>0</v>
      </c>
      <c r="N72" s="2957">
        <f t="shared" si="185"/>
        <v>4.0581121662202721E-2</v>
      </c>
      <c r="O72" s="2958">
        <f t="shared" si="185"/>
        <v>3.1897926634768738E-2</v>
      </c>
      <c r="P72" s="2958">
        <f t="shared" si="186"/>
        <v>6.6733400066733395E-2</v>
      </c>
      <c r="Q72" s="2958">
        <f t="shared" si="186"/>
        <v>0</v>
      </c>
      <c r="R72" s="2899"/>
      <c r="S72" s="2898"/>
      <c r="T72" s="2884"/>
      <c r="U72" s="2884"/>
      <c r="V72" s="2884"/>
      <c r="X72" s="2959"/>
      <c r="Y72" s="2959"/>
      <c r="Z72" s="2959"/>
    </row>
    <row r="73" spans="1:26" s="2951" customFormat="1" ht="13.5" thickBot="1">
      <c r="A73" s="2895" t="s">
        <v>2602</v>
      </c>
      <c r="B73" s="2948">
        <f t="shared" si="187"/>
        <v>112.48648648648648</v>
      </c>
      <c r="C73" s="2948">
        <f t="shared" si="187"/>
        <v>115.21212121212122</v>
      </c>
      <c r="D73" s="2948">
        <f t="shared" si="153"/>
        <v>115.21212121212122</v>
      </c>
      <c r="E73" s="2948">
        <f t="shared" si="188"/>
        <v>110.4024024024024</v>
      </c>
      <c r="F73" s="2948">
        <f t="shared" si="188"/>
        <v>104</v>
      </c>
      <c r="G73" s="3573">
        <v>2004</v>
      </c>
      <c r="H73" s="2949">
        <v>1</v>
      </c>
      <c r="I73" s="2949">
        <v>0.33</v>
      </c>
      <c r="J73" s="2949">
        <v>0.5</v>
      </c>
      <c r="K73" s="2949">
        <v>0.5</v>
      </c>
      <c r="L73" s="2950">
        <v>0</v>
      </c>
      <c r="N73" s="2962">
        <f t="shared" si="185"/>
        <v>1.3391770148526898E-2</v>
      </c>
      <c r="O73" s="2963">
        <f t="shared" si="185"/>
        <v>1.063264221158958E-2</v>
      </c>
      <c r="P73" s="2963">
        <f t="shared" si="186"/>
        <v>2.2244466688911134E-2</v>
      </c>
      <c r="Q73" s="2963">
        <f t="shared" si="186"/>
        <v>0</v>
      </c>
      <c r="R73" s="2954"/>
      <c r="S73" s="2952">
        <f>B73/B74-1</f>
        <v>1.3391770148526883E-2</v>
      </c>
      <c r="T73" s="2953">
        <f>C73/C74-1</f>
        <v>1.063264221158966E-2</v>
      </c>
      <c r="U73" s="2953">
        <f>E73/E74-1</f>
        <v>2.2244466688911224E-2</v>
      </c>
      <c r="V73" s="2953">
        <f>F73/F74-1</f>
        <v>0</v>
      </c>
      <c r="X73" s="2964"/>
      <c r="Y73" s="2964"/>
      <c r="Z73" s="2964"/>
    </row>
    <row r="74" spans="1:26" ht="13.5" thickBot="1">
      <c r="A74" s="2895" t="s">
        <v>2603</v>
      </c>
      <c r="B74" s="2965">
        <v>111</v>
      </c>
      <c r="C74" s="2965">
        <v>114</v>
      </c>
      <c r="D74" s="2965">
        <f t="shared" si="153"/>
        <v>114</v>
      </c>
      <c r="E74" s="2965">
        <v>108</v>
      </c>
      <c r="F74" s="2966">
        <v>104</v>
      </c>
      <c r="G74" s="3571">
        <v>2003</v>
      </c>
      <c r="H74" s="2955">
        <v>4</v>
      </c>
      <c r="I74" s="2967"/>
      <c r="J74" s="2967"/>
      <c r="K74" s="2967"/>
      <c r="L74" s="2967"/>
      <c r="N74" s="2968"/>
      <c r="O74" s="2967"/>
      <c r="P74" s="2967"/>
      <c r="Q74" s="2967"/>
      <c r="S74" s="2968"/>
      <c r="T74" s="2967"/>
      <c r="U74" s="2967"/>
      <c r="V74" s="2967"/>
      <c r="X74" s="2959"/>
      <c r="Y74" s="2959"/>
      <c r="Z74" s="2959"/>
    </row>
    <row r="75" spans="1:26">
      <c r="A75" s="2895" t="s">
        <v>2604</v>
      </c>
      <c r="B75" s="2969">
        <f t="shared" ref="B75:C77" si="189">B76+(B$74-B$78)/4</f>
        <v>109.75</v>
      </c>
      <c r="C75" s="2969">
        <f t="shared" si="189"/>
        <v>112.25</v>
      </c>
      <c r="D75" s="2969">
        <f t="shared" si="153"/>
        <v>112.25</v>
      </c>
      <c r="E75" s="2969">
        <f t="shared" ref="E75:F77" si="190">E76+(E$74-E$78)/4</f>
        <v>107.25</v>
      </c>
      <c r="F75" s="2969">
        <f t="shared" si="190"/>
        <v>103.5</v>
      </c>
      <c r="G75" s="3572">
        <v>2003</v>
      </c>
      <c r="H75" s="2922">
        <v>3</v>
      </c>
      <c r="I75" s="2967"/>
      <c r="J75" s="2967"/>
      <c r="K75" s="2967"/>
      <c r="L75" s="2967"/>
      <c r="X75" s="2959"/>
      <c r="Y75" s="2959"/>
      <c r="Z75" s="2959"/>
    </row>
    <row r="76" spans="1:26">
      <c r="A76" s="2895" t="s">
        <v>2605</v>
      </c>
      <c r="B76" s="2969">
        <f t="shared" si="189"/>
        <v>108.5</v>
      </c>
      <c r="C76" s="2969">
        <f t="shared" si="189"/>
        <v>110.5</v>
      </c>
      <c r="D76" s="2969">
        <f t="shared" si="153"/>
        <v>110.5</v>
      </c>
      <c r="E76" s="2969">
        <f t="shared" si="190"/>
        <v>106.5</v>
      </c>
      <c r="F76" s="2969">
        <f t="shared" si="190"/>
        <v>103</v>
      </c>
      <c r="G76" s="3572">
        <v>2003</v>
      </c>
      <c r="H76" s="2910">
        <v>2</v>
      </c>
      <c r="I76" s="2967"/>
      <c r="J76" s="2967"/>
      <c r="K76" s="2967"/>
      <c r="L76" s="2967"/>
      <c r="X76" s="2959"/>
      <c r="Y76" s="2959"/>
      <c r="Z76" s="2959"/>
    </row>
    <row r="77" spans="1:26" ht="13.5" thickBot="1">
      <c r="A77" s="2895" t="s">
        <v>2606</v>
      </c>
      <c r="B77" s="2969">
        <f t="shared" si="189"/>
        <v>107.25</v>
      </c>
      <c r="C77" s="2969">
        <f t="shared" si="189"/>
        <v>108.75</v>
      </c>
      <c r="D77" s="2969">
        <f t="shared" si="153"/>
        <v>108.75</v>
      </c>
      <c r="E77" s="2969">
        <f t="shared" si="190"/>
        <v>105.75</v>
      </c>
      <c r="F77" s="2969">
        <f t="shared" si="190"/>
        <v>102.5</v>
      </c>
      <c r="G77" s="3573">
        <v>2003</v>
      </c>
      <c r="H77" s="2970">
        <v>1</v>
      </c>
      <c r="I77" s="2967"/>
      <c r="J77" s="2967"/>
      <c r="K77" s="2967"/>
      <c r="L77" s="2967"/>
      <c r="S77" s="2898"/>
      <c r="T77" s="2884"/>
      <c r="U77" s="2884"/>
      <c r="X77" s="2959"/>
      <c r="Y77" s="2959"/>
      <c r="Z77" s="2959"/>
    </row>
    <row r="78" spans="1:26" ht="13.5" thickBot="1">
      <c r="A78" s="2895" t="s">
        <v>2607</v>
      </c>
      <c r="B78" s="2971">
        <v>106</v>
      </c>
      <c r="C78" s="2971">
        <v>107</v>
      </c>
      <c r="D78" s="2971">
        <f t="shared" si="153"/>
        <v>107</v>
      </c>
      <c r="E78" s="2971">
        <v>105</v>
      </c>
      <c r="F78" s="2972">
        <v>102</v>
      </c>
      <c r="G78" s="3571">
        <v>2002</v>
      </c>
      <c r="H78" s="2919">
        <v>4</v>
      </c>
      <c r="I78" s="2967"/>
      <c r="J78" s="2967"/>
      <c r="K78" s="2967"/>
      <c r="L78" s="2967"/>
      <c r="N78" s="2968"/>
      <c r="O78" s="2967"/>
      <c r="P78" s="2967"/>
      <c r="Q78" s="2967"/>
      <c r="S78" s="2968"/>
      <c r="T78" s="2967"/>
      <c r="U78" s="2967"/>
      <c r="V78" s="2967"/>
      <c r="X78" s="2959"/>
      <c r="Y78" s="2959"/>
      <c r="Z78" s="2959"/>
    </row>
    <row r="79" spans="1:26">
      <c r="A79" s="2895" t="s">
        <v>2608</v>
      </c>
      <c r="B79" s="2969">
        <f t="shared" ref="B79:C81" si="191">B80+(B$78-B$82)/4</f>
        <v>105</v>
      </c>
      <c r="C79" s="2969">
        <f t="shared" si="191"/>
        <v>106</v>
      </c>
      <c r="D79" s="2969">
        <f t="shared" si="153"/>
        <v>106</v>
      </c>
      <c r="E79" s="2969">
        <f t="shared" ref="E79:F81" si="192">E80+(E$78-E$82)/4</f>
        <v>104.5</v>
      </c>
      <c r="F79" s="2969">
        <f t="shared" si="192"/>
        <v>101.5</v>
      </c>
      <c r="G79" s="3572">
        <v>2002</v>
      </c>
      <c r="H79" s="2922">
        <v>3</v>
      </c>
      <c r="I79" s="2967"/>
      <c r="J79" s="2967"/>
      <c r="K79" s="2967"/>
      <c r="L79" s="2967"/>
      <c r="X79" s="2959"/>
      <c r="Y79" s="2959"/>
      <c r="Z79" s="2959"/>
    </row>
    <row r="80" spans="1:26">
      <c r="A80" s="2895" t="s">
        <v>2609</v>
      </c>
      <c r="B80" s="2969">
        <f t="shared" si="191"/>
        <v>104</v>
      </c>
      <c r="C80" s="2969">
        <f t="shared" si="191"/>
        <v>105</v>
      </c>
      <c r="D80" s="2969">
        <f t="shared" si="153"/>
        <v>105</v>
      </c>
      <c r="E80" s="2969">
        <f t="shared" si="192"/>
        <v>104</v>
      </c>
      <c r="F80" s="2969">
        <f t="shared" si="192"/>
        <v>101</v>
      </c>
      <c r="G80" s="3572">
        <v>2002</v>
      </c>
      <c r="H80" s="2910">
        <v>2</v>
      </c>
      <c r="I80" s="2967"/>
      <c r="J80" s="2967"/>
      <c r="K80" s="2967"/>
      <c r="L80" s="2967"/>
      <c r="X80" s="2959"/>
      <c r="Y80" s="2959"/>
      <c r="Z80" s="2959"/>
    </row>
    <row r="81" spans="1:26" s="2932" customFormat="1" ht="13.5" thickBot="1">
      <c r="A81" s="2928" t="s">
        <v>2610</v>
      </c>
      <c r="B81" s="2935">
        <f t="shared" si="191"/>
        <v>103</v>
      </c>
      <c r="C81" s="2935">
        <f t="shared" si="191"/>
        <v>104</v>
      </c>
      <c r="D81" s="2935">
        <f t="shared" si="153"/>
        <v>104</v>
      </c>
      <c r="E81" s="2935">
        <f t="shared" si="192"/>
        <v>103.5</v>
      </c>
      <c r="F81" s="2935">
        <f t="shared" si="192"/>
        <v>100.5</v>
      </c>
      <c r="G81" s="3573">
        <v>2002</v>
      </c>
      <c r="H81" s="2973">
        <v>1</v>
      </c>
      <c r="I81" s="2974"/>
      <c r="J81" s="2974"/>
      <c r="K81" s="2974"/>
      <c r="L81" s="2974"/>
      <c r="N81" s="2975"/>
      <c r="S81" s="2975"/>
      <c r="X81" s="2976"/>
      <c r="Y81" s="2976"/>
      <c r="Z81" s="2976"/>
    </row>
    <row r="82" spans="1:26" ht="13.5" thickBot="1">
      <c r="B82" s="2977">
        <v>102</v>
      </c>
      <c r="C82" s="2978">
        <v>103</v>
      </c>
      <c r="D82" s="2978">
        <f t="shared" si="153"/>
        <v>103</v>
      </c>
      <c r="E82" s="2978">
        <v>103</v>
      </c>
      <c r="F82" s="2979">
        <v>100</v>
      </c>
      <c r="I82" s="2967"/>
      <c r="J82" s="2967"/>
      <c r="K82" s="2967"/>
      <c r="L82" s="2967"/>
      <c r="N82" s="2968"/>
      <c r="O82" s="2967"/>
      <c r="P82" s="2967"/>
      <c r="Q82" s="2967"/>
      <c r="S82" s="2968"/>
      <c r="T82" s="2967"/>
      <c r="U82" s="2967"/>
      <c r="V82" s="2967"/>
      <c r="X82" s="2909"/>
      <c r="Y82" s="2909"/>
      <c r="Z82" s="2909"/>
    </row>
    <row r="84" spans="1:26" s="2981" customFormat="1">
      <c r="A84" s="2980" t="s">
        <v>2611</v>
      </c>
      <c r="G84" s="2982"/>
      <c r="N84" s="2982"/>
      <c r="S84" s="2982"/>
    </row>
    <row r="85" spans="1:26" s="2981" customFormat="1">
      <c r="A85" s="2981" t="s">
        <v>2612</v>
      </c>
      <c r="G85" s="2982"/>
      <c r="N85" s="2982"/>
      <c r="S85" s="2982"/>
    </row>
    <row r="86" spans="1:26" s="2981" customFormat="1">
      <c r="A86" s="2981" t="s">
        <v>2613</v>
      </c>
      <c r="G86" s="2982"/>
      <c r="I86" s="2983"/>
      <c r="J86" s="2983"/>
      <c r="K86" s="2983"/>
      <c r="L86" s="2983"/>
      <c r="N86" s="2984"/>
      <c r="O86" s="2983"/>
      <c r="P86" s="2983"/>
      <c r="Q86" s="2983"/>
      <c r="S86" s="2984"/>
      <c r="T86" s="2983"/>
      <c r="U86" s="2983"/>
      <c r="V86" s="2983"/>
    </row>
    <row r="87" spans="1:26" s="2981" customFormat="1">
      <c r="A87" s="2981" t="s">
        <v>2614</v>
      </c>
      <c r="G87" s="2982"/>
      <c r="N87" s="2982"/>
      <c r="S87" s="2982"/>
    </row>
    <row r="94" spans="1:26" ht="13.5" thickBot="1"/>
    <row r="95" spans="1:26">
      <c r="G95" s="2883"/>
      <c r="S95" s="2985" t="s">
        <v>2615</v>
      </c>
      <c r="T95" s="2986" t="s">
        <v>2616</v>
      </c>
      <c r="U95" s="2986" t="s">
        <v>2617</v>
      </c>
      <c r="V95" s="2986" t="s">
        <v>2618</v>
      </c>
    </row>
    <row r="96" spans="1:26">
      <c r="G96" s="2883"/>
      <c r="N96" s="2908"/>
      <c r="O96" s="2909"/>
      <c r="P96" s="2909"/>
      <c r="Q96" s="2909"/>
      <c r="S96" s="2987">
        <v>2006</v>
      </c>
      <c r="T96" s="2988">
        <v>15.1</v>
      </c>
      <c r="U96" s="2988">
        <v>7.43</v>
      </c>
      <c r="V96" s="2988">
        <v>26.26</v>
      </c>
    </row>
    <row r="97" spans="7:22">
      <c r="G97" s="2883"/>
      <c r="N97" s="2908"/>
      <c r="O97" s="2909"/>
      <c r="P97" s="2909"/>
      <c r="Q97" s="2909"/>
      <c r="S97" s="2989">
        <v>2005</v>
      </c>
      <c r="T97" s="2990">
        <v>13.9</v>
      </c>
      <c r="U97" s="2990">
        <v>7.49</v>
      </c>
      <c r="V97" s="2990">
        <v>24.92</v>
      </c>
    </row>
    <row r="98" spans="7:22">
      <c r="G98" s="2883"/>
      <c r="N98" s="2908"/>
      <c r="O98" s="2909"/>
      <c r="P98" s="2909"/>
      <c r="Q98" s="2909"/>
      <c r="S98" s="2987">
        <v>2004</v>
      </c>
      <c r="T98" s="2988">
        <v>9.48</v>
      </c>
      <c r="U98" s="2988">
        <v>7.2</v>
      </c>
      <c r="V98" s="2988">
        <v>14.68</v>
      </c>
    </row>
    <row r="99" spans="7:22">
      <c r="G99" s="2883"/>
      <c r="N99" s="2908"/>
      <c r="O99" s="2909"/>
      <c r="P99" s="2909"/>
      <c r="Q99" s="2909"/>
      <c r="S99" s="2989">
        <v>2003</v>
      </c>
      <c r="T99" s="2990">
        <v>4.5</v>
      </c>
      <c r="U99" s="2990">
        <v>6.12</v>
      </c>
      <c r="V99" s="2990">
        <v>2.34</v>
      </c>
    </row>
    <row r="100" spans="7:22" ht="13.5" thickBot="1">
      <c r="G100" s="2883"/>
      <c r="N100" s="2908"/>
      <c r="O100" s="2909"/>
      <c r="P100" s="2909"/>
      <c r="Q100" s="2909"/>
      <c r="S100" s="2991">
        <v>2002</v>
      </c>
      <c r="T100" s="2992">
        <v>3.59</v>
      </c>
      <c r="U100" s="2992">
        <v>4.54</v>
      </c>
      <c r="V100" s="2992">
        <v>2.5499999999999998</v>
      </c>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2915</v>
      </c>
      <c r="B1" s="3243"/>
      <c r="C1" s="3243"/>
      <c r="D1" s="3243"/>
      <c r="E1" s="3243"/>
      <c r="F1" s="3243"/>
      <c r="G1" s="3244"/>
      <c r="H1" s="3244"/>
      <c r="I1" s="3244"/>
      <c r="J1" s="3244"/>
      <c r="K1" s="3244"/>
      <c r="L1" s="3244"/>
      <c r="M1" s="3244"/>
      <c r="N1" s="3244"/>
    </row>
    <row r="2" spans="1:14" ht="14.25">
      <c r="A2" s="3249" t="s">
        <v>2910</v>
      </c>
      <c r="B2" s="3254">
        <f ca="1">SUMIF(B7:B14,"&lt;&gt;#ref!",B7:B14)</f>
        <v>0</v>
      </c>
      <c r="C2" s="3249" t="s">
        <v>2911</v>
      </c>
      <c r="D2" s="3246"/>
      <c r="E2" s="3246"/>
      <c r="F2" s="3246"/>
      <c r="G2" s="3244"/>
      <c r="H2" s="3244"/>
      <c r="I2" s="3244"/>
      <c r="J2" s="3244"/>
      <c r="K2" s="3244"/>
      <c r="L2" s="3244"/>
      <c r="M2" s="3244"/>
      <c r="N2" s="3244"/>
    </row>
    <row r="3" spans="1:14" ht="14.25">
      <c r="A3" s="3249" t="s">
        <v>2940</v>
      </c>
      <c r="B3" s="3254" t="e">
        <f ca="1">ROUND(B2*10000/E3,0)</f>
        <v>#DIV/0!</v>
      </c>
      <c r="C3" s="3249" t="s">
        <v>2066</v>
      </c>
      <c r="D3" s="3249" t="s">
        <v>2912</v>
      </c>
      <c r="E3" s="3247">
        <f ca="1">SUMIF(E7:E14,"&lt;&gt;#ref!",E7:E14)</f>
        <v>0</v>
      </c>
      <c r="F3" s="3246"/>
      <c r="G3" s="3244"/>
      <c r="H3" s="3244"/>
      <c r="I3" s="3244"/>
      <c r="J3" s="3244"/>
      <c r="K3" s="3244"/>
      <c r="L3" s="3244"/>
      <c r="M3" s="3244"/>
      <c r="N3" s="3244"/>
    </row>
    <row r="4" spans="1:14" ht="14.25">
      <c r="A4" s="3249" t="s">
        <v>2918</v>
      </c>
      <c r="B4" s="3254" t="e">
        <f ca="1">ROUND(B2*10000/E4,0)</f>
        <v>#DIV/0!</v>
      </c>
      <c r="C4" s="3249" t="s">
        <v>2066</v>
      </c>
      <c r="D4" s="3249" t="s">
        <v>2919</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2916</v>
      </c>
      <c r="B6" s="3249" t="s">
        <v>2913</v>
      </c>
      <c r="C6" s="2787"/>
      <c r="D6" s="3246"/>
      <c r="E6" s="3249" t="s">
        <v>2914</v>
      </c>
      <c r="F6" s="3249" t="s">
        <v>2917</v>
      </c>
      <c r="G6" s="3244"/>
      <c r="H6" s="3244"/>
      <c r="I6" s="3244"/>
      <c r="J6" s="3244"/>
      <c r="K6" s="3244"/>
      <c r="L6" s="3244"/>
      <c r="M6" s="3244"/>
      <c r="N6" s="3244"/>
    </row>
    <row r="7" spans="1:14" ht="14.25">
      <c r="A7" s="3252"/>
      <c r="B7" s="3254" t="e">
        <f ca="1">SUMIF(INDIRECT("'"&amp;A7&amp;"'"&amp;"!A:A"),"总价",INDIRECT("'"&amp;A7&amp;"'"&amp;"!B:B"))</f>
        <v>#REF!</v>
      </c>
      <c r="C7" s="3249" t="s">
        <v>2911</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2911</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2911</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2911</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2911</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2911</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2911</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2911</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1" t="s">
        <v>622</v>
      </c>
      <c r="B1" s="729"/>
      <c r="C1" s="762"/>
      <c r="D1" s="1930"/>
      <c r="E1" s="2239" t="s">
        <v>2358</v>
      </c>
      <c r="F1" s="2240">
        <f ca="1">J54</f>
        <v>-2</v>
      </c>
      <c r="G1" s="763">
        <f>MATCH(C1,'数据-取费表'!A6:A16,0)+5</f>
        <v>10</v>
      </c>
      <c r="H1" s="1302"/>
      <c r="I1" s="1931"/>
      <c r="J1" s="1931"/>
      <c r="K1" s="1932"/>
      <c r="L1" s="1931"/>
      <c r="M1" s="1931"/>
      <c r="N1" s="1933"/>
      <c r="O1" s="1933"/>
      <c r="P1" s="1933"/>
      <c r="Q1" s="1933"/>
      <c r="R1" s="1933"/>
      <c r="S1" s="1933"/>
      <c r="T1" s="1933"/>
      <c r="U1" s="1933"/>
      <c r="V1" s="1933"/>
      <c r="W1" s="1933"/>
      <c r="X1" s="1933"/>
      <c r="Y1" s="1933"/>
    </row>
    <row r="2" spans="1:25" ht="18" customHeight="1">
      <c r="A2" s="1570" t="s">
        <v>623</v>
      </c>
      <c r="B2" s="764">
        <f ca="1">IF(ISERROR(C45+J31),0,C45+J31)</f>
        <v>0</v>
      </c>
      <c r="C2" s="1303"/>
      <c r="D2" s="1935"/>
      <c r="E2" s="1936"/>
      <c r="F2" s="1936"/>
      <c r="G2" s="1522"/>
      <c r="H2" s="1315"/>
      <c r="I2" s="1937"/>
      <c r="J2" s="1937"/>
      <c r="K2" s="1938"/>
      <c r="L2" s="1937"/>
      <c r="M2" s="1937"/>
    </row>
    <row r="3" spans="1:25" ht="18" customHeight="1">
      <c r="A3" s="1571" t="s">
        <v>1677</v>
      </c>
      <c r="B3" s="1337">
        <f ca="1">ROUND(B2*10000/'数据-汇总表'!E3,0)</f>
        <v>0</v>
      </c>
      <c r="C3" s="1303"/>
      <c r="D3" s="1935"/>
      <c r="E3" s="1936"/>
      <c r="F3" s="1936"/>
      <c r="G3" s="1522"/>
      <c r="H3" s="765" t="s">
        <v>689</v>
      </c>
      <c r="I3" s="1937"/>
      <c r="J3" s="1937"/>
      <c r="K3" s="1938"/>
      <c r="L3" s="1937"/>
      <c r="M3" s="1937"/>
    </row>
    <row r="4" spans="1:25" ht="18" customHeight="1">
      <c r="A4" s="1572" t="s">
        <v>690</v>
      </c>
      <c r="B4" s="1304">
        <f ca="1">ROUND(B2*10000/'数据-汇总表'!D3,0)</f>
        <v>0</v>
      </c>
      <c r="C4" s="421"/>
      <c r="D4" s="1935"/>
      <c r="E4" s="1936"/>
      <c r="F4" s="1936"/>
      <c r="G4" s="1522"/>
      <c r="H4" s="765"/>
      <c r="I4" s="1937"/>
      <c r="J4" s="1937"/>
      <c r="K4" s="1938"/>
      <c r="L4" s="1937"/>
      <c r="M4" s="1937"/>
    </row>
    <row r="5" spans="1:25" ht="18" customHeight="1" thickBot="1">
      <c r="A5" s="1573"/>
      <c r="B5" s="423">
        <f ca="1">ROUND(B2/('数据-汇总表'!D3/666.67),0)</f>
        <v>0</v>
      </c>
      <c r="C5" s="424" t="s">
        <v>691</v>
      </c>
      <c r="D5" s="1935"/>
      <c r="E5" s="1936"/>
      <c r="F5" s="1936"/>
      <c r="G5" s="1522"/>
      <c r="H5" s="765"/>
      <c r="I5" s="1937"/>
      <c r="J5" s="1937"/>
      <c r="K5" s="1938"/>
      <c r="L5" s="1937"/>
      <c r="M5" s="1937"/>
    </row>
    <row r="6" spans="1:25" ht="18" customHeight="1">
      <c r="A6" s="1741" t="s">
        <v>692</v>
      </c>
      <c r="B6" s="1733" t="s">
        <v>693</v>
      </c>
      <c r="C6" s="1733" t="s">
        <v>626</v>
      </c>
      <c r="D6" s="1733" t="s">
        <v>627</v>
      </c>
      <c r="E6" s="768" t="s">
        <v>628</v>
      </c>
      <c r="F6" s="769"/>
      <c r="G6" s="1524"/>
      <c r="H6" s="1741" t="s">
        <v>624</v>
      </c>
      <c r="I6" s="1733" t="s">
        <v>625</v>
      </c>
      <c r="J6" s="1733" t="s">
        <v>626</v>
      </c>
      <c r="K6" s="1733" t="s">
        <v>627</v>
      </c>
      <c r="L6" s="768" t="s">
        <v>628</v>
      </c>
      <c r="M6" s="769"/>
    </row>
    <row r="7" spans="1:25" ht="18" customHeight="1">
      <c r="A7" s="770">
        <v>1</v>
      </c>
      <c r="B7" s="771" t="s">
        <v>2439</v>
      </c>
      <c r="C7" s="53">
        <f ca="1">C8+C12+C14</f>
        <v>0</v>
      </c>
      <c r="D7" s="2346" t="s">
        <v>2442</v>
      </c>
      <c r="E7" s="2340"/>
      <c r="F7" s="2341"/>
      <c r="G7" s="1524"/>
      <c r="H7" s="770">
        <v>1</v>
      </c>
      <c r="I7" s="771" t="s">
        <v>2439</v>
      </c>
      <c r="J7" s="53">
        <f ca="1">J8+J12+J14</f>
        <v>0</v>
      </c>
      <c r="K7" s="2346" t="s">
        <v>2442</v>
      </c>
      <c r="L7" s="2340"/>
      <c r="M7" s="2341"/>
    </row>
    <row r="8" spans="1:25" ht="18" customHeight="1">
      <c r="A8" s="1743" t="s">
        <v>1815</v>
      </c>
      <c r="B8" s="3580" t="s">
        <v>2444</v>
      </c>
      <c r="C8" s="1738">
        <f ca="1">ROUND(F8*F10*F9*(1-F11)/10000,0)</f>
        <v>0</v>
      </c>
      <c r="D8" s="1735" t="s">
        <v>2515</v>
      </c>
      <c r="E8" s="61" t="s">
        <v>631</v>
      </c>
      <c r="F8" s="774">
        <f ca="1">INDIRECT("'数据-取费表'!u"&amp;$G$1)</f>
        <v>0</v>
      </c>
      <c r="G8" s="1524"/>
      <c r="H8" s="2354" t="s">
        <v>1815</v>
      </c>
      <c r="I8" s="3580" t="s">
        <v>2444</v>
      </c>
      <c r="J8" s="772">
        <f ca="1">ROUND(M8*M10*M9*(1-M11)/10000,0)</f>
        <v>0</v>
      </c>
      <c r="K8" s="338" t="s">
        <v>2515</v>
      </c>
      <c r="L8" s="773" t="s">
        <v>1729</v>
      </c>
      <c r="M8" s="774">
        <f ca="1">INDIRECT("'数据-取费表'!z"&amp;$G$1)</f>
        <v>0</v>
      </c>
    </row>
    <row r="9" spans="1:25" ht="18" customHeight="1">
      <c r="A9" s="2350"/>
      <c r="B9" s="3581"/>
      <c r="C9" s="1739"/>
      <c r="D9" s="1736"/>
      <c r="E9" s="61" t="s">
        <v>632</v>
      </c>
      <c r="F9" s="774">
        <f ca="1">IF(INDIRECT("'数据-取费表'!ah"&amp;$G$1)="",INDIRECT("'数据-取费表'!k"&amp;$G$1),INDIRECT("'数据-取费表'!ah"&amp;$G$1))</f>
        <v>0</v>
      </c>
      <c r="G9" s="1524"/>
      <c r="H9" s="2339"/>
      <c r="I9" s="3581"/>
      <c r="J9" s="777"/>
      <c r="K9" s="778"/>
      <c r="L9" s="773" t="s">
        <v>1730</v>
      </c>
      <c r="M9" s="774">
        <f ca="1">F9</f>
        <v>0</v>
      </c>
    </row>
    <row r="10" spans="1:25" ht="18" customHeight="1">
      <c r="A10" s="2343"/>
      <c r="B10" s="3582"/>
      <c r="C10" s="1739"/>
      <c r="D10" s="1736"/>
      <c r="E10" s="61" t="s">
        <v>633</v>
      </c>
      <c r="F10" s="774">
        <f ca="1">INDIRECT("'数据-取费表'!ai"&amp;$G$1)</f>
        <v>0</v>
      </c>
      <c r="G10" s="1524"/>
      <c r="H10" s="2339"/>
      <c r="I10" s="3582"/>
      <c r="J10" s="777"/>
      <c r="K10" s="778"/>
      <c r="L10" s="773" t="s">
        <v>1731</v>
      </c>
      <c r="M10" s="774">
        <f ca="1">INDIRECT("'数据-取费表'!ai"&amp;$G$1)</f>
        <v>0</v>
      </c>
    </row>
    <row r="11" spans="1:25" ht="18" customHeight="1">
      <c r="A11" s="775"/>
      <c r="B11" s="3583"/>
      <c r="C11" s="1739"/>
      <c r="D11" s="1736"/>
      <c r="E11" s="61" t="s">
        <v>634</v>
      </c>
      <c r="F11" s="783">
        <f ca="1">INDIRECT("'数据-取费表'!w"&amp;$G$1)</f>
        <v>0</v>
      </c>
      <c r="G11" s="1524"/>
      <c r="H11" s="2355"/>
      <c r="I11" s="3582"/>
      <c r="J11" s="777"/>
      <c r="K11" s="778"/>
      <c r="L11" s="784" t="s">
        <v>1732</v>
      </c>
      <c r="M11" s="785">
        <f ca="1">INDIRECT("'数据-取费表'!ab"&amp;$G$1)</f>
        <v>0</v>
      </c>
    </row>
    <row r="12" spans="1:25" ht="18" customHeight="1">
      <c r="A12" s="1743" t="s">
        <v>1816</v>
      </c>
      <c r="B12" s="2344" t="s">
        <v>2440</v>
      </c>
      <c r="C12" s="788">
        <f ca="1">ROUND(IF(F12="押一",C8/12*F13,IF(F12="押二",C8/12*2*F13,IF(F12="押三",C8/12*3*F13,C13*F13))),0)</f>
        <v>0</v>
      </c>
      <c r="D12" s="2351" t="s">
        <v>2937</v>
      </c>
      <c r="E12" s="2348" t="s">
        <v>2445</v>
      </c>
      <c r="F12" s="2462"/>
      <c r="G12" s="1524"/>
      <c r="H12" s="2411" t="s">
        <v>1816</v>
      </c>
      <c r="I12" s="2416" t="s">
        <v>2440</v>
      </c>
      <c r="J12" s="772">
        <f ca="1">ROUND(IF(M12="押一",J8/12*M13,IF(M12="押二",J8/12*2*M13,IF(M12="押三",J8/12*3*M13,J13*M13))),0)</f>
        <v>0</v>
      </c>
      <c r="K12" s="2351" t="s">
        <v>2937</v>
      </c>
      <c r="L12" s="2348" t="s">
        <v>2445</v>
      </c>
      <c r="M12" s="2462"/>
    </row>
    <row r="13" spans="1:25" ht="18" customHeight="1">
      <c r="A13" s="779"/>
      <c r="B13" s="2345" t="s">
        <v>2554</v>
      </c>
      <c r="C13" s="2349"/>
      <c r="D13" s="778"/>
      <c r="E13" s="2348" t="s">
        <v>2437</v>
      </c>
      <c r="F13" s="785">
        <f ca="1">'数据-取费表'!B39</f>
        <v>1.4999999999999999E-2</v>
      </c>
      <c r="G13" s="1524"/>
      <c r="H13" s="2412"/>
      <c r="I13" s="2345" t="s">
        <v>2554</v>
      </c>
      <c r="J13" s="2349"/>
      <c r="K13" s="2413"/>
      <c r="L13" s="2348" t="s">
        <v>2437</v>
      </c>
      <c r="M13" s="2342">
        <f ca="1">'数据-取费表'!B39</f>
        <v>1.4999999999999999E-2</v>
      </c>
    </row>
    <row r="14" spans="1:25" ht="18" customHeight="1" thickBot="1">
      <c r="A14" s="2387" t="s">
        <v>2448</v>
      </c>
      <c r="B14" s="2388" t="s">
        <v>2441</v>
      </c>
      <c r="C14" s="2389"/>
      <c r="D14" s="2390"/>
      <c r="E14" s="2391"/>
      <c r="F14" s="2392"/>
      <c r="G14" s="1524"/>
      <c r="H14" s="2401" t="s">
        <v>2448</v>
      </c>
      <c r="I14" s="2414" t="s">
        <v>2441</v>
      </c>
      <c r="J14" s="2415"/>
      <c r="K14" s="2390"/>
      <c r="L14" s="2391"/>
      <c r="M14" s="2404"/>
    </row>
    <row r="15" spans="1:25" ht="18" customHeight="1" thickTop="1">
      <c r="A15" s="1742" t="s">
        <v>1865</v>
      </c>
      <c r="B15" s="1740" t="s">
        <v>635</v>
      </c>
      <c r="C15" s="781">
        <f ca="1">ROUND(C31*F15,0)</f>
        <v>0</v>
      </c>
      <c r="D15" s="1747" t="s">
        <v>636</v>
      </c>
      <c r="E15" s="784" t="s">
        <v>637</v>
      </c>
      <c r="F15" s="789">
        <f ca="1">INDIRECT("'数据-取费表'!y"&amp;$G$1)</f>
        <v>0</v>
      </c>
      <c r="G15" s="1524"/>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0" t="s">
        <v>640</v>
      </c>
      <c r="E16" s="1891"/>
      <c r="F16" s="794"/>
      <c r="G16" s="1524"/>
      <c r="H16" s="792" t="s">
        <v>2057</v>
      </c>
      <c r="I16" s="2108" t="s">
        <v>2804</v>
      </c>
      <c r="J16" s="53">
        <f ca="1">C31</f>
        <v>0</v>
      </c>
      <c r="K16" s="26"/>
      <c r="L16" s="790"/>
      <c r="M16" s="791"/>
    </row>
    <row r="17" spans="1:25" s="1944" customFormat="1" ht="18" customHeight="1">
      <c r="A17" s="792" t="s">
        <v>1840</v>
      </c>
      <c r="B17" s="773" t="s">
        <v>641</v>
      </c>
      <c r="C17" s="53">
        <f ca="1">ROUND(C16*F17,0)</f>
        <v>0</v>
      </c>
      <c r="D17" s="795" t="s">
        <v>642</v>
      </c>
      <c r="E17" s="795" t="s">
        <v>643</v>
      </c>
      <c r="F17" s="796">
        <f>'数据-取费表'!B33</f>
        <v>0.03</v>
      </c>
      <c r="G17" s="1525"/>
      <c r="H17" s="792" t="s">
        <v>2058</v>
      </c>
      <c r="I17" s="773" t="s">
        <v>637</v>
      </c>
      <c r="J17" s="797">
        <f ca="1">INDIRECT("'数据-取费表'!ad"&amp;$G$1)</f>
        <v>0</v>
      </c>
      <c r="K17" s="26"/>
      <c r="L17" s="790"/>
      <c r="M17" s="791"/>
      <c r="N17" s="1943"/>
      <c r="O17" s="1943"/>
      <c r="P17" s="1943"/>
      <c r="Q17" s="1943"/>
      <c r="R17" s="1943"/>
      <c r="S17" s="1943"/>
      <c r="T17" s="1943"/>
      <c r="U17" s="1943"/>
      <c r="V17" s="1943"/>
      <c r="W17" s="1943"/>
      <c r="X17" s="1943"/>
      <c r="Y17" s="1943"/>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4"/>
      <c r="H18" s="786" t="s">
        <v>1818</v>
      </c>
      <c r="I18" s="787" t="s">
        <v>645</v>
      </c>
      <c r="J18" s="788">
        <f ca="1">ROUND(J19+J24+J25+J26,0)</f>
        <v>0</v>
      </c>
      <c r="K18" s="26" t="s">
        <v>646</v>
      </c>
      <c r="L18" s="1893"/>
      <c r="M18" s="56"/>
    </row>
    <row r="19" spans="1:25" s="1944" customFormat="1" ht="18" customHeight="1">
      <c r="A19" s="792" t="s">
        <v>1842</v>
      </c>
      <c r="B19" s="773" t="s">
        <v>647</v>
      </c>
      <c r="C19" s="53">
        <f ca="1">ROUND(F19*(INDIRECT("'数据-取费表'!k"&amp;$G$1)+INDIRECT("'数据-取费表'!S"&amp;$G$1))/10000,0)</f>
        <v>0</v>
      </c>
      <c r="D19" s="773" t="s">
        <v>648</v>
      </c>
      <c r="E19" s="773" t="s">
        <v>649</v>
      </c>
      <c r="F19" s="56">
        <f>'数据-取费表'!B35</f>
        <v>200</v>
      </c>
      <c r="G19" s="1525"/>
      <c r="H19" s="792" t="s">
        <v>2057</v>
      </c>
      <c r="I19" s="773" t="s">
        <v>650</v>
      </c>
      <c r="J19" s="3016">
        <f ca="1">ROUND(IF(AND(项目基本情况!B11="自然人",项目基本情况!B10="北京市"),J8*M19/(1+'数据-取费表'!C42),J20+J21+J22),0)</f>
        <v>0</v>
      </c>
      <c r="K19" s="1890" t="s">
        <v>651</v>
      </c>
      <c r="L19" s="1888" t="s">
        <v>652</v>
      </c>
      <c r="M19" s="3015"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2" t="s">
        <v>1843</v>
      </c>
      <c r="B20" s="773" t="s">
        <v>653</v>
      </c>
      <c r="C20" s="53">
        <f ca="1">ROUND(C16*F20,0)</f>
        <v>0</v>
      </c>
      <c r="D20" s="773" t="s">
        <v>642</v>
      </c>
      <c r="E20" s="773" t="s">
        <v>643</v>
      </c>
      <c r="F20" s="798">
        <f>'数据-取费表'!B36</f>
        <v>1.4999999999999999E-2</v>
      </c>
      <c r="G20" s="1525"/>
      <c r="H20" s="792" t="s">
        <v>1822</v>
      </c>
      <c r="I20" s="773" t="s">
        <v>654</v>
      </c>
      <c r="J20" s="53">
        <f ca="1">ROUND(J8*M20/(1+'数据-取费表'!C42),1)</f>
        <v>0</v>
      </c>
      <c r="K20" s="1888" t="s">
        <v>655</v>
      </c>
      <c r="L20" s="773" t="s">
        <v>643</v>
      </c>
      <c r="M20" s="798">
        <f>'数据-取费表'!B41</f>
        <v>5.6000000000000001E-2</v>
      </c>
      <c r="N20" s="1943"/>
      <c r="O20" s="1943"/>
      <c r="P20" s="1943"/>
      <c r="Q20" s="1943"/>
      <c r="R20" s="1943"/>
      <c r="S20" s="1943"/>
      <c r="T20" s="1943"/>
      <c r="U20" s="1943"/>
      <c r="V20" s="1943"/>
      <c r="W20" s="1943"/>
      <c r="X20" s="1943"/>
      <c r="Y20" s="1943"/>
    </row>
    <row r="21" spans="1:25" ht="18" customHeight="1">
      <c r="A21" s="792" t="s">
        <v>1867</v>
      </c>
      <c r="B21" s="773" t="s">
        <v>656</v>
      </c>
      <c r="C21" s="53">
        <f ca="1">SUM(C16:C20)</f>
        <v>0</v>
      </c>
      <c r="D21" s="258" t="s">
        <v>657</v>
      </c>
      <c r="E21" s="1893"/>
      <c r="F21" s="56"/>
      <c r="G21" s="1524"/>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4" customFormat="1" ht="18" customHeight="1">
      <c r="A22" s="792" t="s">
        <v>1868</v>
      </c>
      <c r="B22" s="773" t="s">
        <v>660</v>
      </c>
      <c r="C22" s="53">
        <f ca="1">ROUND(C21*F22,0)</f>
        <v>0</v>
      </c>
      <c r="D22" s="800" t="s">
        <v>661</v>
      </c>
      <c r="E22" s="773" t="s">
        <v>643</v>
      </c>
      <c r="F22" s="798">
        <f>'数据-取费表'!B37</f>
        <v>0.02</v>
      </c>
      <c r="G22" s="1525"/>
      <c r="H22" s="1745" t="s">
        <v>1841</v>
      </c>
      <c r="I22" s="1735" t="s">
        <v>662</v>
      </c>
      <c r="J22" s="54">
        <f ca="1">ROUND(M22*M23/10000,0)</f>
        <v>0</v>
      </c>
      <c r="K22" s="802" t="s">
        <v>663</v>
      </c>
      <c r="L22" s="773" t="s">
        <v>664</v>
      </c>
      <c r="M22" s="631">
        <f>'数据-取费表'!B52</f>
        <v>30</v>
      </c>
      <c r="N22" s="1943"/>
      <c r="O22" s="1943"/>
      <c r="P22" s="1943"/>
      <c r="Q22" s="1943"/>
      <c r="R22" s="1943"/>
      <c r="S22" s="1943"/>
      <c r="T22" s="1943"/>
      <c r="U22" s="1943"/>
      <c r="V22" s="1943"/>
      <c r="W22" s="1943"/>
      <c r="X22" s="1943"/>
      <c r="Y22" s="1943"/>
    </row>
    <row r="23" spans="1:25" s="1944" customFormat="1" ht="18" customHeight="1">
      <c r="A23" s="792" t="s">
        <v>1869</v>
      </c>
      <c r="B23" s="773" t="s">
        <v>665</v>
      </c>
      <c r="C23" s="53" t="s">
        <v>1</v>
      </c>
      <c r="D23" s="800" t="s">
        <v>666</v>
      </c>
      <c r="E23" s="773" t="s">
        <v>667</v>
      </c>
      <c r="F23" s="798">
        <f>'数据-取费表'!B38</f>
        <v>0.02</v>
      </c>
      <c r="G23" s="1525"/>
      <c r="H23" s="1746"/>
      <c r="I23" s="1737"/>
      <c r="J23" s="69"/>
      <c r="K23" s="804"/>
      <c r="L23" s="773" t="s">
        <v>668</v>
      </c>
      <c r="M23" s="774">
        <f ca="1">INDIRECT("'数据-取费表'!r"&amp;$G$1)</f>
        <v>0</v>
      </c>
      <c r="N23" s="1943"/>
      <c r="O23" s="1943"/>
      <c r="P23" s="1943"/>
      <c r="Q23" s="1943"/>
      <c r="R23" s="1943"/>
      <c r="S23" s="1943"/>
      <c r="T23" s="1943"/>
      <c r="U23" s="1943"/>
      <c r="V23" s="1943"/>
      <c r="W23" s="1943"/>
      <c r="X23" s="1943"/>
      <c r="Y23" s="1943"/>
    </row>
    <row r="24" spans="1:25" ht="18" customHeight="1">
      <c r="A24" s="792" t="s">
        <v>1870</v>
      </c>
      <c r="B24" s="773" t="s">
        <v>669</v>
      </c>
      <c r="C24" s="53"/>
      <c r="D24" s="2421" t="str">
        <f>IF(F25&lt;=1,"单利计息。","复利计息。")&amp;"建造成本、管理费用、销售费用产生的利息。"</f>
        <v>复利计息。建造成本、管理费用、销售费用产生的利息。</v>
      </c>
      <c r="E24" s="1893"/>
      <c r="F24" s="56"/>
      <c r="G24" s="1524"/>
      <c r="H24" s="1744" t="s">
        <v>2058</v>
      </c>
      <c r="I24" s="773" t="s">
        <v>670</v>
      </c>
      <c r="J24" s="53">
        <f ca="1">ROUND(J16*M24,0)</f>
        <v>0</v>
      </c>
      <c r="K24" s="1888" t="s">
        <v>671</v>
      </c>
      <c r="L24" s="773" t="s">
        <v>643</v>
      </c>
      <c r="M24" s="805">
        <f ca="1">INDIRECT("'数据-取费表'!Ak"&amp;$G$1)</f>
        <v>0</v>
      </c>
    </row>
    <row r="25" spans="1:25" s="1944" customFormat="1" ht="18" customHeight="1">
      <c r="A25" s="792" t="s">
        <v>1866</v>
      </c>
      <c r="B25" s="773" t="s">
        <v>2420</v>
      </c>
      <c r="C25" s="53">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2</v>
      </c>
      <c r="G25" s="1525"/>
      <c r="H25" s="792" t="s">
        <v>1869</v>
      </c>
      <c r="I25" s="773" t="s">
        <v>673</v>
      </c>
      <c r="J25" s="53">
        <f ca="1">ROUND(J15*M25,0)</f>
        <v>0</v>
      </c>
      <c r="K25" s="1888" t="s">
        <v>674</v>
      </c>
      <c r="L25" s="773" t="s">
        <v>643</v>
      </c>
      <c r="M25" s="806">
        <f ca="1">INDIRECT("'数据-取费表'!Al"&amp;$G$1)</f>
        <v>0</v>
      </c>
      <c r="N25" s="1943"/>
      <c r="O25" s="1943"/>
      <c r="P25" s="1943"/>
      <c r="Q25" s="1943"/>
      <c r="R25" s="1943"/>
      <c r="S25" s="1943"/>
      <c r="T25" s="1943"/>
      <c r="U25" s="1943"/>
      <c r="V25" s="1943"/>
      <c r="W25" s="1943"/>
      <c r="X25" s="1943"/>
      <c r="Y25" s="1943"/>
    </row>
    <row r="26" spans="1:25" s="1944" customFormat="1" ht="18" customHeight="1">
      <c r="A26" s="792" t="s">
        <v>1840</v>
      </c>
      <c r="B26" s="773" t="s">
        <v>675</v>
      </c>
      <c r="C26" s="53">
        <f ca="1">ROUND(IF('数据-取费表'!B22&lt;=1,F23*F26*F25/2,F23*(POWER((1+F26),F25/2)-1)),4)</f>
        <v>1E-3</v>
      </c>
      <c r="D26" s="2420" t="str">
        <f>IF(F25&lt;=1,"销售费用×利率×(建设周期÷2)","销售费用×((1+利率)^(建设周期÷2)-1)")</f>
        <v>销售费用×((1+利率)^(建设周期÷2)-1)</v>
      </c>
      <c r="E26" s="773" t="s">
        <v>676</v>
      </c>
      <c r="F26" s="807">
        <f ca="1">'数据-取费表'!B40</f>
        <v>4.7500000000000001E-2</v>
      </c>
      <c r="G26" s="1525"/>
      <c r="H26" s="792" t="s">
        <v>1870</v>
      </c>
      <c r="I26" s="773" t="s">
        <v>660</v>
      </c>
      <c r="J26" s="53">
        <f ca="1">ROUND(J7*M26,0)</f>
        <v>0</v>
      </c>
      <c r="K26" s="1888" t="s">
        <v>677</v>
      </c>
      <c r="L26" s="773" t="s">
        <v>643</v>
      </c>
      <c r="M26" s="783">
        <f ca="1">INDIRECT("'数据-取费表'!Am"&amp;$G$1)</f>
        <v>0</v>
      </c>
      <c r="N26" s="1943"/>
      <c r="O26" s="1943"/>
      <c r="P26" s="1943"/>
      <c r="Q26" s="1943"/>
      <c r="R26" s="1943"/>
      <c r="S26" s="1943"/>
      <c r="T26" s="1943"/>
      <c r="U26" s="1943"/>
      <c r="V26" s="1943"/>
      <c r="W26" s="1943"/>
      <c r="X26" s="1943"/>
      <c r="Y26" s="1943"/>
    </row>
    <row r="27" spans="1:25" ht="18" customHeight="1">
      <c r="A27" s="792" t="s">
        <v>1872</v>
      </c>
      <c r="B27" s="773" t="s">
        <v>678</v>
      </c>
      <c r="C27" s="53"/>
      <c r="D27" s="258" t="s">
        <v>679</v>
      </c>
      <c r="E27" s="1893"/>
      <c r="F27" s="56"/>
      <c r="G27" s="1524"/>
      <c r="H27" s="786" t="s">
        <v>1819</v>
      </c>
      <c r="I27" s="2721" t="s">
        <v>2801</v>
      </c>
      <c r="J27" s="788">
        <f ca="1">J7-J18</f>
        <v>0</v>
      </c>
      <c r="K27" s="1890" t="s">
        <v>694</v>
      </c>
      <c r="L27" s="1892"/>
      <c r="M27" s="808"/>
    </row>
    <row r="28" spans="1:25" ht="18" customHeight="1">
      <c r="A28" s="792" t="s">
        <v>1866</v>
      </c>
      <c r="B28" s="773" t="s">
        <v>2421</v>
      </c>
      <c r="C28" s="53">
        <f ca="1">ROUND((C21+C22)*F28,0)</f>
        <v>0</v>
      </c>
      <c r="D28" s="800" t="s">
        <v>695</v>
      </c>
      <c r="E28" s="784" t="s">
        <v>696</v>
      </c>
      <c r="F28" s="783">
        <f ca="1">INDIRECT("'数据-取费表'!q"&amp;$G$1)</f>
        <v>0</v>
      </c>
      <c r="G28" s="1524"/>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4"/>
      <c r="H29" s="775"/>
      <c r="I29" s="776"/>
      <c r="J29" s="777"/>
      <c r="K29" s="809" t="s">
        <v>701</v>
      </c>
      <c r="L29" s="773" t="s">
        <v>702</v>
      </c>
      <c r="M29" s="810">
        <f ca="1">INDIRECT("'数据-取费表'!ag"&amp;$G$1)</f>
        <v>0</v>
      </c>
    </row>
    <row r="30" spans="1:25" s="1944" customFormat="1" ht="18" customHeight="1">
      <c r="A30" s="792" t="s">
        <v>1873</v>
      </c>
      <c r="B30" s="773" t="s">
        <v>681</v>
      </c>
      <c r="C30" s="53">
        <f>ROUND(F30/(1+'数据-取费表'!C42),4)</f>
        <v>5.33E-2</v>
      </c>
      <c r="D30" s="800" t="s">
        <v>703</v>
      </c>
      <c r="E30" s="773" t="s">
        <v>643</v>
      </c>
      <c r="F30" s="798">
        <f>'数据-取费表'!B41</f>
        <v>5.6000000000000001E-2</v>
      </c>
      <c r="G30" s="1525"/>
      <c r="H30" s="779"/>
      <c r="I30" s="780"/>
      <c r="J30" s="781"/>
      <c r="K30" s="804"/>
      <c r="L30" s="773" t="s">
        <v>704</v>
      </c>
      <c r="M30" s="783">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1874</v>
      </c>
      <c r="B31" s="2391" t="s">
        <v>2802</v>
      </c>
      <c r="C31" s="2394">
        <f ca="1">ROUND((C21+C22+C25+C28)/(1-F23-C26-C29-C30),0)</f>
        <v>0</v>
      </c>
      <c r="D31" s="2395"/>
      <c r="E31" s="2396"/>
      <c r="F31" s="2397"/>
      <c r="G31" s="1525"/>
      <c r="H31" s="811" t="s">
        <v>1863</v>
      </c>
      <c r="I31" s="2722" t="s">
        <v>2803</v>
      </c>
      <c r="J31" s="813">
        <f ca="1">ROUND(J28/(1+F45)^F46,0)</f>
        <v>0</v>
      </c>
      <c r="K31" s="814" t="s">
        <v>682</v>
      </c>
      <c r="L31" s="815"/>
      <c r="M31" s="816">
        <f ca="1">INDIRECT("'数据-取费表'!k"&amp;$G$1)</f>
        <v>0</v>
      </c>
      <c r="N31" s="1943"/>
      <c r="O31" s="1943"/>
      <c r="P31" s="1943"/>
      <c r="Q31" s="1943"/>
      <c r="R31" s="1943"/>
      <c r="S31" s="1943"/>
      <c r="T31" s="1943"/>
      <c r="U31" s="1943"/>
      <c r="V31" s="1943"/>
      <c r="W31" s="1943"/>
      <c r="X31" s="1943"/>
      <c r="Y31" s="1943"/>
    </row>
    <row r="32" spans="1:25" ht="18" customHeight="1" thickTop="1">
      <c r="A32" s="1742" t="s">
        <v>7</v>
      </c>
      <c r="B32" s="1740" t="s">
        <v>683</v>
      </c>
      <c r="C32" s="781">
        <f ca="1">ROUND(C33+C38+C39+C40,0)</f>
        <v>0</v>
      </c>
      <c r="D32" s="1734" t="s">
        <v>646</v>
      </c>
      <c r="E32" s="2337"/>
      <c r="F32" s="2341"/>
      <c r="G32" s="1942"/>
      <c r="H32" s="1945"/>
      <c r="I32" s="1946"/>
      <c r="J32" s="1947"/>
      <c r="K32" s="1948"/>
      <c r="L32" s="1949"/>
      <c r="M32" s="1950"/>
    </row>
    <row r="33" spans="1:18" ht="18" customHeight="1">
      <c r="A33" s="792" t="s">
        <v>1867</v>
      </c>
      <c r="B33" s="773" t="s">
        <v>650</v>
      </c>
      <c r="C33" s="3016">
        <f ca="1">ROUND(IF(AND(项目基本情况!B11="自然人",项目基本情况!B10="北京市"),C8*F33/(1+'数据-取费表'!C42),C34+C35+C36),0)</f>
        <v>0</v>
      </c>
      <c r="D33" s="1890" t="s">
        <v>651</v>
      </c>
      <c r="E33" s="1888" t="s">
        <v>684</v>
      </c>
      <c r="F33" s="3015" t="str">
        <f>IF(项目基本情况!B11="企业","——",IF('数据-取费表'!B10="住宅",IF(F8*F9*F10/12/(1+'数据-取费表'!F30)&gt;100000,4%,2.5%),IF(F8*F9*F10/12/(1+'数据-取费表'!F30)&gt;100000,12%,7%)))</f>
        <v>——</v>
      </c>
      <c r="G33" s="1942"/>
      <c r="H33" s="3255" t="s">
        <v>2995</v>
      </c>
      <c r="I33" s="1946"/>
      <c r="J33" s="1947"/>
      <c r="K33" s="1948"/>
      <c r="L33" s="1949"/>
      <c r="M33" s="1950"/>
    </row>
    <row r="34" spans="1:18" ht="18" customHeight="1">
      <c r="A34" s="792" t="s">
        <v>1866</v>
      </c>
      <c r="B34" s="773" t="s">
        <v>654</v>
      </c>
      <c r="C34" s="53">
        <f ca="1">ROUND(C8*F34/(1+'数据-取费表'!C42),1)</f>
        <v>0</v>
      </c>
      <c r="D34" s="1888" t="s">
        <v>655</v>
      </c>
      <c r="E34" s="773" t="s">
        <v>643</v>
      </c>
      <c r="F34" s="798">
        <f>'数据-取费表'!B41</f>
        <v>5.6000000000000001E-2</v>
      </c>
      <c r="G34" s="1942"/>
      <c r="H34" s="1951"/>
      <c r="I34" s="1952"/>
      <c r="J34" s="1953"/>
      <c r="K34" s="1954"/>
      <c r="L34" s="1955"/>
      <c r="M34" s="1956"/>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2"/>
      <c r="H35" s="1957"/>
      <c r="I35" s="1957"/>
      <c r="J35" s="1957"/>
      <c r="K35" s="1958"/>
      <c r="L35" s="1957"/>
      <c r="M35" s="1957"/>
    </row>
    <row r="36" spans="1:18" ht="18" customHeight="1">
      <c r="A36" s="801" t="s">
        <v>1871</v>
      </c>
      <c r="B36" s="338" t="s">
        <v>662</v>
      </c>
      <c r="C36" s="54">
        <f ca="1">ROUND(F36*F37/10000,1)</f>
        <v>0</v>
      </c>
      <c r="D36" s="802" t="s">
        <v>663</v>
      </c>
      <c r="E36" s="773" t="s">
        <v>664</v>
      </c>
      <c r="F36" s="631">
        <f>'数据-取费表'!B52</f>
        <v>30</v>
      </c>
      <c r="G36" s="1942"/>
      <c r="H36" s="1945"/>
      <c r="I36" s="3579"/>
      <c r="J36" s="1959"/>
      <c r="K36" s="1960"/>
      <c r="L36" s="1959"/>
      <c r="M36" s="1959"/>
    </row>
    <row r="37" spans="1:18" ht="18" customHeight="1">
      <c r="A37" s="803"/>
      <c r="B37" s="782"/>
      <c r="C37" s="69"/>
      <c r="D37" s="804"/>
      <c r="E37" s="773" t="s">
        <v>668</v>
      </c>
      <c r="F37" s="774">
        <f ca="1">INDIRECT("'数据-取费表'!r"&amp;$G$1)</f>
        <v>0</v>
      </c>
      <c r="G37" s="1942"/>
      <c r="H37" s="1945"/>
      <c r="I37" s="3579"/>
      <c r="J37" s="1957"/>
      <c r="K37" s="1958"/>
      <c r="L37" s="1957"/>
      <c r="M37" s="1957"/>
    </row>
    <row r="38" spans="1:18" ht="18" customHeight="1">
      <c r="A38" s="792" t="s">
        <v>1868</v>
      </c>
      <c r="B38" s="773" t="s">
        <v>670</v>
      </c>
      <c r="C38" s="53">
        <f ca="1">ROUND(C31*F38,1)</f>
        <v>0</v>
      </c>
      <c r="D38" s="1888" t="s">
        <v>685</v>
      </c>
      <c r="E38" s="773" t="s">
        <v>643</v>
      </c>
      <c r="F38" s="805">
        <f ca="1">INDIRECT("'数据-取费表'!Ak"&amp;$G$1)</f>
        <v>0</v>
      </c>
      <c r="G38" s="1942"/>
      <c r="H38" s="1957"/>
      <c r="I38" s="3019"/>
      <c r="J38" s="1897"/>
      <c r="K38" s="1961"/>
      <c r="L38" s="1957"/>
      <c r="M38" s="1957"/>
    </row>
    <row r="39" spans="1:18" ht="18" customHeight="1">
      <c r="A39" s="792" t="s">
        <v>1869</v>
      </c>
      <c r="B39" s="773" t="s">
        <v>673</v>
      </c>
      <c r="C39" s="53">
        <f ca="1">ROUND(C15*F39,1)</f>
        <v>0</v>
      </c>
      <c r="D39" s="1888" t="s">
        <v>674</v>
      </c>
      <c r="E39" s="773" t="s">
        <v>643</v>
      </c>
      <c r="F39" s="806">
        <f ca="1">INDIRECT("'数据-取费表'!Al"&amp;$G$1)</f>
        <v>0</v>
      </c>
      <c r="G39" s="1942"/>
      <c r="H39" s="1957"/>
      <c r="I39" s="3019"/>
      <c r="J39" s="1897"/>
      <c r="K39" s="1961"/>
      <c r="L39" s="1957"/>
      <c r="M39" s="1957"/>
    </row>
    <row r="40" spans="1:18" ht="18" customHeight="1" thickBot="1">
      <c r="A40" s="2410" t="s">
        <v>1870</v>
      </c>
      <c r="B40" s="2396" t="s">
        <v>660</v>
      </c>
      <c r="C40" s="2394">
        <f ca="1">ROUND(C7*F40,1)</f>
        <v>0</v>
      </c>
      <c r="D40" s="2395" t="s">
        <v>677</v>
      </c>
      <c r="E40" s="2396" t="s">
        <v>643</v>
      </c>
      <c r="F40" s="2392">
        <f ca="1">INDIRECT("'数据-取费表'!Am"&amp;$G$1)</f>
        <v>0</v>
      </c>
      <c r="G40" s="1942"/>
      <c r="H40" s="1957"/>
      <c r="I40" s="3019"/>
      <c r="J40" s="1897"/>
      <c r="K40" s="1962"/>
      <c r="L40" s="1957"/>
      <c r="M40" s="1957"/>
    </row>
    <row r="41" spans="1:18" ht="18" customHeight="1" thickTop="1">
      <c r="A41" s="1742">
        <v>4</v>
      </c>
      <c r="B41" s="1740" t="s">
        <v>686</v>
      </c>
      <c r="C41" s="1305"/>
      <c r="D41" s="1306"/>
      <c r="E41" s="1306"/>
      <c r="F41" s="1307"/>
      <c r="G41" s="1942"/>
      <c r="H41" s="1942"/>
      <c r="I41" s="1942"/>
      <c r="J41" s="1942"/>
      <c r="K41" s="1962"/>
      <c r="L41" s="1942"/>
      <c r="M41" s="1942"/>
    </row>
    <row r="42" spans="1:18" ht="18" customHeight="1">
      <c r="A42" s="792" t="s">
        <v>1867</v>
      </c>
      <c r="B42" s="823" t="s">
        <v>687</v>
      </c>
      <c r="C42" s="817">
        <f ca="1">C7-C32</f>
        <v>0</v>
      </c>
      <c r="D42" s="1890" t="s">
        <v>688</v>
      </c>
      <c r="E42" s="1892"/>
      <c r="F42" s="808"/>
      <c r="G42" s="1942"/>
      <c r="H42" s="1942"/>
      <c r="I42" s="1942"/>
      <c r="J42" s="1942"/>
      <c r="K42" s="1962"/>
      <c r="L42" s="1942"/>
      <c r="M42" s="1942"/>
    </row>
    <row r="43" spans="1:18" ht="18" customHeight="1">
      <c r="A43" s="792" t="s">
        <v>1868</v>
      </c>
      <c r="B43" s="823" t="s">
        <v>705</v>
      </c>
      <c r="C43" s="824">
        <f ca="1">ROUND(C15*F43,0)</f>
        <v>0</v>
      </c>
      <c r="D43" s="1308" t="s">
        <v>706</v>
      </c>
      <c r="E43" s="2792" t="s">
        <v>2926</v>
      </c>
      <c r="F43" s="2793">
        <f ca="1">INDIRECT("'数据-取费表'!j"&amp;$G$1)</f>
        <v>0</v>
      </c>
      <c r="G43" s="1942"/>
      <c r="H43" s="1942"/>
      <c r="I43" s="1942"/>
      <c r="J43" s="1942"/>
      <c r="K43" s="1962"/>
      <c r="L43" s="1942"/>
      <c r="M43" s="1942"/>
    </row>
    <row r="44" spans="1:18" ht="18" customHeight="1">
      <c r="A44" s="792" t="s">
        <v>1869</v>
      </c>
      <c r="B44" s="823" t="s">
        <v>707</v>
      </c>
      <c r="C44" s="1309">
        <f ca="1">C42-C43</f>
        <v>0</v>
      </c>
      <c r="D44" s="456" t="s">
        <v>708</v>
      </c>
      <c r="E44" s="457"/>
      <c r="F44" s="458"/>
      <c r="G44" s="1942"/>
      <c r="H44" s="1942"/>
      <c r="I44" s="1942"/>
      <c r="J44" s="1942"/>
      <c r="K44" s="1962"/>
      <c r="L44" s="1942"/>
      <c r="M44" s="1942"/>
    </row>
    <row r="45" spans="1:18" ht="18" customHeight="1">
      <c r="A45" s="792" t="s">
        <v>1870</v>
      </c>
      <c r="B45" s="1308" t="s">
        <v>709</v>
      </c>
      <c r="C45" s="2748">
        <f ca="1">ROUND(-PV(F45,F46,C44,0),0)</f>
        <v>0</v>
      </c>
      <c r="D45" s="1310" t="s">
        <v>710</v>
      </c>
      <c r="E45" s="795" t="s">
        <v>711</v>
      </c>
      <c r="F45" s="818">
        <f ca="1">INDIRECT("'数据-取费表'!h"&amp;$G$1)</f>
        <v>0</v>
      </c>
      <c r="G45" s="1942"/>
      <c r="H45" s="1942"/>
      <c r="I45" s="1942"/>
      <c r="J45" s="1942"/>
      <c r="K45" s="1962"/>
      <c r="L45" s="1942"/>
      <c r="M45" s="1942"/>
    </row>
    <row r="46" spans="1:18" ht="18" customHeight="1" thickBot="1">
      <c r="A46" s="819"/>
      <c r="B46" s="1311"/>
      <c r="C46" s="1312"/>
      <c r="D46" s="1313"/>
      <c r="E46" s="2794" t="s">
        <v>2929</v>
      </c>
      <c r="F46" s="816">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2327</v>
      </c>
      <c r="J47" s="2231"/>
      <c r="K47" s="2232"/>
      <c r="L47" s="2808" t="str">
        <f ca="1">IF(M48="住宅",0,IF(L49&gt;J52,L61,J61))</f>
        <v>0</v>
      </c>
      <c r="O47" s="2246" t="s">
        <v>2394</v>
      </c>
      <c r="P47" s="1524"/>
      <c r="Q47" s="1532"/>
      <c r="R47" s="1524"/>
    </row>
    <row r="48" spans="1:18" s="1939" customFormat="1" ht="18" customHeight="1" thickBot="1">
      <c r="A48" s="1963"/>
      <c r="C48" s="1966"/>
      <c r="D48" s="1967"/>
      <c r="E48" s="1967"/>
      <c r="F48" s="1968"/>
      <c r="G48" s="1969"/>
      <c r="I48" s="2799" t="s">
        <v>2328</v>
      </c>
      <c r="J48" s="2233"/>
      <c r="K48" s="2805" t="s">
        <v>2333</v>
      </c>
      <c r="L48" s="2809">
        <f ca="1">INDIRECT("'数据-取费表'!d"&amp;$G$1)</f>
        <v>0</v>
      </c>
      <c r="M48" s="2791" t="str">
        <f>IF(ISNUMBER(FIND("住宅",C1)),"住宅","非住宅")</f>
        <v>非住宅</v>
      </c>
      <c r="O48" s="2247" t="s">
        <v>2359</v>
      </c>
      <c r="P48" s="2248" t="s">
        <v>2360</v>
      </c>
      <c r="Q48" s="2249" t="s">
        <v>2361</v>
      </c>
      <c r="R48" s="2248" t="s">
        <v>2362</v>
      </c>
    </row>
    <row r="49" spans="1:18" s="1939" customFormat="1" ht="18" customHeight="1" thickBot="1">
      <c r="A49" s="1963"/>
      <c r="D49" s="1970"/>
      <c r="E49" s="1971"/>
      <c r="F49" s="1968"/>
      <c r="G49" s="1969"/>
      <c r="H49" s="1972"/>
      <c r="I49" s="2796" t="s">
        <v>2329</v>
      </c>
      <c r="J49" s="2234"/>
      <c r="K49" s="2806" t="s">
        <v>2335</v>
      </c>
      <c r="L49" s="1819">
        <f ca="1">INDIRECT("'数据-取费表'!f"&amp;$G$1)</f>
        <v>0</v>
      </c>
      <c r="O49" s="2250" t="s">
        <v>2363</v>
      </c>
      <c r="P49" s="2251" t="s">
        <v>2389</v>
      </c>
      <c r="Q49" s="2252">
        <f ca="1">C41+J31</f>
        <v>0</v>
      </c>
      <c r="R49" s="2251" t="s">
        <v>2364</v>
      </c>
    </row>
    <row r="50" spans="1:18" s="1939" customFormat="1" ht="18" customHeight="1" thickBot="1">
      <c r="A50" s="1963"/>
      <c r="D50" s="1973"/>
      <c r="E50" s="1973"/>
      <c r="F50" s="1967"/>
      <c r="G50" s="1974"/>
      <c r="H50" s="1972"/>
      <c r="I50" s="2796" t="s">
        <v>2330</v>
      </c>
      <c r="J50" s="2235"/>
      <c r="K50" s="2807" t="s">
        <v>2336</v>
      </c>
      <c r="L50" s="2236"/>
      <c r="O50" s="2250" t="s">
        <v>2365</v>
      </c>
      <c r="P50" s="2251" t="s">
        <v>2390</v>
      </c>
      <c r="Q50" s="2252" t="str">
        <f ca="1">J61</f>
        <v>0</v>
      </c>
      <c r="R50" s="2251" t="s">
        <v>2366</v>
      </c>
    </row>
    <row r="51" spans="1:18" s="1939" customFormat="1" ht="18" customHeight="1" thickBot="1">
      <c r="A51" s="1975"/>
      <c r="D51" s="1973"/>
      <c r="E51" s="1973"/>
      <c r="F51" s="1964"/>
      <c r="H51" s="1972"/>
      <c r="I51" s="2796" t="s">
        <v>2331</v>
      </c>
      <c r="J51" s="2803">
        <f>SUMPRODUCT((I64:I66=J48)*(J63:L63=J49)*(J64:L66))</f>
        <v>0</v>
      </c>
      <c r="K51" s="2807" t="s">
        <v>2337</v>
      </c>
      <c r="L51" s="2236"/>
      <c r="O51" s="2253" t="s">
        <v>2367</v>
      </c>
      <c r="P51" s="2251" t="s">
        <v>2391</v>
      </c>
      <c r="Q51" s="2252">
        <f ca="1">C31</f>
        <v>0</v>
      </c>
      <c r="R51" s="2251" t="s">
        <v>2364</v>
      </c>
    </row>
    <row r="52" spans="1:18" s="1939" customFormat="1" ht="18" customHeight="1" thickBot="1">
      <c r="A52" s="1975"/>
      <c r="F52" s="1964"/>
      <c r="I52" s="2800" t="s">
        <v>2332</v>
      </c>
      <c r="J52" s="2804">
        <f>IF(J50="",J51,J50+J51-YEAR('数据-取费表'!B3))</f>
        <v>0</v>
      </c>
      <c r="K52" s="2796" t="s">
        <v>2338</v>
      </c>
      <c r="L52" s="2810">
        <f ca="1">C45</f>
        <v>0</v>
      </c>
      <c r="O52" s="2253" t="s">
        <v>2368</v>
      </c>
      <c r="P52" s="2251" t="s">
        <v>2369</v>
      </c>
      <c r="Q52" s="2254" t="e">
        <f ca="1">J59</f>
        <v>#VALUE!</v>
      </c>
      <c r="R52" s="2255"/>
    </row>
    <row r="53" spans="1:18" s="1939" customFormat="1" ht="18" customHeight="1" thickBot="1">
      <c r="A53" s="1975"/>
      <c r="F53" s="1964"/>
      <c r="I53" s="2801" t="s">
        <v>2405</v>
      </c>
      <c r="J53" s="2237"/>
      <c r="K53" s="2801" t="s">
        <v>2404</v>
      </c>
      <c r="L53" s="2237"/>
      <c r="O53" s="2253" t="s">
        <v>2370</v>
      </c>
      <c r="P53" s="2251" t="s">
        <v>2371</v>
      </c>
      <c r="Q53" s="2254">
        <f>J53</f>
        <v>0</v>
      </c>
      <c r="R53" s="2255"/>
    </row>
    <row r="54" spans="1:18" s="1939" customFormat="1" ht="29.25" thickBot="1">
      <c r="A54" s="1975"/>
      <c r="I54" s="2802" t="s">
        <v>2941</v>
      </c>
      <c r="J54" s="2855">
        <f ca="1">IF(M48="住宅",MAX(J52,L49-'数据-取费表'!B20),MIN(J52,L49-'数据-取费表'!B20))</f>
        <v>-2</v>
      </c>
      <c r="K54" s="3584"/>
      <c r="L54" s="3585"/>
      <c r="O54" s="2253" t="s">
        <v>2372</v>
      </c>
      <c r="P54" s="2251" t="s">
        <v>2373</v>
      </c>
      <c r="Q54" s="2252">
        <f ca="1">J54</f>
        <v>-2</v>
      </c>
      <c r="R54" s="2251" t="s">
        <v>2374</v>
      </c>
    </row>
    <row r="55" spans="1:18" s="1939" customFormat="1" ht="18" customHeight="1" thickBot="1">
      <c r="A55" s="1975"/>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0" t="s">
        <v>2375</v>
      </c>
      <c r="P55" s="2251" t="s">
        <v>2392</v>
      </c>
      <c r="Q55" s="2252">
        <f ca="1">Q49+Q50</f>
        <v>0</v>
      </c>
      <c r="R55" s="2255" t="s">
        <v>2376</v>
      </c>
    </row>
    <row r="56" spans="1:18" s="1939" customFormat="1" ht="16.5" thickBot="1">
      <c r="A56" s="1975"/>
      <c r="B56" s="1976"/>
      <c r="C56" s="1976"/>
      <c r="I56" s="2813" t="s">
        <v>2339</v>
      </c>
      <c r="J56" s="2785" t="e">
        <f ca="1">ROUND(IF(J48="钢混",J58/J51,1-(1-2%)*(J51-J58)/J51),3)</f>
        <v>#VALUE!</v>
      </c>
      <c r="K56" s="2814" t="s">
        <v>2340</v>
      </c>
      <c r="L56" s="2238"/>
      <c r="O56" s="2256" t="s">
        <v>2395</v>
      </c>
      <c r="P56" s="1524"/>
      <c r="Q56" s="1532"/>
      <c r="R56" s="1524"/>
    </row>
    <row r="57" spans="1:18" s="1939" customFormat="1" ht="43.5" thickBot="1">
      <c r="A57" s="1975"/>
      <c r="B57" s="1976"/>
      <c r="C57" s="1976"/>
      <c r="I57" s="2815" t="s">
        <v>2341</v>
      </c>
      <c r="J57" s="2825" t="s">
        <v>1669</v>
      </c>
      <c r="K57" s="2796" t="s">
        <v>2346</v>
      </c>
      <c r="L57" s="1819">
        <f ca="1">IF(L49&lt;J52,"——",L49-J52)</f>
        <v>0</v>
      </c>
      <c r="O57" s="2247" t="s">
        <v>2359</v>
      </c>
      <c r="P57" s="2248" t="s">
        <v>2360</v>
      </c>
      <c r="Q57" s="2249" t="s">
        <v>2361</v>
      </c>
      <c r="R57" s="2248" t="s">
        <v>2362</v>
      </c>
    </row>
    <row r="58" spans="1:18" s="1939" customFormat="1" ht="29.25" thickBot="1">
      <c r="A58" s="1975"/>
      <c r="B58" s="1976"/>
      <c r="C58" s="1976"/>
      <c r="I58" s="2816" t="s">
        <v>2342</v>
      </c>
      <c r="J58" s="2817" t="str">
        <f ca="1">IF(OR(M48="住宅",J52&lt;L49,J57="是"),"——",J52-L49)</f>
        <v>——</v>
      </c>
      <c r="K58" s="2796" t="s">
        <v>2347</v>
      </c>
      <c r="L58" s="1819">
        <f ca="1">IF(L49&lt;J52,"——",IF(L56="比较法",L50,IF(L56="基准地价",L51,L52)))</f>
        <v>0</v>
      </c>
      <c r="O58" s="2250" t="s">
        <v>2363</v>
      </c>
      <c r="P58" s="2251" t="s">
        <v>2389</v>
      </c>
      <c r="Q58" s="2252">
        <f ca="1">C41+J31</f>
        <v>0</v>
      </c>
      <c r="R58" s="2251" t="s">
        <v>2364</v>
      </c>
    </row>
    <row r="59" spans="1:18" s="1939" customFormat="1" ht="29.25" thickBot="1">
      <c r="A59" s="1975"/>
      <c r="B59" s="1976"/>
      <c r="C59" s="1976"/>
      <c r="I59" s="2816" t="s">
        <v>2343</v>
      </c>
      <c r="J59" s="2786" t="e">
        <f ca="1">IF(J56&lt;0.4,0.4,J56)</f>
        <v>#VALUE!</v>
      </c>
      <c r="K59" s="2796" t="s">
        <v>2348</v>
      </c>
      <c r="L59" s="1819">
        <f ca="1">IF(ISERROR(POWER(1+L53,L48-L49)*(POWER(1+L53,L49)-1)/(POWER(1+L53,L48)-1)),0,POWER(1+L53,L48-L49)*(POWER(1+L53,L49)-1)/(POWER(1+L53,L48)-1))</f>
        <v>0</v>
      </c>
      <c r="O59" s="2250" t="s">
        <v>2365</v>
      </c>
      <c r="P59" s="2251" t="s">
        <v>2396</v>
      </c>
      <c r="Q59" s="2252" t="e">
        <f ca="1">L61</f>
        <v>#DIV/0!</v>
      </c>
      <c r="R59" s="2255" t="s">
        <v>2398</v>
      </c>
    </row>
    <row r="60" spans="1:18" s="1939" customFormat="1" ht="29.25" thickBot="1">
      <c r="A60" s="1975"/>
      <c r="B60" s="1976"/>
      <c r="C60" s="1976"/>
      <c r="I60" s="2816" t="s">
        <v>2344</v>
      </c>
      <c r="J60" s="2817" t="str">
        <f ca="1">IF(OR(M48="住宅",J52&lt;L49,J57="是"),"——",ROUND(C30*J59,0))</f>
        <v>——</v>
      </c>
      <c r="K60" s="2796" t="s">
        <v>2349</v>
      </c>
      <c r="L60" s="1819">
        <f ca="1">IF(ISERROR(POWER(1+L53,L48-J52)*(POWER(1+L53,J52)-1)/(POWER(1+L53,L48)-1)),0,POWER(1+L53,L48-J52)*(POWER(1+L53,J52)-1)/(POWER(1+L53,L48)-1))</f>
        <v>0</v>
      </c>
      <c r="O60" s="2253" t="s">
        <v>2367</v>
      </c>
      <c r="P60" s="2251" t="s">
        <v>2397</v>
      </c>
      <c r="Q60" s="2252">
        <f>IF(L56="比较法",L50,IF(L56="基准地价",L51,0))</f>
        <v>0</v>
      </c>
      <c r="R60" s="2251" t="s">
        <v>2364</v>
      </c>
    </row>
    <row r="61" spans="1:18" s="1939" customFormat="1" ht="15.75" thickBot="1">
      <c r="A61" s="1975"/>
      <c r="B61" s="1976"/>
      <c r="C61" s="1976"/>
      <c r="I61" s="2818" t="s">
        <v>2345</v>
      </c>
      <c r="J61" s="2819" t="str">
        <f ca="1">IF(OR(M48="住宅",J52&lt;L49,J57="是"),"0",ROUND(J60/(1+J53)^J54,0))</f>
        <v>0</v>
      </c>
      <c r="K61" s="2820" t="s">
        <v>2350</v>
      </c>
      <c r="L61" s="2819" t="e">
        <f ca="1">IF(OR(M48="住宅",L49&lt;J52),0,ROUND(L58*(L59/L60-1),0))</f>
        <v>#DIV/0!</v>
      </c>
      <c r="O61" s="2253" t="s">
        <v>2368</v>
      </c>
      <c r="P61" s="2251" t="s">
        <v>2377</v>
      </c>
      <c r="Q61" s="2254">
        <f>L53</f>
        <v>0</v>
      </c>
      <c r="R61" s="2255"/>
    </row>
    <row r="62" spans="1:18" s="1939" customFormat="1" ht="20.25" thickBot="1">
      <c r="A62" s="1975"/>
      <c r="B62" s="1976"/>
      <c r="C62" s="1976"/>
      <c r="K62" s="1965"/>
      <c r="O62" s="2253" t="s">
        <v>2370</v>
      </c>
      <c r="P62" s="2251" t="s">
        <v>2378</v>
      </c>
      <c r="Q62" s="2252">
        <f ca="1">L59</f>
        <v>0</v>
      </c>
      <c r="R62" s="2255" t="s">
        <v>2379</v>
      </c>
    </row>
    <row r="63" spans="1:18" s="1939" customFormat="1" ht="20.25" thickBot="1">
      <c r="A63" s="1975"/>
      <c r="B63" s="1976"/>
      <c r="C63" s="1976"/>
      <c r="I63" s="2821" t="s">
        <v>2351</v>
      </c>
      <c r="J63" s="2822" t="s">
        <v>2352</v>
      </c>
      <c r="K63" s="2822" t="s">
        <v>2353</v>
      </c>
      <c r="L63" s="2822" t="s">
        <v>2334</v>
      </c>
      <c r="M63" s="2823" t="s">
        <v>2909</v>
      </c>
      <c r="O63" s="2253" t="s">
        <v>2372</v>
      </c>
      <c r="P63" s="2251" t="s">
        <v>2380</v>
      </c>
      <c r="Q63" s="2252">
        <f ca="1">L60</f>
        <v>0</v>
      </c>
      <c r="R63" s="2255" t="s">
        <v>2381</v>
      </c>
    </row>
    <row r="64" spans="1:18" s="1939" customFormat="1" ht="15.75" thickBot="1">
      <c r="A64" s="1975"/>
      <c r="B64" s="1976"/>
      <c r="C64" s="1976"/>
      <c r="I64" s="2821" t="s">
        <v>2354</v>
      </c>
      <c r="J64" s="2822">
        <v>70</v>
      </c>
      <c r="K64" s="2822">
        <v>50</v>
      </c>
      <c r="L64" s="2822">
        <v>80</v>
      </c>
      <c r="M64" s="2824">
        <v>0.02</v>
      </c>
      <c r="O64" s="2250" t="s">
        <v>2375</v>
      </c>
      <c r="P64" s="2251" t="s">
        <v>2392</v>
      </c>
      <c r="Q64" s="2252" t="e">
        <f ca="1">Q58+Q59</f>
        <v>#DIV/0!</v>
      </c>
      <c r="R64" s="2255" t="s">
        <v>2376</v>
      </c>
    </row>
    <row r="65" spans="1:18" s="1939" customFormat="1" ht="16.5" thickBot="1">
      <c r="A65" s="1975"/>
      <c r="B65" s="1976"/>
      <c r="C65" s="1976"/>
      <c r="I65" s="2821" t="s">
        <v>2355</v>
      </c>
      <c r="J65" s="2822">
        <v>50</v>
      </c>
      <c r="K65" s="2822">
        <v>35</v>
      </c>
      <c r="L65" s="2822">
        <v>60</v>
      </c>
      <c r="M65" s="834">
        <v>0</v>
      </c>
      <c r="O65" s="2256" t="s">
        <v>2399</v>
      </c>
      <c r="P65" s="1524"/>
      <c r="Q65" s="1532"/>
      <c r="R65" s="1524"/>
    </row>
    <row r="66" spans="1:18" s="1939" customFormat="1" ht="15.75" thickBot="1">
      <c r="A66" s="1975"/>
      <c r="B66" s="1976"/>
      <c r="C66" s="1976"/>
      <c r="I66" s="2821" t="s">
        <v>2356</v>
      </c>
      <c r="J66" s="2822">
        <v>40</v>
      </c>
      <c r="K66" s="2822">
        <v>30</v>
      </c>
      <c r="L66" s="2822">
        <v>50</v>
      </c>
      <c r="M66" s="2824">
        <v>0.02</v>
      </c>
      <c r="O66" s="2247" t="s">
        <v>2359</v>
      </c>
      <c r="P66" s="2248" t="s">
        <v>2360</v>
      </c>
      <c r="Q66" s="2249" t="s">
        <v>2361</v>
      </c>
      <c r="R66" s="2248" t="s">
        <v>2362</v>
      </c>
    </row>
    <row r="67" spans="1:18" s="1939" customFormat="1" ht="15.75" thickBot="1">
      <c r="A67" s="1975"/>
      <c r="B67" s="1976"/>
      <c r="C67" s="1976"/>
      <c r="K67" s="1965"/>
      <c r="O67" s="2250" t="s">
        <v>2363</v>
      </c>
      <c r="P67" s="2251" t="s">
        <v>2389</v>
      </c>
      <c r="Q67" s="2252">
        <f ca="1">C41+J31</f>
        <v>0</v>
      </c>
      <c r="R67" s="2251" t="s">
        <v>2364</v>
      </c>
    </row>
    <row r="68" spans="1:18" s="1939" customFormat="1" ht="20.25" thickBot="1">
      <c r="A68" s="1975"/>
      <c r="B68" s="1976"/>
      <c r="C68" s="1976"/>
      <c r="K68" s="1965"/>
      <c r="O68" s="2250" t="s">
        <v>2365</v>
      </c>
      <c r="P68" s="2251" t="s">
        <v>2396</v>
      </c>
      <c r="Q68" s="2252" t="e">
        <f ca="1">L61</f>
        <v>#DIV/0!</v>
      </c>
      <c r="R68" s="2255" t="s">
        <v>2398</v>
      </c>
    </row>
    <row r="69" spans="1:18" s="1939" customFormat="1" ht="21.75" thickBot="1">
      <c r="A69" s="1975"/>
      <c r="B69" s="1976"/>
      <c r="C69" s="1976"/>
      <c r="K69" s="1965"/>
      <c r="O69" s="2253" t="s">
        <v>2367</v>
      </c>
      <c r="P69" s="2251" t="s">
        <v>2397</v>
      </c>
      <c r="Q69" s="2257">
        <f ca="1">L52</f>
        <v>0</v>
      </c>
      <c r="R69" s="2258" t="s">
        <v>2400</v>
      </c>
    </row>
    <row r="70" spans="1:18" s="1939" customFormat="1" ht="20.25" thickBot="1">
      <c r="A70" s="1975"/>
      <c r="B70" s="1976"/>
      <c r="C70" s="1976"/>
      <c r="K70" s="1965"/>
      <c r="O70" s="2253" t="s">
        <v>2368</v>
      </c>
      <c r="P70" s="2259" t="s">
        <v>2382</v>
      </c>
      <c r="Q70" s="2252">
        <f ca="1">ROUND(Q71-Q72*Q73,0)</f>
        <v>0</v>
      </c>
      <c r="R70" s="2255"/>
    </row>
    <row r="71" spans="1:18" s="1939" customFormat="1" ht="15.75" thickBot="1">
      <c r="A71" s="1975"/>
      <c r="B71" s="1976"/>
      <c r="C71" s="1976"/>
      <c r="K71" s="1965"/>
      <c r="O71" s="2253" t="s">
        <v>2383</v>
      </c>
      <c r="P71" s="2259" t="s">
        <v>2384</v>
      </c>
      <c r="Q71" s="2252">
        <f ca="1">C42</f>
        <v>0</v>
      </c>
      <c r="R71" s="2251" t="s">
        <v>2364</v>
      </c>
    </row>
    <row r="72" spans="1:18" s="1939" customFormat="1" ht="15.75" thickBot="1">
      <c r="A72" s="1975"/>
      <c r="B72" s="1976"/>
      <c r="C72" s="1976"/>
      <c r="K72" s="1965"/>
      <c r="O72" s="2253" t="s">
        <v>2385</v>
      </c>
      <c r="P72" s="2259" t="s">
        <v>2386</v>
      </c>
      <c r="Q72" s="2252">
        <f ca="1">C15</f>
        <v>0</v>
      </c>
      <c r="R72" s="2251" t="s">
        <v>2364</v>
      </c>
    </row>
    <row r="73" spans="1:18" s="1939" customFormat="1" ht="15.75" thickBot="1">
      <c r="A73" s="1975"/>
      <c r="B73" s="1976"/>
      <c r="C73" s="1976"/>
      <c r="K73" s="1965"/>
      <c r="O73" s="2253" t="s">
        <v>2387</v>
      </c>
      <c r="P73" s="2259" t="s">
        <v>2388</v>
      </c>
      <c r="Q73" s="2254">
        <f ca="1">F43</f>
        <v>0</v>
      </c>
      <c r="R73" s="2255"/>
    </row>
    <row r="74" spans="1:18" s="1939" customFormat="1" ht="15.75" thickBot="1">
      <c r="A74" s="1975"/>
      <c r="B74" s="1976"/>
      <c r="C74" s="1976"/>
      <c r="K74" s="1965"/>
      <c r="O74" s="2253" t="s">
        <v>2370</v>
      </c>
      <c r="P74" s="2251" t="s">
        <v>2377</v>
      </c>
      <c r="Q74" s="2254">
        <f>L53</f>
        <v>0</v>
      </c>
      <c r="R74" s="2255"/>
    </row>
    <row r="75" spans="1:18" s="1939" customFormat="1" ht="20.25" thickBot="1">
      <c r="A75" s="1975"/>
      <c r="B75" s="1976"/>
      <c r="C75" s="1976"/>
      <c r="K75" s="1965"/>
      <c r="O75" s="2253" t="s">
        <v>2372</v>
      </c>
      <c r="P75" s="2251" t="s">
        <v>2378</v>
      </c>
      <c r="Q75" s="2252">
        <f ca="1">L59</f>
        <v>0</v>
      </c>
      <c r="R75" s="2255" t="s">
        <v>2379</v>
      </c>
    </row>
    <row r="76" spans="1:18" s="1939" customFormat="1" ht="20.25" thickBot="1">
      <c r="A76" s="1975"/>
      <c r="B76" s="1976"/>
      <c r="C76" s="1976"/>
      <c r="K76" s="1965"/>
      <c r="O76" s="2253" t="s">
        <v>2401</v>
      </c>
      <c r="P76" s="2251" t="s">
        <v>2380</v>
      </c>
      <c r="Q76" s="2252">
        <f ca="1">L60</f>
        <v>0</v>
      </c>
      <c r="R76" s="2255" t="s">
        <v>2381</v>
      </c>
    </row>
    <row r="77" spans="1:18" s="1939" customFormat="1" ht="15.75" thickBot="1">
      <c r="A77" s="1975"/>
      <c r="B77" s="1976"/>
      <c r="C77" s="1976"/>
      <c r="K77" s="1965"/>
      <c r="O77" s="2250" t="s">
        <v>2375</v>
      </c>
      <c r="P77" s="2251" t="s">
        <v>2392</v>
      </c>
      <c r="Q77" s="2252" t="e">
        <f ca="1">Q67+Q68</f>
        <v>#DIV/0!</v>
      </c>
      <c r="R77" s="2255" t="s">
        <v>2376</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受贵公司委托，我公司对石家庄市东至祁连街、西至规划路、南至规划路、北至漓江道出让国有建设用地使用权抵押价格进行了预评估。</v>
      </c>
    </row>
    <row r="5" spans="1:4" ht="18.75">
      <c r="A5" s="1707" t="s">
        <v>1896</v>
      </c>
    </row>
    <row r="6" spans="1:4" ht="93.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7" spans="1:4" ht="56.25">
      <c r="A7" s="1708" t="s">
        <v>2727</v>
      </c>
    </row>
    <row r="8" spans="1:4" ht="18.75">
      <c r="A8" s="1707" t="s">
        <v>1897</v>
      </c>
    </row>
    <row r="9" spans="1:4" ht="75">
      <c r="A9" s="1709" t="str">
        <f>IF(项目基本情况!B8="抵押",IF(项目基本情况!B5=项目基本情况!B6,定义!C51,定义!B51),定义!D51)</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2021年2月7日（评估专业人员勘察现场之日）</v>
      </c>
    </row>
    <row r="12" spans="1:4" ht="18.75">
      <c r="A12" s="1710" t="s">
        <v>2013</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根据《国有土地使用证》[]，本次评估估价对象证载（地类）用途为出让。</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本次评估设定用途即为证载用途出让。</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根据《国有土地使用证》[]，估价对象（分摊）出让国有建设用地使用权面积为49955.92平方米。根据《建设工程规划许可证》[]、《出让合同》[]，估价对象规划建筑面积为157059.36平方米。</v>
      </c>
    </row>
    <row r="21" spans="1:1" ht="18.75">
      <c r="A21" s="1704" t="s">
        <v>2062</v>
      </c>
    </row>
    <row r="22" spans="1:1" ht="56.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本次估价对象为出让国有建设用地使用权，《国有土地使用证》[]证载土地终止日期为住宅2090年11月22日车库2070年11月22日、仓储2070年11月22日。截至估价期日，出让国有建设用地使用权剩余土地使用年限为。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2063</v>
      </c>
    </row>
    <row r="25" spans="1:1" ht="93.75">
      <c r="A25" s="1704"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IF(项目基本情况!B9="市场价格","——",IF(项目基本情况!E9="——","",定义!C57))</f>
        <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80" zoomScaleNormal="60" zoomScaleSheetLayoutView="80" workbookViewId="0">
      <selection activeCell="C7" sqref="C7:K1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4" t="s">
        <v>713</v>
      </c>
      <c r="C1" s="2465" t="s">
        <v>714</v>
      </c>
      <c r="D1" s="2466" t="s">
        <v>3022</v>
      </c>
      <c r="E1" s="2006"/>
      <c r="F1" s="2521" t="s">
        <v>3082</v>
      </c>
      <c r="G1" s="1529" t="s">
        <v>715</v>
      </c>
      <c r="H1" s="499"/>
      <c r="I1" s="499"/>
      <c r="J1" s="499"/>
      <c r="K1" s="500"/>
      <c r="L1" s="3207"/>
      <c r="M1" s="3208"/>
      <c r="N1" s="3208"/>
      <c r="O1" s="3208"/>
      <c r="P1" s="1497"/>
      <c r="Q1" s="1497"/>
      <c r="R1" s="1497"/>
      <c r="S1" s="1497"/>
      <c r="T1" s="1497"/>
      <c r="U1" s="1497"/>
      <c r="V1" s="1497"/>
      <c r="W1" s="1497"/>
      <c r="X1" s="1497"/>
      <c r="Y1" s="1497"/>
      <c r="Z1" s="1497"/>
      <c r="AA1" s="1497"/>
      <c r="AB1" s="1497"/>
      <c r="AC1" s="1498"/>
    </row>
    <row r="2" spans="1:29" s="1314" customFormat="1" ht="28.5" customHeight="1">
      <c r="A2" s="416" t="s">
        <v>461</v>
      </c>
      <c r="B2" s="2463">
        <f>ROUND(B3*D3/10000,0)</f>
        <v>169704</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4" customFormat="1" ht="28.5" customHeight="1" thickBot="1">
      <c r="A3" s="502" t="s">
        <v>513</v>
      </c>
      <c r="B3" s="839">
        <f>C49</f>
        <v>16617</v>
      </c>
      <c r="C3" s="840" t="s">
        <v>716</v>
      </c>
      <c r="D3" s="839">
        <f>SUMIF('数据-汇总表'!$C19:$C33,D1,'数据-汇总表'!$E19:$E33)</f>
        <v>102126.58</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5" t="s">
        <v>515</v>
      </c>
      <c r="B4" s="506"/>
      <c r="C4" s="3508" t="s">
        <v>516</v>
      </c>
      <c r="D4" s="3509"/>
      <c r="E4" s="3535" t="s">
        <v>517</v>
      </c>
      <c r="F4" s="3536"/>
      <c r="G4" s="3508" t="s">
        <v>518</v>
      </c>
      <c r="H4" s="3509"/>
      <c r="I4" s="3508" t="s">
        <v>519</v>
      </c>
      <c r="J4" s="3509"/>
      <c r="K4" s="841" t="s">
        <v>520</v>
      </c>
      <c r="L4" s="2012"/>
      <c r="M4" s="2013"/>
      <c r="N4" s="2013"/>
      <c r="O4" s="2013"/>
      <c r="P4" s="3510" t="s">
        <v>521</v>
      </c>
      <c r="Q4" s="3511"/>
      <c r="R4" s="3496" t="s">
        <v>517</v>
      </c>
      <c r="S4" s="3497"/>
      <c r="T4" s="3496" t="s">
        <v>518</v>
      </c>
      <c r="U4" s="3497"/>
      <c r="V4" s="3516" t="s">
        <v>519</v>
      </c>
      <c r="W4" s="3516"/>
      <c r="X4" s="1499"/>
      <c r="Y4" s="3496" t="s">
        <v>521</v>
      </c>
      <c r="Z4" s="3497"/>
      <c r="AA4" s="3491" t="s">
        <v>517</v>
      </c>
      <c r="AB4" s="3491" t="s">
        <v>518</v>
      </c>
      <c r="AC4" s="3491" t="s">
        <v>519</v>
      </c>
    </row>
    <row r="5" spans="1:29" ht="15">
      <c r="A5" s="508"/>
      <c r="B5" s="509"/>
      <c r="C5" s="3521" t="s">
        <v>2896</v>
      </c>
      <c r="D5" s="3520"/>
      <c r="E5" s="3586" t="s">
        <v>3088</v>
      </c>
      <c r="F5" s="3538"/>
      <c r="G5" s="3519" t="s">
        <v>3093</v>
      </c>
      <c r="H5" s="3520"/>
      <c r="I5" s="3519" t="s">
        <v>3126</v>
      </c>
      <c r="J5" s="3520"/>
      <c r="K5" s="842"/>
      <c r="L5" s="2012"/>
      <c r="M5" s="2013"/>
      <c r="N5" s="2013"/>
      <c r="O5" s="2013"/>
      <c r="P5" s="3512"/>
      <c r="Q5" s="3513"/>
      <c r="R5" s="3498"/>
      <c r="S5" s="3499"/>
      <c r="T5" s="3498"/>
      <c r="U5" s="3499"/>
      <c r="V5" s="3516"/>
      <c r="W5" s="3516"/>
      <c r="X5" s="1499"/>
      <c r="Y5" s="3498"/>
      <c r="Z5" s="3499"/>
      <c r="AA5" s="3492"/>
      <c r="AB5" s="3492"/>
      <c r="AC5" s="3492"/>
    </row>
    <row r="6" spans="1:29" ht="15.75" thickBot="1">
      <c r="A6" s="510"/>
      <c r="B6" s="511"/>
      <c r="C6" s="3539" t="s">
        <v>2900</v>
      </c>
      <c r="D6" s="3518"/>
      <c r="E6" s="3587" t="s">
        <v>3089</v>
      </c>
      <c r="F6" s="3541"/>
      <c r="G6" s="3517" t="s">
        <v>3094</v>
      </c>
      <c r="H6" s="3518"/>
      <c r="I6" s="3517" t="s">
        <v>3127</v>
      </c>
      <c r="J6" s="3518"/>
      <c r="K6" s="842" t="s">
        <v>522</v>
      </c>
      <c r="L6" s="2012"/>
      <c r="M6" s="2013"/>
      <c r="N6" s="2013"/>
      <c r="O6" s="2013"/>
      <c r="P6" s="35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3308">
        <v>44228</v>
      </c>
      <c r="F7" s="515">
        <f>SUMIF(58:58,YEAR(E7)&amp;"-"&amp;MONTH(E7),59:59)</f>
        <v>100</v>
      </c>
      <c r="G7" s="3308">
        <v>44228</v>
      </c>
      <c r="H7" s="513">
        <f>SUMIF(58:58,YEAR(G7)&amp;"-"&amp;MONTH(G7),59:59)</f>
        <v>100</v>
      </c>
      <c r="I7" s="3308">
        <v>44228</v>
      </c>
      <c r="J7" s="513">
        <f>SUMIF(58:58,YEAR(I7)&amp;"-"&amp;MONTH(I7),59:59)</f>
        <v>100</v>
      </c>
      <c r="K7" s="843"/>
      <c r="L7" s="2014"/>
      <c r="M7" s="2015"/>
      <c r="N7" s="2015"/>
      <c r="O7" s="2015"/>
      <c r="P7" s="3494" t="s">
        <v>524</v>
      </c>
      <c r="Q7" s="3503"/>
      <c r="R7" s="1500" t="s">
        <v>13</v>
      </c>
      <c r="S7" s="1501">
        <f t="shared" ref="S7:S15" si="0">F7</f>
        <v>100</v>
      </c>
      <c r="T7" s="1500" t="s">
        <v>13</v>
      </c>
      <c r="U7" s="1501">
        <f t="shared" ref="U7:U15" si="1">H7</f>
        <v>100</v>
      </c>
      <c r="V7" s="1500" t="s">
        <v>13</v>
      </c>
      <c r="W7" s="1501">
        <f t="shared" ref="W7:W15" si="2">J7</f>
        <v>100</v>
      </c>
      <c r="X7" s="1502"/>
      <c r="Y7" s="3494" t="s">
        <v>524</v>
      </c>
      <c r="Z7" s="3495"/>
      <c r="AA7" s="1503">
        <f>D7/F7</f>
        <v>1</v>
      </c>
      <c r="AB7" s="1503">
        <f>D7/H7</f>
        <v>1</v>
      </c>
      <c r="AC7" s="1503">
        <f>D7/J7</f>
        <v>1</v>
      </c>
    </row>
    <row r="8" spans="1:29" s="1202" customFormat="1" ht="15.75" thickBot="1">
      <c r="A8" s="2627"/>
      <c r="B8" s="2634" t="s">
        <v>525</v>
      </c>
      <c r="C8" s="518" t="s">
        <v>570</v>
      </c>
      <c r="D8" s="513">
        <v>100</v>
      </c>
      <c r="E8" s="844" t="s">
        <v>3026</v>
      </c>
      <c r="F8" s="515">
        <f>SUMIF(61:61,E8,62:62)-SUMIF(61:61,C8,62:62)+100</f>
        <v>100</v>
      </c>
      <c r="G8" s="518" t="s">
        <v>3026</v>
      </c>
      <c r="H8" s="513">
        <f>SUMIF(61:61,G8,62:62)-SUMIF(61:61,C8,62:62)+100</f>
        <v>100</v>
      </c>
      <c r="I8" s="844" t="s">
        <v>3026</v>
      </c>
      <c r="J8" s="513">
        <f>SUMIF(61:61,I8,62:62)-SUMIF(61:61,C8,62:62)+100</f>
        <v>100</v>
      </c>
      <c r="K8" s="843"/>
      <c r="L8" s="2014"/>
      <c r="M8" s="2015"/>
      <c r="N8" s="2015"/>
      <c r="O8" s="2015"/>
      <c r="P8" s="3494" t="s">
        <v>527</v>
      </c>
      <c r="Q8" s="3495"/>
      <c r="R8" s="1500" t="s">
        <v>13</v>
      </c>
      <c r="S8" s="1501">
        <f t="shared" si="0"/>
        <v>100</v>
      </c>
      <c r="T8" s="1500" t="s">
        <v>13</v>
      </c>
      <c r="U8" s="1501">
        <f t="shared" si="1"/>
        <v>100</v>
      </c>
      <c r="V8" s="1500" t="s">
        <v>13</v>
      </c>
      <c r="W8" s="1501">
        <f t="shared" si="2"/>
        <v>100</v>
      </c>
      <c r="X8" s="1502"/>
      <c r="Y8" s="3494" t="s">
        <v>527</v>
      </c>
      <c r="Z8" s="3495"/>
      <c r="AA8" s="1503">
        <f t="shared" ref="AA8:AA46" si="3">D8/F8</f>
        <v>1</v>
      </c>
      <c r="AB8" s="1503">
        <f t="shared" ref="AB8:AB46" si="4">D8/H8</f>
        <v>1</v>
      </c>
      <c r="AC8" s="1503">
        <f t="shared" ref="AC8:AC46" si="5">D8/J8</f>
        <v>1</v>
      </c>
    </row>
    <row r="9" spans="1:29" s="1202" customFormat="1" ht="15">
      <c r="A9" s="2628"/>
      <c r="B9" s="2635" t="s">
        <v>2736</v>
      </c>
      <c r="C9" s="3292" t="s">
        <v>3091</v>
      </c>
      <c r="D9" s="251">
        <v>100</v>
      </c>
      <c r="E9" s="846" t="s">
        <v>914</v>
      </c>
      <c r="F9" s="847">
        <f>SUMIF(63:63,E9,64:64)-SUMIF(63:63,C9,64:64)+100</f>
        <v>100</v>
      </c>
      <c r="G9" s="848" t="s">
        <v>914</v>
      </c>
      <c r="H9" s="251">
        <f>SUMIF(63:63,G9,64:64)-SUMIF(63:63,C9,64:64)+100</f>
        <v>100</v>
      </c>
      <c r="I9" s="848" t="s">
        <v>914</v>
      </c>
      <c r="J9" s="251">
        <f>SUMIF(63:63,I9,64:64)-SUMIF(63:63,C9,64:64)+100</f>
        <v>100</v>
      </c>
      <c r="K9" s="843"/>
      <c r="L9" s="2014"/>
      <c r="M9" s="2015"/>
      <c r="N9" s="2015"/>
      <c r="O9" s="2016"/>
      <c r="P9" s="3502" t="s">
        <v>529</v>
      </c>
      <c r="Q9" s="1133" t="str">
        <f t="shared" ref="Q9:Q15" si="6">B9</f>
        <v>用途</v>
      </c>
      <c r="R9" s="1500" t="s">
        <v>8</v>
      </c>
      <c r="S9" s="1501">
        <f t="shared" si="0"/>
        <v>100</v>
      </c>
      <c r="T9" s="1500" t="s">
        <v>8</v>
      </c>
      <c r="U9" s="1501">
        <f t="shared" si="1"/>
        <v>100</v>
      </c>
      <c r="V9" s="1500" t="s">
        <v>8</v>
      </c>
      <c r="W9" s="1501">
        <f t="shared" si="2"/>
        <v>100</v>
      </c>
      <c r="X9" s="1502"/>
      <c r="Y9" s="3453" t="s">
        <v>530</v>
      </c>
      <c r="Z9" s="1132" t="str">
        <f t="shared" ref="Z9:Z15" si="7">Q9</f>
        <v>用途</v>
      </c>
      <c r="AA9" s="1503">
        <f t="shared" si="3"/>
        <v>1</v>
      </c>
      <c r="AB9" s="1503">
        <f t="shared" si="4"/>
        <v>1</v>
      </c>
      <c r="AC9" s="1503">
        <f t="shared" si="5"/>
        <v>1</v>
      </c>
    </row>
    <row r="10" spans="1:29" s="1291" customFormat="1" ht="27">
      <c r="A10" s="2629"/>
      <c r="B10" s="2634" t="s">
        <v>2737</v>
      </c>
      <c r="C10" s="849" t="s">
        <v>3092</v>
      </c>
      <c r="D10" s="252">
        <v>100</v>
      </c>
      <c r="E10" s="850" t="s">
        <v>3092</v>
      </c>
      <c r="F10" s="851">
        <f>SUMIF(65:65,E10,66:66)-SUMIF(65:65,C10,66:66)+100</f>
        <v>100</v>
      </c>
      <c r="G10" s="849" t="s">
        <v>3092</v>
      </c>
      <c r="H10" s="252">
        <f>SUMIF(65:65,G10,66:66)-SUMIF(65:65,C10,66:66)+100</f>
        <v>100</v>
      </c>
      <c r="I10" s="849" t="s">
        <v>3092</v>
      </c>
      <c r="J10" s="252">
        <f>SUMIF(65:65,I10,66:66)-SUMIF(65:65,C10,66:66)+100</f>
        <v>100</v>
      </c>
      <c r="K10" s="852">
        <v>3</v>
      </c>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0"/>
      <c r="B11" s="2634" t="s">
        <v>2738</v>
      </c>
      <c r="C11" s="526">
        <v>2.31</v>
      </c>
      <c r="D11" s="252">
        <v>100</v>
      </c>
      <c r="E11" s="527">
        <v>2.57</v>
      </c>
      <c r="F11" s="851">
        <f>LOOKUP(E11,68:68,69:69)-LOOKUP(C11,68:68,69:69)+100</f>
        <v>100</v>
      </c>
      <c r="G11" s="526">
        <v>2.5</v>
      </c>
      <c r="H11" s="252">
        <f>LOOKUP(G11,68:68,69:69)-LOOKUP(C11,68:68,69:69)+100</f>
        <v>100</v>
      </c>
      <c r="I11" s="526">
        <v>2.2000000000000002</v>
      </c>
      <c r="J11" s="252">
        <f>LOOKUP(I11,68:68,69:69)-LOOKUP(C11,68:68,69:69)+100</f>
        <v>100</v>
      </c>
      <c r="K11" s="852">
        <v>3</v>
      </c>
      <c r="L11" s="2019"/>
      <c r="M11" s="2013"/>
      <c r="N11" s="2013"/>
      <c r="O11" s="2020"/>
      <c r="P11" s="3502"/>
      <c r="Q11" s="1133" t="str">
        <f t="shared" si="6"/>
        <v>容积率</v>
      </c>
      <c r="R11" s="1500" t="s">
        <v>11</v>
      </c>
      <c r="S11" s="1501">
        <f t="shared" si="0"/>
        <v>100</v>
      </c>
      <c r="T11" s="1500" t="s">
        <v>11</v>
      </c>
      <c r="U11" s="1501">
        <f t="shared" si="1"/>
        <v>100</v>
      </c>
      <c r="V11" s="1500" t="s">
        <v>11</v>
      </c>
      <c r="W11" s="1501">
        <f t="shared" si="2"/>
        <v>100</v>
      </c>
      <c r="X11" s="1502"/>
      <c r="Y11" s="3453"/>
      <c r="Z11" s="1132" t="str">
        <f t="shared" si="7"/>
        <v>容积率</v>
      </c>
      <c r="AA11" s="1503">
        <f t="shared" si="3"/>
        <v>1</v>
      </c>
      <c r="AB11" s="1503">
        <f t="shared" si="4"/>
        <v>1</v>
      </c>
      <c r="AC11" s="1503">
        <f t="shared" si="5"/>
        <v>1</v>
      </c>
    </row>
    <row r="12" spans="1:29" s="1202" customFormat="1" ht="15">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4"/>
      <c r="M12" s="2015"/>
      <c r="N12" s="2015"/>
      <c r="O12" s="2016"/>
      <c r="P12" s="3502"/>
      <c r="Q12" s="1133">
        <f t="shared" si="6"/>
        <v>111</v>
      </c>
      <c r="R12" s="1500" t="s">
        <v>11</v>
      </c>
      <c r="S12" s="1501">
        <f t="shared" si="0"/>
        <v>100</v>
      </c>
      <c r="T12" s="1500" t="s">
        <v>11</v>
      </c>
      <c r="U12" s="1501">
        <f t="shared" si="1"/>
        <v>100</v>
      </c>
      <c r="V12" s="1500" t="s">
        <v>11</v>
      </c>
      <c r="W12" s="1501">
        <f t="shared" si="2"/>
        <v>100</v>
      </c>
      <c r="X12" s="1502"/>
      <c r="Y12" s="3453"/>
      <c r="Z12" s="1132">
        <f t="shared" si="7"/>
        <v>111</v>
      </c>
      <c r="AA12" s="1503">
        <f>D12/F12</f>
        <v>1</v>
      </c>
      <c r="AB12" s="1503">
        <f>D12/H12</f>
        <v>1</v>
      </c>
      <c r="AC12" s="1503">
        <f>D12/J12</f>
        <v>1</v>
      </c>
    </row>
    <row r="13" spans="1:29" ht="15">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1"/>
      <c r="M13" s="2013"/>
      <c r="N13" s="2013"/>
      <c r="O13" s="2020"/>
      <c r="P13" s="3502"/>
      <c r="Q13" s="1133">
        <f t="shared" si="6"/>
        <v>111</v>
      </c>
      <c r="R13" s="1500" t="s">
        <v>11</v>
      </c>
      <c r="S13" s="1501">
        <f t="shared" si="0"/>
        <v>100</v>
      </c>
      <c r="T13" s="1500" t="s">
        <v>11</v>
      </c>
      <c r="U13" s="1501">
        <f t="shared" si="1"/>
        <v>100</v>
      </c>
      <c r="V13" s="1500" t="s">
        <v>11</v>
      </c>
      <c r="W13" s="1501">
        <f t="shared" si="2"/>
        <v>100</v>
      </c>
      <c r="X13" s="1502"/>
      <c r="Y13" s="3453"/>
      <c r="Z13" s="1132">
        <f t="shared" si="7"/>
        <v>111</v>
      </c>
      <c r="AA13" s="1503">
        <f t="shared" si="3"/>
        <v>1</v>
      </c>
      <c r="AB13" s="1503">
        <f t="shared" si="4"/>
        <v>1</v>
      </c>
      <c r="AC13" s="1503">
        <f t="shared" si="5"/>
        <v>1</v>
      </c>
    </row>
    <row r="14" spans="1:29" ht="15.75"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1"/>
      <c r="M14" s="2013"/>
      <c r="N14" s="2013"/>
      <c r="O14" s="2020"/>
      <c r="P14" s="3502"/>
      <c r="Q14" s="1133">
        <f t="shared" si="6"/>
        <v>111</v>
      </c>
      <c r="R14" s="1500" t="s">
        <v>11</v>
      </c>
      <c r="S14" s="1501">
        <f t="shared" si="0"/>
        <v>100</v>
      </c>
      <c r="T14" s="1500" t="s">
        <v>11</v>
      </c>
      <c r="U14" s="1501">
        <f t="shared" si="1"/>
        <v>100</v>
      </c>
      <c r="V14" s="1500" t="s">
        <v>11</v>
      </c>
      <c r="W14" s="1501">
        <f t="shared" si="2"/>
        <v>100</v>
      </c>
      <c r="X14" s="1502"/>
      <c r="Y14" s="3453"/>
      <c r="Z14" s="1132">
        <f t="shared" si="7"/>
        <v>111</v>
      </c>
      <c r="AA14" s="1503">
        <f t="shared" si="3"/>
        <v>1</v>
      </c>
      <c r="AB14" s="1503">
        <f t="shared" si="4"/>
        <v>1</v>
      </c>
      <c r="AC14" s="1503">
        <f t="shared" si="5"/>
        <v>1</v>
      </c>
    </row>
    <row r="15" spans="1:29" ht="99.75">
      <c r="A15" s="2624" t="s">
        <v>2734</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3</v>
      </c>
      <c r="L15" s="2021"/>
      <c r="M15" s="2013"/>
      <c r="N15" s="2013"/>
      <c r="O15" s="2020"/>
      <c r="P15" s="3504" t="s">
        <v>534</v>
      </c>
      <c r="Q15" s="1504" t="str">
        <f t="shared" si="6"/>
        <v>居住社区成熟度</v>
      </c>
      <c r="R15" s="1505" t="s">
        <v>11</v>
      </c>
      <c r="S15" s="1506">
        <f t="shared" si="0"/>
        <v>100</v>
      </c>
      <c r="T15" s="1505" t="s">
        <v>11</v>
      </c>
      <c r="U15" s="1506">
        <f t="shared" si="1"/>
        <v>100</v>
      </c>
      <c r="V15" s="1505" t="s">
        <v>11</v>
      </c>
      <c r="W15" s="1506">
        <f t="shared" si="2"/>
        <v>100</v>
      </c>
      <c r="X15" s="1499"/>
      <c r="Y15" s="3504" t="s">
        <v>534</v>
      </c>
      <c r="Z15" s="1507" t="str">
        <f t="shared" si="7"/>
        <v>居住社区成熟度</v>
      </c>
      <c r="AA15" s="1508">
        <f t="shared" si="3"/>
        <v>1</v>
      </c>
      <c r="AB15" s="1508">
        <f t="shared" si="4"/>
        <v>1</v>
      </c>
      <c r="AC15" s="1508">
        <f t="shared" si="5"/>
        <v>1</v>
      </c>
    </row>
    <row r="16" spans="1:29" ht="15">
      <c r="A16" s="525"/>
      <c r="B16" s="857"/>
      <c r="C16" s="569" t="s">
        <v>3029</v>
      </c>
      <c r="D16" s="548"/>
      <c r="E16" s="549" t="s">
        <v>3029</v>
      </c>
      <c r="F16" s="550"/>
      <c r="G16" s="551" t="s">
        <v>3029</v>
      </c>
      <c r="H16" s="552"/>
      <c r="I16" s="549" t="s">
        <v>3029</v>
      </c>
      <c r="J16" s="548"/>
      <c r="K16" s="858"/>
      <c r="L16" s="2021"/>
      <c r="M16" s="2013"/>
      <c r="N16" s="2013"/>
      <c r="O16" s="2020"/>
      <c r="P16" s="3505"/>
      <c r="Q16" s="1504"/>
      <c r="R16" s="1505"/>
      <c r="S16" s="1506"/>
      <c r="T16" s="1505"/>
      <c r="U16" s="1506"/>
      <c r="V16" s="1505"/>
      <c r="W16" s="1506"/>
      <c r="X16" s="1499"/>
      <c r="Y16" s="3505"/>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1"/>
      <c r="M17" s="2013"/>
      <c r="N17" s="2013"/>
      <c r="O17" s="2020"/>
      <c r="P17" s="3505"/>
      <c r="Q17" s="1504" t="str">
        <f>B17</f>
        <v>交通便捷度</v>
      </c>
      <c r="R17" s="1505" t="s">
        <v>11</v>
      </c>
      <c r="S17" s="1506">
        <f>F17</f>
        <v>100</v>
      </c>
      <c r="T17" s="1505" t="s">
        <v>11</v>
      </c>
      <c r="U17" s="1506">
        <f>H17</f>
        <v>100</v>
      </c>
      <c r="V17" s="1505" t="s">
        <v>11</v>
      </c>
      <c r="W17" s="1506">
        <f>J17</f>
        <v>100</v>
      </c>
      <c r="X17" s="1499"/>
      <c r="Y17" s="3505"/>
      <c r="Z17" s="1507" t="str">
        <f>Q17</f>
        <v>交通便捷度</v>
      </c>
      <c r="AA17" s="1508">
        <f t="shared" si="3"/>
        <v>1</v>
      </c>
      <c r="AB17" s="1508">
        <f t="shared" si="4"/>
        <v>1</v>
      </c>
      <c r="AC17" s="1508">
        <f t="shared" si="5"/>
        <v>1</v>
      </c>
    </row>
    <row r="18" spans="1:29" ht="15">
      <c r="A18" s="525"/>
      <c r="B18" s="588"/>
      <c r="C18" s="861" t="s">
        <v>3029</v>
      </c>
      <c r="D18" s="552"/>
      <c r="E18" s="561" t="s">
        <v>3029</v>
      </c>
      <c r="F18" s="556"/>
      <c r="G18" s="562" t="s">
        <v>3029</v>
      </c>
      <c r="H18" s="548"/>
      <c r="I18" s="561" t="s">
        <v>3029</v>
      </c>
      <c r="J18" s="548"/>
      <c r="K18" s="858"/>
      <c r="L18" s="2021"/>
      <c r="M18" s="2013"/>
      <c r="N18" s="2013"/>
      <c r="O18" s="2020"/>
      <c r="P18" s="3505"/>
      <c r="Q18" s="1504"/>
      <c r="R18" s="1505"/>
      <c r="S18" s="1506"/>
      <c r="T18" s="1505"/>
      <c r="U18" s="1506"/>
      <c r="V18" s="1505"/>
      <c r="W18" s="1506"/>
      <c r="X18" s="1499"/>
      <c r="Y18" s="3505"/>
      <c r="Z18" s="1507"/>
      <c r="AA18" s="1508">
        <v>1</v>
      </c>
      <c r="AB18" s="1508">
        <v>1</v>
      </c>
      <c r="AC18" s="1508">
        <v>1</v>
      </c>
    </row>
    <row r="19" spans="1:29" ht="42.75">
      <c r="A19" s="525"/>
      <c r="B19" s="2441"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v>2</v>
      </c>
      <c r="L19" s="2021"/>
      <c r="M19" s="2013"/>
      <c r="N19" s="2013"/>
      <c r="O19" s="2020"/>
      <c r="P19" s="3505"/>
      <c r="Q19" s="1504" t="str">
        <f>B19</f>
        <v>公共配套设施</v>
      </c>
      <c r="R19" s="1505" t="s">
        <v>11</v>
      </c>
      <c r="S19" s="1506">
        <f>F19</f>
        <v>100</v>
      </c>
      <c r="T19" s="1505" t="s">
        <v>11</v>
      </c>
      <c r="U19" s="1506">
        <f>H19</f>
        <v>100</v>
      </c>
      <c r="V19" s="1505" t="s">
        <v>11</v>
      </c>
      <c r="W19" s="1506">
        <f>J19</f>
        <v>100</v>
      </c>
      <c r="X19" s="1499"/>
      <c r="Y19" s="3505"/>
      <c r="Z19" s="1507" t="str">
        <f>Q19</f>
        <v>公共配套设施</v>
      </c>
      <c r="AA19" s="1508">
        <f t="shared" si="3"/>
        <v>1</v>
      </c>
      <c r="AB19" s="1508">
        <f t="shared" si="4"/>
        <v>1</v>
      </c>
      <c r="AC19" s="1508">
        <f t="shared" si="5"/>
        <v>1</v>
      </c>
    </row>
    <row r="20" spans="1:29" ht="15">
      <c r="A20" s="525"/>
      <c r="B20" s="588"/>
      <c r="C20" s="569" t="s">
        <v>3028</v>
      </c>
      <c r="D20" s="548"/>
      <c r="E20" s="549" t="s">
        <v>3028</v>
      </c>
      <c r="F20" s="550"/>
      <c r="G20" s="551" t="s">
        <v>3028</v>
      </c>
      <c r="H20" s="548"/>
      <c r="I20" s="549" t="s">
        <v>3028</v>
      </c>
      <c r="J20" s="548"/>
      <c r="K20" s="858"/>
      <c r="L20" s="2021"/>
      <c r="M20" s="2013"/>
      <c r="N20" s="2013"/>
      <c r="O20" s="2020"/>
      <c r="P20" s="3505"/>
      <c r="Q20" s="1504"/>
      <c r="R20" s="1505"/>
      <c r="S20" s="1506"/>
      <c r="T20" s="1505"/>
      <c r="U20" s="1506"/>
      <c r="V20" s="1505"/>
      <c r="W20" s="1506"/>
      <c r="X20" s="1499"/>
      <c r="Y20" s="3505"/>
      <c r="Z20" s="1507"/>
      <c r="AA20" s="1508">
        <v>1</v>
      </c>
      <c r="AB20" s="1508">
        <v>1</v>
      </c>
      <c r="AC20" s="1508">
        <v>1</v>
      </c>
    </row>
    <row r="21" spans="1:29" ht="28.5">
      <c r="A21" s="525"/>
      <c r="B21" s="2434"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1"/>
      <c r="M21" s="2013"/>
      <c r="N21" s="2013"/>
      <c r="O21" s="2020"/>
      <c r="P21" s="3505"/>
      <c r="Q21" s="2426" t="str">
        <f>B21</f>
        <v>基础设施水平</v>
      </c>
      <c r="R21" s="1505" t="s">
        <v>11</v>
      </c>
      <c r="S21" s="1506">
        <f>F21</f>
        <v>100</v>
      </c>
      <c r="T21" s="1505" t="s">
        <v>11</v>
      </c>
      <c r="U21" s="1506">
        <f>H21</f>
        <v>100</v>
      </c>
      <c r="V21" s="1505" t="s">
        <v>11</v>
      </c>
      <c r="W21" s="1506">
        <f>J21</f>
        <v>100</v>
      </c>
      <c r="X21" s="2428"/>
      <c r="Y21" s="3505"/>
      <c r="Z21" s="2427" t="str">
        <f>Q21</f>
        <v>基础设施水平</v>
      </c>
      <c r="AA21" s="1508">
        <f t="shared" ref="AA21" si="8">D21/F21</f>
        <v>1</v>
      </c>
      <c r="AB21" s="1508">
        <f t="shared" ref="AB21" si="9">D21/H21</f>
        <v>1</v>
      </c>
      <c r="AC21" s="1508">
        <f t="shared" ref="AC21" si="10">D21/J21</f>
        <v>1</v>
      </c>
    </row>
    <row r="22" spans="1:29" ht="15">
      <c r="A22" s="525"/>
      <c r="B22" s="910"/>
      <c r="C22" s="861" t="s">
        <v>3030</v>
      </c>
      <c r="D22" s="548"/>
      <c r="E22" s="569" t="s">
        <v>3030</v>
      </c>
      <c r="F22" s="550"/>
      <c r="G22" s="569" t="str">
        <f>E22</f>
        <v>七通</v>
      </c>
      <c r="H22" s="548"/>
      <c r="I22" s="569" t="str">
        <f>E22</f>
        <v>七通</v>
      </c>
      <c r="J22" s="548"/>
      <c r="K22" s="2440"/>
      <c r="L22" s="2021"/>
      <c r="M22" s="2013"/>
      <c r="N22" s="2013"/>
      <c r="O22" s="2020"/>
      <c r="P22" s="3505"/>
      <c r="Q22" s="2426"/>
      <c r="R22" s="1505"/>
      <c r="S22" s="1506"/>
      <c r="T22" s="1505"/>
      <c r="U22" s="1506"/>
      <c r="V22" s="1505"/>
      <c r="W22" s="1506"/>
      <c r="X22" s="2428"/>
      <c r="Y22" s="3505"/>
      <c r="Z22" s="2427"/>
      <c r="AA22" s="1508">
        <v>1</v>
      </c>
      <c r="AB22" s="1508">
        <v>1</v>
      </c>
      <c r="AC22" s="1508">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1"/>
      <c r="M23" s="2013"/>
      <c r="N23" s="2013"/>
      <c r="O23" s="2020"/>
      <c r="P23" s="3505"/>
      <c r="Q23" s="1504" t="str">
        <f>B23</f>
        <v>自然及人文环境</v>
      </c>
      <c r="R23" s="1505" t="s">
        <v>11</v>
      </c>
      <c r="S23" s="1506">
        <f>F23</f>
        <v>100</v>
      </c>
      <c r="T23" s="1505" t="s">
        <v>11</v>
      </c>
      <c r="U23" s="1506">
        <f>H23</f>
        <v>100</v>
      </c>
      <c r="V23" s="1505" t="s">
        <v>11</v>
      </c>
      <c r="W23" s="1506">
        <f>J23</f>
        <v>100</v>
      </c>
      <c r="X23" s="1499"/>
      <c r="Y23" s="3505"/>
      <c r="Z23" s="1507" t="str">
        <f>Q23</f>
        <v>自然及人文环境</v>
      </c>
      <c r="AA23" s="1508">
        <f t="shared" si="3"/>
        <v>1</v>
      </c>
      <c r="AB23" s="1508">
        <f t="shared" si="4"/>
        <v>1</v>
      </c>
      <c r="AC23" s="1508">
        <f t="shared" si="5"/>
        <v>1</v>
      </c>
    </row>
    <row r="24" spans="1:29" ht="15">
      <c r="A24" s="525"/>
      <c r="B24" s="588"/>
      <c r="C24" s="569" t="s">
        <v>3029</v>
      </c>
      <c r="D24" s="548"/>
      <c r="E24" s="549" t="s">
        <v>3029</v>
      </c>
      <c r="F24" s="550"/>
      <c r="G24" s="551" t="s">
        <v>3029</v>
      </c>
      <c r="H24" s="548"/>
      <c r="I24" s="549" t="s">
        <v>3029</v>
      </c>
      <c r="J24" s="548"/>
      <c r="K24" s="858"/>
      <c r="L24" s="2021"/>
      <c r="M24" s="2013"/>
      <c r="N24" s="2013"/>
      <c r="O24" s="2020"/>
      <c r="P24" s="3505"/>
      <c r="Q24" s="1504"/>
      <c r="R24" s="1505"/>
      <c r="S24" s="1506"/>
      <c r="T24" s="1505"/>
      <c r="U24" s="1506"/>
      <c r="V24" s="1505"/>
      <c r="W24" s="1506"/>
      <c r="X24" s="1499"/>
      <c r="Y24" s="3505"/>
      <c r="Z24" s="1507"/>
      <c r="AA24" s="1508">
        <v>1</v>
      </c>
      <c r="AB24" s="1508">
        <v>1</v>
      </c>
      <c r="AC24" s="1508">
        <v>1</v>
      </c>
    </row>
    <row r="25" spans="1:29" ht="15">
      <c r="A25" s="525"/>
      <c r="B25" s="1806" t="s">
        <v>2244</v>
      </c>
      <c r="C25" s="567"/>
      <c r="D25" s="533">
        <v>100</v>
      </c>
      <c r="E25" s="862"/>
      <c r="F25" s="568">
        <f>SUMIF(86:86,E25,87:87)-SUMIF(86:86,C25,87:87)+100</f>
        <v>100</v>
      </c>
      <c r="G25" s="592"/>
      <c r="H25" s="533">
        <f>SUMIF(86:86,G25,87:87)-SUMIF(86:86,C25,87:87)+100</f>
        <v>100</v>
      </c>
      <c r="I25" s="862"/>
      <c r="J25" s="533">
        <f>SUMIF(86:86,I25,87:87)-SUMIF(86:86,C25,87:87)+100</f>
        <v>100</v>
      </c>
      <c r="K25" s="852"/>
      <c r="L25" s="2021"/>
      <c r="M25" s="2013"/>
      <c r="N25" s="2013"/>
      <c r="O25" s="2020"/>
      <c r="P25" s="3505"/>
      <c r="Q25" s="1504" t="str">
        <f t="shared" ref="Q25:Q46" si="11">B25</f>
        <v>楼层-1</v>
      </c>
      <c r="R25" s="1505" t="s">
        <v>11</v>
      </c>
      <c r="S25" s="1506">
        <f>F25</f>
        <v>100</v>
      </c>
      <c r="T25" s="1505" t="s">
        <v>11</v>
      </c>
      <c r="U25" s="1506">
        <f>H25</f>
        <v>100</v>
      </c>
      <c r="V25" s="1505" t="s">
        <v>11</v>
      </c>
      <c r="W25" s="1506">
        <f>J25</f>
        <v>100</v>
      </c>
      <c r="X25" s="1499"/>
      <c r="Y25" s="3505"/>
      <c r="Z25" s="1507" t="str">
        <f>Q25</f>
        <v>楼层-1</v>
      </c>
      <c r="AA25" s="1508">
        <f t="shared" si="3"/>
        <v>1</v>
      </c>
      <c r="AB25" s="1508">
        <f t="shared" si="4"/>
        <v>1</v>
      </c>
      <c r="AC25" s="1508">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1"/>
      <c r="M26" s="2013"/>
      <c r="N26" s="2013"/>
      <c r="O26" s="2020"/>
      <c r="P26" s="3505"/>
      <c r="Q26" s="1504" t="str">
        <f t="shared" si="11"/>
        <v>朝向</v>
      </c>
      <c r="R26" s="1505" t="s">
        <v>11</v>
      </c>
      <c r="S26" s="1506">
        <f>F26</f>
        <v>100</v>
      </c>
      <c r="T26" s="1505" t="s">
        <v>11</v>
      </c>
      <c r="U26" s="1506">
        <f>H26</f>
        <v>100</v>
      </c>
      <c r="V26" s="1505" t="s">
        <v>11</v>
      </c>
      <c r="W26" s="1506">
        <f>J26</f>
        <v>100</v>
      </c>
      <c r="X26" s="1499"/>
      <c r="Y26" s="3505"/>
      <c r="Z26" s="1507" t="str">
        <f>Q26</f>
        <v>朝向</v>
      </c>
      <c r="AA26" s="1508">
        <f t="shared" si="3"/>
        <v>1</v>
      </c>
      <c r="AB26" s="1508">
        <f t="shared" si="4"/>
        <v>1</v>
      </c>
      <c r="AC26" s="1508">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4"/>
      <c r="M27" s="2015"/>
      <c r="N27" s="2015"/>
      <c r="O27" s="2016"/>
      <c r="P27" s="3505"/>
      <c r="Q27" s="1133" t="str">
        <f t="shared" si="11"/>
        <v>道路级别</v>
      </c>
      <c r="R27" s="1500" t="s">
        <v>11</v>
      </c>
      <c r="S27" s="1501">
        <f>F27</f>
        <v>100</v>
      </c>
      <c r="T27" s="1500" t="s">
        <v>11</v>
      </c>
      <c r="U27" s="1501">
        <f>H27</f>
        <v>100</v>
      </c>
      <c r="V27" s="1500" t="s">
        <v>11</v>
      </c>
      <c r="W27" s="1501">
        <f>J27</f>
        <v>100</v>
      </c>
      <c r="X27" s="1502"/>
      <c r="Y27" s="3505"/>
      <c r="Z27" s="1132" t="str">
        <f>Q27</f>
        <v>道路级别</v>
      </c>
      <c r="AA27" s="1508">
        <f>D27/F27</f>
        <v>1</v>
      </c>
      <c r="AB27" s="1508">
        <f>D27/H27</f>
        <v>1</v>
      </c>
      <c r="AC27" s="1508">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1"/>
      <c r="M28" s="2013"/>
      <c r="N28" s="2013"/>
      <c r="O28" s="2020"/>
      <c r="P28" s="3505"/>
      <c r="Q28" s="1504">
        <f t="shared" si="11"/>
        <v>111</v>
      </c>
      <c r="R28" s="1505" t="s">
        <v>11</v>
      </c>
      <c r="S28" s="1506">
        <f t="shared" ref="S28:S46" si="12">F28</f>
        <v>100</v>
      </c>
      <c r="T28" s="1505" t="s">
        <v>11</v>
      </c>
      <c r="U28" s="1506">
        <f t="shared" ref="U28:U46" si="13">H28</f>
        <v>100</v>
      </c>
      <c r="V28" s="1505" t="s">
        <v>11</v>
      </c>
      <c r="W28" s="1506">
        <f t="shared" ref="W28:W46" si="14">J28</f>
        <v>100</v>
      </c>
      <c r="X28" s="1499"/>
      <c r="Y28" s="3505"/>
      <c r="Z28" s="1507">
        <f t="shared" ref="Z28:Z46" si="15">Q28</f>
        <v>111</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1"/>
      <c r="M29" s="2013"/>
      <c r="N29" s="2013"/>
      <c r="O29" s="2020"/>
      <c r="P29" s="3505"/>
      <c r="Q29" s="1504">
        <f t="shared" si="11"/>
        <v>111</v>
      </c>
      <c r="R29" s="1505" t="s">
        <v>11</v>
      </c>
      <c r="S29" s="1506">
        <f t="shared" si="12"/>
        <v>100</v>
      </c>
      <c r="T29" s="1505" t="s">
        <v>11</v>
      </c>
      <c r="U29" s="1506">
        <f t="shared" si="13"/>
        <v>100</v>
      </c>
      <c r="V29" s="1505" t="s">
        <v>11</v>
      </c>
      <c r="W29" s="1506">
        <f t="shared" si="14"/>
        <v>100</v>
      </c>
      <c r="X29" s="1499"/>
      <c r="Y29" s="3505"/>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1"/>
      <c r="M30" s="2013"/>
      <c r="N30" s="2013"/>
      <c r="O30" s="2020"/>
      <c r="P30" s="3505"/>
      <c r="Q30" s="1504">
        <f t="shared" si="11"/>
        <v>111</v>
      </c>
      <c r="R30" s="1505" t="s">
        <v>11</v>
      </c>
      <c r="S30" s="1506">
        <f t="shared" si="12"/>
        <v>100</v>
      </c>
      <c r="T30" s="1505" t="s">
        <v>11</v>
      </c>
      <c r="U30" s="1506">
        <f t="shared" si="13"/>
        <v>100</v>
      </c>
      <c r="V30" s="1505" t="s">
        <v>11</v>
      </c>
      <c r="W30" s="1506">
        <f t="shared" si="14"/>
        <v>100</v>
      </c>
      <c r="X30" s="1499"/>
      <c r="Y30" s="3505"/>
      <c r="Z30" s="1507">
        <f t="shared" si="15"/>
        <v>111</v>
      </c>
      <c r="AA30" s="1508">
        <f t="shared" si="3"/>
        <v>1</v>
      </c>
      <c r="AB30" s="1508">
        <f t="shared" si="4"/>
        <v>1</v>
      </c>
      <c r="AC30" s="1508">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1"/>
      <c r="M31" s="2013"/>
      <c r="N31" s="2013"/>
      <c r="O31" s="2020"/>
      <c r="P31" s="3505"/>
      <c r="Q31" s="1504">
        <f t="shared" si="11"/>
        <v>111</v>
      </c>
      <c r="R31" s="1505" t="s">
        <v>11</v>
      </c>
      <c r="S31" s="1506">
        <f t="shared" si="12"/>
        <v>100</v>
      </c>
      <c r="T31" s="1505" t="s">
        <v>11</v>
      </c>
      <c r="U31" s="1506">
        <f t="shared" si="13"/>
        <v>100</v>
      </c>
      <c r="V31" s="1505" t="s">
        <v>11</v>
      </c>
      <c r="W31" s="1506">
        <f t="shared" si="14"/>
        <v>100</v>
      </c>
      <c r="X31" s="1499"/>
      <c r="Y31" s="3505"/>
      <c r="Z31" s="1507">
        <f t="shared" si="15"/>
        <v>111</v>
      </c>
      <c r="AA31" s="1508">
        <f t="shared" si="3"/>
        <v>1</v>
      </c>
      <c r="AB31" s="1508">
        <f t="shared" si="4"/>
        <v>1</v>
      </c>
      <c r="AC31" s="1508">
        <f t="shared" si="5"/>
        <v>1</v>
      </c>
    </row>
    <row r="32" spans="1:29" ht="15">
      <c r="A32" s="2621" t="s">
        <v>2735</v>
      </c>
      <c r="B32" s="170" t="s">
        <v>719</v>
      </c>
      <c r="C32" s="866" t="s">
        <v>3095</v>
      </c>
      <c r="D32" s="590">
        <v>100</v>
      </c>
      <c r="E32" s="867" t="s">
        <v>3095</v>
      </c>
      <c r="F32" s="568">
        <f>SUMIF(100:100,E32,101:101)-SUMIF(100:100,C32,101:101)+100</f>
        <v>100</v>
      </c>
      <c r="G32" s="866" t="s">
        <v>3095</v>
      </c>
      <c r="H32" s="590">
        <f>SUMIF(100:100,G32,101:101)-SUMIF(100:100,C32,101:101)+100</f>
        <v>100</v>
      </c>
      <c r="I32" s="867" t="s">
        <v>3128</v>
      </c>
      <c r="J32" s="533">
        <f>SUMIF(100:100,I32,101:101)-SUMIF(100:100,C32,101:101)+100</f>
        <v>97</v>
      </c>
      <c r="K32" s="852">
        <v>3</v>
      </c>
      <c r="L32" s="2021"/>
      <c r="M32" s="2013"/>
      <c r="N32" s="2013"/>
      <c r="O32" s="2020"/>
      <c r="P32" s="3506" t="s">
        <v>544</v>
      </c>
      <c r="Q32" s="1504" t="str">
        <f t="shared" si="11"/>
        <v>建筑类型</v>
      </c>
      <c r="R32" s="1505" t="s">
        <v>11</v>
      </c>
      <c r="S32" s="1506">
        <f t="shared" si="12"/>
        <v>100</v>
      </c>
      <c r="T32" s="1505" t="s">
        <v>11</v>
      </c>
      <c r="U32" s="1506">
        <f t="shared" si="13"/>
        <v>100</v>
      </c>
      <c r="V32" s="1505" t="s">
        <v>11</v>
      </c>
      <c r="W32" s="1506">
        <f t="shared" si="14"/>
        <v>97</v>
      </c>
      <c r="X32" s="1499"/>
      <c r="Y32" s="3507" t="s">
        <v>544</v>
      </c>
      <c r="Z32" s="1507" t="str">
        <f t="shared" si="15"/>
        <v>建筑类型</v>
      </c>
      <c r="AA32" s="1508">
        <f t="shared" si="3"/>
        <v>1</v>
      </c>
      <c r="AB32" s="1508">
        <f t="shared" si="4"/>
        <v>1</v>
      </c>
      <c r="AC32" s="1508">
        <f t="shared" si="5"/>
        <v>1.0309278350515463</v>
      </c>
    </row>
    <row r="33" spans="1:29" s="1292" customFormat="1" ht="15">
      <c r="A33" s="596"/>
      <c r="B33" s="520" t="s">
        <v>720</v>
      </c>
      <c r="C33" s="868">
        <f>'数据-基础表'!B3</f>
        <v>157059.36000000002</v>
      </c>
      <c r="D33" s="252">
        <v>100</v>
      </c>
      <c r="E33" s="527">
        <v>500000</v>
      </c>
      <c r="F33" s="851">
        <f>LOOKUP(E33,103:103,104:104)-LOOKUP(C33,103:103,104:104)+100</f>
        <v>104</v>
      </c>
      <c r="G33" s="526">
        <v>150000</v>
      </c>
      <c r="H33" s="252">
        <f>LOOKUP(G33,103:103,104:104)-LOOKUP(C33,103:103,104:104)+100</f>
        <v>100</v>
      </c>
      <c r="I33" s="527">
        <v>140000</v>
      </c>
      <c r="J33" s="252">
        <f>LOOKUP(I33,103:103,104:104)-LOOKUP(C33,103:103,104:104)+100</f>
        <v>100</v>
      </c>
      <c r="K33" s="853"/>
      <c r="L33" s="2019"/>
      <c r="M33" s="2049"/>
      <c r="N33" s="2049"/>
      <c r="O33" s="2022"/>
      <c r="P33" s="3507"/>
      <c r="Q33" s="1533" t="str">
        <f t="shared" si="11"/>
        <v>项目建筑规模</v>
      </c>
      <c r="R33" s="1509" t="s">
        <v>11</v>
      </c>
      <c r="S33" s="1510">
        <f t="shared" si="12"/>
        <v>104</v>
      </c>
      <c r="T33" s="1509" t="s">
        <v>11</v>
      </c>
      <c r="U33" s="1510">
        <f t="shared" si="13"/>
        <v>100</v>
      </c>
      <c r="V33" s="1509" t="s">
        <v>11</v>
      </c>
      <c r="W33" s="1510">
        <f t="shared" si="14"/>
        <v>100</v>
      </c>
      <c r="X33" s="1511"/>
      <c r="Y33" s="3507"/>
      <c r="Z33" s="1512" t="str">
        <f t="shared" si="15"/>
        <v>项目建筑规模</v>
      </c>
      <c r="AA33" s="1508">
        <f t="shared" si="3"/>
        <v>0.96153846153846156</v>
      </c>
      <c r="AB33" s="1508">
        <f t="shared" si="4"/>
        <v>1</v>
      </c>
      <c r="AC33" s="1508">
        <f t="shared" si="5"/>
        <v>1</v>
      </c>
    </row>
    <row r="34" spans="1:29" ht="15">
      <c r="A34" s="587"/>
      <c r="B34" s="520" t="s">
        <v>721</v>
      </c>
      <c r="C34" s="869" t="s">
        <v>3086</v>
      </c>
      <c r="D34" s="533">
        <v>100</v>
      </c>
      <c r="E34" s="870" t="s">
        <v>3086</v>
      </c>
      <c r="F34" s="568">
        <f>SUMIF(105:105,E34,106:106)-SUMIF(105:105,C34,106:106)+100</f>
        <v>100</v>
      </c>
      <c r="G34" s="869" t="s">
        <v>3086</v>
      </c>
      <c r="H34" s="533">
        <f>SUMIF(105:105,G34,106:106)-SUMIF(105:105,C34,106:106)+100</f>
        <v>100</v>
      </c>
      <c r="I34" s="870" t="s">
        <v>3086</v>
      </c>
      <c r="J34" s="533">
        <f>SUMIF(105:105,I34,106:106)-SUMIF(105:105,C34,106:106)+100</f>
        <v>100</v>
      </c>
      <c r="K34" s="852">
        <v>1</v>
      </c>
      <c r="L34" s="2021"/>
      <c r="M34" s="2013"/>
      <c r="N34" s="2013"/>
      <c r="O34" s="2020"/>
      <c r="P34" s="3507"/>
      <c r="Q34" s="1504" t="str">
        <f t="shared" si="11"/>
        <v>建筑结构</v>
      </c>
      <c r="R34" s="1505" t="s">
        <v>11</v>
      </c>
      <c r="S34" s="1506">
        <f t="shared" si="12"/>
        <v>100</v>
      </c>
      <c r="T34" s="1505" t="s">
        <v>11</v>
      </c>
      <c r="U34" s="1506">
        <f t="shared" si="13"/>
        <v>100</v>
      </c>
      <c r="V34" s="1505" t="s">
        <v>11</v>
      </c>
      <c r="W34" s="1506">
        <f t="shared" si="14"/>
        <v>100</v>
      </c>
      <c r="X34" s="1499"/>
      <c r="Y34" s="3507"/>
      <c r="Z34" s="1507" t="str">
        <f t="shared" si="15"/>
        <v>建筑结构</v>
      </c>
      <c r="AA34" s="1508">
        <f t="shared" si="3"/>
        <v>1</v>
      </c>
      <c r="AB34" s="1508">
        <f t="shared" si="4"/>
        <v>1</v>
      </c>
      <c r="AC34" s="1508">
        <f t="shared" si="5"/>
        <v>1</v>
      </c>
    </row>
    <row r="35" spans="1:29" ht="15">
      <c r="A35" s="587"/>
      <c r="B35" s="520" t="s">
        <v>722</v>
      </c>
      <c r="C35" s="592" t="s">
        <v>3028</v>
      </c>
      <c r="D35" s="533">
        <v>100</v>
      </c>
      <c r="E35" s="862" t="s">
        <v>3028</v>
      </c>
      <c r="F35" s="568">
        <f>SUMIF(107:107,E35,108:108)-SUMIF(107:107,C35,108:108)+100</f>
        <v>100</v>
      </c>
      <c r="G35" s="592" t="s">
        <v>3028</v>
      </c>
      <c r="H35" s="533">
        <f>SUMIF(107:107,G35,108:108)-SUMIF(107:107,C35,108:108)+100</f>
        <v>100</v>
      </c>
      <c r="I35" s="862" t="s">
        <v>3028</v>
      </c>
      <c r="J35" s="533">
        <f>SUMIF(107:107,I35,108:108)-SUMIF(107:107,C35,108:108)+100</f>
        <v>100</v>
      </c>
      <c r="K35" s="852">
        <v>1</v>
      </c>
      <c r="L35" s="2021"/>
      <c r="M35" s="2013"/>
      <c r="N35" s="2013"/>
      <c r="O35" s="2020"/>
      <c r="P35" s="3507"/>
      <c r="Q35" s="1504" t="str">
        <f t="shared" si="11"/>
        <v>建筑品质</v>
      </c>
      <c r="R35" s="1505" t="s">
        <v>11</v>
      </c>
      <c r="S35" s="1506">
        <f t="shared" si="12"/>
        <v>100</v>
      </c>
      <c r="T35" s="1505" t="s">
        <v>11</v>
      </c>
      <c r="U35" s="1506">
        <f t="shared" si="13"/>
        <v>100</v>
      </c>
      <c r="V35" s="1505" t="s">
        <v>11</v>
      </c>
      <c r="W35" s="1506">
        <f t="shared" si="14"/>
        <v>100</v>
      </c>
      <c r="X35" s="1499"/>
      <c r="Y35" s="3507"/>
      <c r="Z35" s="1507" t="str">
        <f t="shared" si="15"/>
        <v>建筑品质</v>
      </c>
      <c r="AA35" s="1508">
        <f t="shared" si="3"/>
        <v>1</v>
      </c>
      <c r="AB35" s="1508">
        <f t="shared" si="4"/>
        <v>1</v>
      </c>
      <c r="AC35" s="1508">
        <f t="shared" si="5"/>
        <v>1</v>
      </c>
    </row>
    <row r="36" spans="1:29" ht="15">
      <c r="A36" s="587"/>
      <c r="B36" s="520" t="s">
        <v>723</v>
      </c>
      <c r="C36" s="592" t="s">
        <v>3110</v>
      </c>
      <c r="D36" s="533">
        <v>100</v>
      </c>
      <c r="E36" s="862" t="s">
        <v>3110</v>
      </c>
      <c r="F36" s="568">
        <f>SUMIF(109:109,E36,110:110)-SUMIF(109:109,C36,110:110)+100</f>
        <v>100</v>
      </c>
      <c r="G36" s="592" t="s">
        <v>3110</v>
      </c>
      <c r="H36" s="533">
        <f>SUMIF(109:109,G36,110:110)-SUMIF(109:109,C36,110:110)+100</f>
        <v>100</v>
      </c>
      <c r="I36" s="862" t="s">
        <v>3110</v>
      </c>
      <c r="J36" s="533">
        <f>SUMIF(109:109,I36,110:110)-SUMIF(109:109,C36,110:110)+100</f>
        <v>100</v>
      </c>
      <c r="K36" s="852">
        <v>1</v>
      </c>
      <c r="L36" s="2021"/>
      <c r="M36" s="2013"/>
      <c r="N36" s="2013"/>
      <c r="O36" s="2020"/>
      <c r="P36" s="3507"/>
      <c r="Q36" s="1504" t="str">
        <f t="shared" si="11"/>
        <v>公共部分装修</v>
      </c>
      <c r="R36" s="1505" t="s">
        <v>11</v>
      </c>
      <c r="S36" s="1506">
        <f t="shared" si="12"/>
        <v>100</v>
      </c>
      <c r="T36" s="1505" t="s">
        <v>11</v>
      </c>
      <c r="U36" s="1506">
        <f t="shared" si="13"/>
        <v>100</v>
      </c>
      <c r="V36" s="1505" t="s">
        <v>11</v>
      </c>
      <c r="W36" s="1506">
        <f t="shared" si="14"/>
        <v>100</v>
      </c>
      <c r="X36" s="1499"/>
      <c r="Y36" s="3507"/>
      <c r="Z36" s="1507" t="str">
        <f t="shared" si="15"/>
        <v>公共部分装修</v>
      </c>
      <c r="AA36" s="1508">
        <f t="shared" si="3"/>
        <v>1</v>
      </c>
      <c r="AB36" s="1508">
        <f t="shared" si="4"/>
        <v>1</v>
      </c>
      <c r="AC36" s="1508">
        <f t="shared" si="5"/>
        <v>1</v>
      </c>
    </row>
    <row r="37" spans="1:29" s="1202" customFormat="1" ht="15">
      <c r="A37" s="593"/>
      <c r="B37" s="520" t="s">
        <v>724</v>
      </c>
      <c r="C37" s="871">
        <v>1</v>
      </c>
      <c r="D37" s="252">
        <v>100</v>
      </c>
      <c r="E37" s="872">
        <v>1</v>
      </c>
      <c r="F37" s="851">
        <f>LOOKUP(E37,112:112,113:113)-LOOKUP(C37,112:112,113:113)+100</f>
        <v>100</v>
      </c>
      <c r="G37" s="873">
        <v>1</v>
      </c>
      <c r="H37" s="252">
        <f>LOOKUP(G37,112:112,113:113)-LOOKUP(C37,112:112,113:113)+100</f>
        <v>100</v>
      </c>
      <c r="I37" s="872">
        <v>1</v>
      </c>
      <c r="J37" s="252">
        <f>LOOKUP(I37,112:112,113:113)-LOOKUP(C37,112:112,113:113)+100</f>
        <v>100</v>
      </c>
      <c r="K37" s="852">
        <v>1</v>
      </c>
      <c r="L37" s="2014"/>
      <c r="M37" s="2015"/>
      <c r="N37" s="2015"/>
      <c r="O37" s="2016"/>
      <c r="P37" s="3507"/>
      <c r="Q37" s="1133" t="str">
        <f t="shared" si="11"/>
        <v>成新度</v>
      </c>
      <c r="R37" s="1500" t="s">
        <v>11</v>
      </c>
      <c r="S37" s="1501">
        <f t="shared" si="12"/>
        <v>100</v>
      </c>
      <c r="T37" s="1500" t="s">
        <v>11</v>
      </c>
      <c r="U37" s="1501">
        <f t="shared" si="13"/>
        <v>100</v>
      </c>
      <c r="V37" s="1500" t="s">
        <v>11</v>
      </c>
      <c r="W37" s="1501">
        <f t="shared" si="14"/>
        <v>100</v>
      </c>
      <c r="X37" s="1502"/>
      <c r="Y37" s="3507"/>
      <c r="Z37" s="1132" t="str">
        <f t="shared" si="15"/>
        <v>成新度</v>
      </c>
      <c r="AA37" s="1503">
        <f t="shared" si="3"/>
        <v>1</v>
      </c>
      <c r="AB37" s="1503">
        <f t="shared" si="4"/>
        <v>1</v>
      </c>
      <c r="AC37" s="1503">
        <f t="shared" si="5"/>
        <v>1</v>
      </c>
    </row>
    <row r="38" spans="1:29" ht="15">
      <c r="A38" s="587"/>
      <c r="B38" s="520" t="s">
        <v>725</v>
      </c>
      <c r="C38" s="592" t="s">
        <v>3099</v>
      </c>
      <c r="D38" s="533">
        <v>100</v>
      </c>
      <c r="E38" s="862" t="s">
        <v>3099</v>
      </c>
      <c r="F38" s="568">
        <f>SUMIF(114:114,E38,115:115)-SUMIF(114:114,C38,115:115)+100</f>
        <v>100</v>
      </c>
      <c r="G38" s="592" t="s">
        <v>3099</v>
      </c>
      <c r="H38" s="533">
        <f>SUMIF(114:114,G38,115:115)-SUMIF(114:114,C38,115:115)+100</f>
        <v>100</v>
      </c>
      <c r="I38" s="862" t="s">
        <v>3099</v>
      </c>
      <c r="J38" s="533">
        <f>SUMIF(114:114,I38,115:115)-SUMIF(114:114,C38,115:115)+100</f>
        <v>100</v>
      </c>
      <c r="K38" s="852">
        <v>1</v>
      </c>
      <c r="L38" s="2021"/>
      <c r="M38" s="2013"/>
      <c r="N38" s="2013"/>
      <c r="O38" s="2020"/>
      <c r="P38" s="3507" t="s">
        <v>544</v>
      </c>
      <c r="Q38" s="1504" t="str">
        <f t="shared" si="11"/>
        <v>物业管理</v>
      </c>
      <c r="R38" s="1505" t="s">
        <v>11</v>
      </c>
      <c r="S38" s="1506">
        <f t="shared" si="12"/>
        <v>100</v>
      </c>
      <c r="T38" s="1505" t="s">
        <v>11</v>
      </c>
      <c r="U38" s="1506">
        <f t="shared" si="13"/>
        <v>100</v>
      </c>
      <c r="V38" s="1505" t="s">
        <v>11</v>
      </c>
      <c r="W38" s="1506">
        <f t="shared" si="14"/>
        <v>100</v>
      </c>
      <c r="X38" s="1499"/>
      <c r="Y38" s="3507" t="s">
        <v>544</v>
      </c>
      <c r="Z38" s="1507" t="str">
        <f t="shared" si="15"/>
        <v>物业管理</v>
      </c>
      <c r="AA38" s="1508">
        <f t="shared" si="3"/>
        <v>1</v>
      </c>
      <c r="AB38" s="1508">
        <f t="shared" si="4"/>
        <v>1</v>
      </c>
      <c r="AC38" s="1508">
        <f t="shared" si="5"/>
        <v>1</v>
      </c>
    </row>
    <row r="39" spans="1:29" ht="15">
      <c r="A39" s="587"/>
      <c r="B39" s="1806" t="s">
        <v>2545</v>
      </c>
      <c r="C39" s="3293" t="s">
        <v>3102</v>
      </c>
      <c r="D39" s="533">
        <v>100</v>
      </c>
      <c r="E39" s="3294" t="s">
        <v>3103</v>
      </c>
      <c r="F39" s="568">
        <f>SUMIF(116:116,E39,117:117)-SUMIF(116:116,C39,117:117)+100</f>
        <v>100</v>
      </c>
      <c r="G39" s="3293" t="s">
        <v>3102</v>
      </c>
      <c r="H39" s="533">
        <f>SUMIF(116:116,G39,117:117)-SUMIF(116:116,C39,117:117)+100</f>
        <v>100</v>
      </c>
      <c r="I39" s="3294" t="s">
        <v>3102</v>
      </c>
      <c r="J39" s="533">
        <f>SUMIF(116:116,I39,117:117)-SUMIF(116:116,C39,117:117)+100</f>
        <v>100</v>
      </c>
      <c r="K39" s="852">
        <v>1</v>
      </c>
      <c r="L39" s="2021"/>
      <c r="M39" s="2013"/>
      <c r="N39" s="2013"/>
      <c r="O39" s="2020"/>
      <c r="P39" s="3507"/>
      <c r="Q39" s="1504" t="str">
        <f t="shared" si="11"/>
        <v>市政基础设施</v>
      </c>
      <c r="R39" s="1505" t="s">
        <v>11</v>
      </c>
      <c r="S39" s="1506">
        <f t="shared" si="12"/>
        <v>100</v>
      </c>
      <c r="T39" s="1505" t="s">
        <v>11</v>
      </c>
      <c r="U39" s="1506">
        <f t="shared" si="13"/>
        <v>100</v>
      </c>
      <c r="V39" s="1505" t="s">
        <v>11</v>
      </c>
      <c r="W39" s="1506">
        <f t="shared" si="14"/>
        <v>100</v>
      </c>
      <c r="X39" s="1499"/>
      <c r="Y39" s="3507"/>
      <c r="Z39" s="1507" t="str">
        <f t="shared" si="15"/>
        <v>市政基础设施</v>
      </c>
      <c r="AA39" s="1508">
        <f t="shared" si="3"/>
        <v>1</v>
      </c>
      <c r="AB39" s="1508">
        <f t="shared" si="4"/>
        <v>1</v>
      </c>
      <c r="AC39" s="1508">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1"/>
      <c r="M40" s="2013"/>
      <c r="N40" s="2013"/>
      <c r="O40" s="2020"/>
      <c r="P40" s="3507"/>
      <c r="Q40" s="1504" t="str">
        <f t="shared" si="11"/>
        <v>房型</v>
      </c>
      <c r="R40" s="1505" t="s">
        <v>11</v>
      </c>
      <c r="S40" s="1506">
        <f t="shared" si="12"/>
        <v>100</v>
      </c>
      <c r="T40" s="1505" t="s">
        <v>11</v>
      </c>
      <c r="U40" s="1506">
        <f t="shared" si="13"/>
        <v>100</v>
      </c>
      <c r="V40" s="1505" t="s">
        <v>11</v>
      </c>
      <c r="W40" s="1506">
        <f t="shared" si="14"/>
        <v>100</v>
      </c>
      <c r="X40" s="1499"/>
      <c r="Y40" s="3507"/>
      <c r="Z40" s="1507" t="str">
        <f t="shared" si="15"/>
        <v>房型</v>
      </c>
      <c r="AA40" s="1508">
        <f t="shared" si="3"/>
        <v>1</v>
      </c>
      <c r="AB40" s="1508">
        <f t="shared" si="4"/>
        <v>1</v>
      </c>
      <c r="AC40" s="1508">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19"/>
      <c r="M41" s="2049"/>
      <c r="N41" s="2049"/>
      <c r="O41" s="2022"/>
      <c r="P41" s="3507"/>
      <c r="Q41" s="1533" t="str">
        <f t="shared" si="11"/>
        <v>单套/主力户型建筑面积</v>
      </c>
      <c r="R41" s="1509" t="s">
        <v>11</v>
      </c>
      <c r="S41" s="1510">
        <f t="shared" si="12"/>
        <v>100</v>
      </c>
      <c r="T41" s="1509" t="s">
        <v>11</v>
      </c>
      <c r="U41" s="1510">
        <f t="shared" si="13"/>
        <v>100</v>
      </c>
      <c r="V41" s="1509" t="s">
        <v>11</v>
      </c>
      <c r="W41" s="1510">
        <f t="shared" si="14"/>
        <v>100</v>
      </c>
      <c r="X41" s="1511"/>
      <c r="Y41" s="3507"/>
      <c r="Z41" s="1512" t="str">
        <f t="shared" si="15"/>
        <v>单套/主力户型建筑面积</v>
      </c>
      <c r="AA41" s="1508">
        <f t="shared" si="3"/>
        <v>1</v>
      </c>
      <c r="AB41" s="1508">
        <f t="shared" si="4"/>
        <v>1</v>
      </c>
      <c r="AC41" s="1508">
        <f t="shared" si="5"/>
        <v>1</v>
      </c>
    </row>
    <row r="42" spans="1:29" ht="15">
      <c r="A42" s="587"/>
      <c r="B42" s="520" t="s">
        <v>728</v>
      </c>
      <c r="C42" s="3293" t="s">
        <v>3104</v>
      </c>
      <c r="D42" s="533">
        <v>100</v>
      </c>
      <c r="E42" s="3294" t="s">
        <v>3104</v>
      </c>
      <c r="F42" s="568">
        <f>SUMIF(122:122,E42,123:123)-SUMIF(122:122,C42,123:123)+100</f>
        <v>100</v>
      </c>
      <c r="G42" s="3293" t="s">
        <v>3106</v>
      </c>
      <c r="H42" s="533">
        <f>SUMIF(122:122,G42,123:123)-SUMIF(122:122,C42,123:123)+100</f>
        <v>94</v>
      </c>
      <c r="I42" s="862" t="s">
        <v>3105</v>
      </c>
      <c r="J42" s="533">
        <f>SUMIF(122:122,I42,123:123)-SUMIF(122:122,C42,123:123)+100</f>
        <v>94</v>
      </c>
      <c r="K42" s="852">
        <v>2</v>
      </c>
      <c r="L42" s="2021"/>
      <c r="M42" s="2013"/>
      <c r="N42" s="2013"/>
      <c r="O42" s="2020"/>
      <c r="P42" s="3507"/>
      <c r="Q42" s="1504" t="str">
        <f t="shared" si="11"/>
        <v>内部装修</v>
      </c>
      <c r="R42" s="1505" t="s">
        <v>11</v>
      </c>
      <c r="S42" s="1506">
        <f t="shared" si="12"/>
        <v>100</v>
      </c>
      <c r="T42" s="1505" t="s">
        <v>11</v>
      </c>
      <c r="U42" s="1506">
        <f t="shared" si="13"/>
        <v>94</v>
      </c>
      <c r="V42" s="1505" t="s">
        <v>11</v>
      </c>
      <c r="W42" s="1506">
        <f t="shared" si="14"/>
        <v>94</v>
      </c>
      <c r="X42" s="1499"/>
      <c r="Y42" s="3507"/>
      <c r="Z42" s="1507" t="str">
        <f t="shared" si="15"/>
        <v>内部装修</v>
      </c>
      <c r="AA42" s="1508">
        <f t="shared" si="3"/>
        <v>1</v>
      </c>
      <c r="AB42" s="1508">
        <f t="shared" si="4"/>
        <v>1.0638297872340425</v>
      </c>
      <c r="AC42" s="1508">
        <f t="shared" si="5"/>
        <v>1.0638297872340425</v>
      </c>
    </row>
    <row r="43" spans="1:29" ht="27">
      <c r="A43" s="587"/>
      <c r="B43" s="520" t="s">
        <v>729</v>
      </c>
      <c r="C43" s="592" t="s">
        <v>3028</v>
      </c>
      <c r="D43" s="533">
        <v>100</v>
      </c>
      <c r="E43" s="862" t="s">
        <v>3028</v>
      </c>
      <c r="F43" s="568">
        <f>SUMIF(124:124,E43,125:125)-SUMIF(124:124,C43,125:125)+100</f>
        <v>100</v>
      </c>
      <c r="G43" s="592" t="s">
        <v>3028</v>
      </c>
      <c r="H43" s="533">
        <f>SUMIF(124:124,G43,125:125)-SUMIF(124:124,C43,125:125)+100</f>
        <v>100</v>
      </c>
      <c r="I43" s="862" t="s">
        <v>3028</v>
      </c>
      <c r="J43" s="533">
        <f>SUMIF(124:124,I43,125:125)-SUMIF(124:124,C43,125:125)+100</f>
        <v>100</v>
      </c>
      <c r="K43" s="852">
        <v>1</v>
      </c>
      <c r="L43" s="2021"/>
      <c r="M43" s="2013"/>
      <c r="N43" s="2013"/>
      <c r="O43" s="2020"/>
      <c r="P43" s="3507"/>
      <c r="Q43" s="1504" t="str">
        <f t="shared" si="11"/>
        <v>内部装修维护情况</v>
      </c>
      <c r="R43" s="1505" t="s">
        <v>11</v>
      </c>
      <c r="S43" s="1506">
        <f t="shared" si="12"/>
        <v>100</v>
      </c>
      <c r="T43" s="1505" t="s">
        <v>11</v>
      </c>
      <c r="U43" s="1506">
        <f t="shared" si="13"/>
        <v>100</v>
      </c>
      <c r="V43" s="1505" t="s">
        <v>11</v>
      </c>
      <c r="W43" s="1506">
        <f t="shared" si="14"/>
        <v>100</v>
      </c>
      <c r="X43" s="1499"/>
      <c r="Y43" s="3507"/>
      <c r="Z43" s="1507" t="str">
        <f t="shared" si="15"/>
        <v>内部装修维护情况</v>
      </c>
      <c r="AA43" s="1508">
        <f t="shared" si="3"/>
        <v>1</v>
      </c>
      <c r="AB43" s="1508">
        <f t="shared" si="4"/>
        <v>1</v>
      </c>
      <c r="AC43" s="1508">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4"/>
      <c r="M44" s="2015"/>
      <c r="N44" s="2015"/>
      <c r="O44" s="2016"/>
      <c r="P44" s="3507"/>
      <c r="Q44" s="1133">
        <f t="shared" si="11"/>
        <v>111</v>
      </c>
      <c r="R44" s="1500" t="s">
        <v>11</v>
      </c>
      <c r="S44" s="1501">
        <f t="shared" si="12"/>
        <v>100</v>
      </c>
      <c r="T44" s="1500" t="s">
        <v>11</v>
      </c>
      <c r="U44" s="1501">
        <f t="shared" si="13"/>
        <v>100</v>
      </c>
      <c r="V44" s="1500" t="s">
        <v>11</v>
      </c>
      <c r="W44" s="1501">
        <f t="shared" si="14"/>
        <v>100</v>
      </c>
      <c r="X44" s="1502"/>
      <c r="Y44" s="3507"/>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1"/>
      <c r="M45" s="2013"/>
      <c r="N45" s="2013"/>
      <c r="O45" s="2020"/>
      <c r="P45" s="3507"/>
      <c r="Q45" s="1504">
        <f t="shared" si="11"/>
        <v>111</v>
      </c>
      <c r="R45" s="1505" t="s">
        <v>11</v>
      </c>
      <c r="S45" s="1506">
        <f t="shared" si="12"/>
        <v>100</v>
      </c>
      <c r="T45" s="1505" t="s">
        <v>11</v>
      </c>
      <c r="U45" s="1506">
        <f t="shared" si="13"/>
        <v>100</v>
      </c>
      <c r="V45" s="1505" t="s">
        <v>11</v>
      </c>
      <c r="W45" s="1506">
        <f t="shared" si="14"/>
        <v>100</v>
      </c>
      <c r="X45" s="1499"/>
      <c r="Y45" s="3507"/>
      <c r="Z45" s="1507">
        <f t="shared" si="15"/>
        <v>111</v>
      </c>
      <c r="AA45" s="1508">
        <f t="shared" si="3"/>
        <v>1</v>
      </c>
      <c r="AB45" s="1508">
        <f t="shared" si="4"/>
        <v>1</v>
      </c>
      <c r="AC45" s="1508">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1"/>
      <c r="M46" s="2013"/>
      <c r="N46" s="2013"/>
      <c r="O46" s="2020"/>
      <c r="P46" s="3590"/>
      <c r="Q46" s="1504">
        <f t="shared" si="11"/>
        <v>111</v>
      </c>
      <c r="R46" s="1505" t="s">
        <v>10</v>
      </c>
      <c r="S46" s="1506">
        <f t="shared" si="12"/>
        <v>100</v>
      </c>
      <c r="T46" s="1505" t="s">
        <v>10</v>
      </c>
      <c r="U46" s="1506">
        <f t="shared" si="13"/>
        <v>100</v>
      </c>
      <c r="V46" s="1505" t="s">
        <v>10</v>
      </c>
      <c r="W46" s="1506">
        <f t="shared" si="14"/>
        <v>100</v>
      </c>
      <c r="X46" s="1499"/>
      <c r="Y46" s="3590"/>
      <c r="Z46" s="1507">
        <f t="shared" si="15"/>
        <v>111</v>
      </c>
      <c r="AA46" s="1508">
        <f t="shared" si="3"/>
        <v>1</v>
      </c>
      <c r="AB46" s="1508">
        <f t="shared" si="4"/>
        <v>1</v>
      </c>
      <c r="AC46" s="1508">
        <f t="shared" si="5"/>
        <v>1</v>
      </c>
    </row>
    <row r="47" spans="1:29" ht="15">
      <c r="A47" s="600" t="s">
        <v>730</v>
      </c>
      <c r="B47" s="875"/>
      <c r="C47" s="2467" t="s">
        <v>9</v>
      </c>
      <c r="D47" s="2468"/>
      <c r="E47" s="2469">
        <v>17000</v>
      </c>
      <c r="F47" s="2470"/>
      <c r="G47" s="2471">
        <v>15000</v>
      </c>
      <c r="H47" s="2472"/>
      <c r="I47" s="2469">
        <v>16000</v>
      </c>
      <c r="J47" s="2472"/>
      <c r="K47" s="1534"/>
      <c r="L47" s="2023"/>
      <c r="M47" s="2024"/>
      <c r="N47" s="2013"/>
      <c r="O47" s="2024"/>
      <c r="P47" s="3502" t="str">
        <f>A47</f>
        <v>成交单价（元/平方米）</v>
      </c>
      <c r="Q47" s="3502"/>
      <c r="R47" s="3589">
        <f>E47</f>
        <v>17000</v>
      </c>
      <c r="S47" s="3589"/>
      <c r="T47" s="3589">
        <f>G47</f>
        <v>15000</v>
      </c>
      <c r="U47" s="3589"/>
      <c r="V47" s="3589">
        <f>I47</f>
        <v>16000</v>
      </c>
      <c r="W47" s="3589"/>
      <c r="X47" s="1494"/>
      <c r="Y47" s="1513"/>
      <c r="Z47" s="1494"/>
      <c r="AA47" s="1494"/>
      <c r="AB47" s="1494"/>
      <c r="AC47" s="1494"/>
    </row>
    <row r="48" spans="1:29" ht="15.75" thickBot="1">
      <c r="A48" s="608" t="s">
        <v>2740</v>
      </c>
      <c r="B48" s="876"/>
      <c r="C48" s="2473">
        <f>R49</f>
        <v>16617</v>
      </c>
      <c r="D48" s="3011" t="s">
        <v>2970</v>
      </c>
      <c r="E48" s="2474">
        <f>R48</f>
        <v>16346</v>
      </c>
      <c r="F48" s="3012"/>
      <c r="G48" s="2473">
        <f>T48</f>
        <v>15957</v>
      </c>
      <c r="H48" s="3012"/>
      <c r="I48" s="2474">
        <f>V48</f>
        <v>17548</v>
      </c>
      <c r="J48" s="3012"/>
      <c r="K48" s="3020">
        <f>F48+H48+J48</f>
        <v>0</v>
      </c>
      <c r="L48" s="2023"/>
      <c r="M48" s="2024"/>
      <c r="N48" s="2024"/>
      <c r="O48" s="2024"/>
      <c r="P48" s="3502" t="str">
        <f>A48</f>
        <v>比较价格（元/平方米）</v>
      </c>
      <c r="Q48" s="3502"/>
      <c r="R48" s="3589">
        <f>IF(F1="售价",ROUND(PRODUCT(R47,AA7:AA46),0),ROUND(PRODUCT(R47,AA7:AA46),1))</f>
        <v>16346</v>
      </c>
      <c r="S48" s="3589"/>
      <c r="T48" s="3589">
        <f>IF(F1="售价",ROUND(PRODUCT(T47,AB7:AB46),0),ROUND(PRODUCT(T47,AB7:AB46),1))</f>
        <v>15957</v>
      </c>
      <c r="U48" s="3589"/>
      <c r="V48" s="3589">
        <f>IF(F1="售价",ROUND(PRODUCT(V47,AC7:AC46),0),ROUND(PRODUCT(V47,AC7:AC46),1))</f>
        <v>17548</v>
      </c>
      <c r="W48" s="3589"/>
      <c r="X48" s="1494"/>
      <c r="Y48" s="1494"/>
      <c r="Z48" s="1494"/>
      <c r="AA48" s="1494"/>
      <c r="AB48" s="1494"/>
      <c r="AC48" s="1494"/>
    </row>
    <row r="49" spans="1:29" ht="15.75" thickBot="1">
      <c r="A49" s="612" t="s">
        <v>2902</v>
      </c>
      <c r="B49" s="613"/>
      <c r="C49" s="2475">
        <f>R49</f>
        <v>16617</v>
      </c>
      <c r="D49" s="2475"/>
      <c r="E49" s="2475"/>
      <c r="F49" s="2475"/>
      <c r="G49" s="2475"/>
      <c r="H49" s="2475"/>
      <c r="I49" s="2475"/>
      <c r="J49" s="2475"/>
      <c r="K49" s="1535"/>
      <c r="L49" s="2023"/>
      <c r="M49" s="2024"/>
      <c r="N49" s="2024"/>
      <c r="O49" s="2024"/>
      <c r="P49" s="3525" t="str">
        <f>A49</f>
        <v>估价对象XX用房的比较价格（楼面单价，元/平方米）</v>
      </c>
      <c r="Q49" s="3526"/>
      <c r="R49" s="3588">
        <f>IF(F1="售价",ROUND(IF(D48="简单平均",AVERAGE(R48:V48),R48*F48+T48*H48+V48*J48),0),ROUND(IF(D48="简单平均",AVERAGE(R48:V48),R48*F48+T48*H48+V48*J48),1))</f>
        <v>16617</v>
      </c>
      <c r="S49" s="3588"/>
      <c r="T49" s="3588"/>
      <c r="U49" s="3588"/>
      <c r="V49" s="3588"/>
      <c r="W49" s="3588"/>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5" t="s">
        <v>551</v>
      </c>
      <c r="D52" s="616"/>
      <c r="E52" s="617">
        <f>IF(E47&lt;E48,E48/E47-1,E47/E48-1)</f>
        <v>4.0009788327419527E-2</v>
      </c>
      <c r="F52" s="618" t="str">
        <f>IF(OR(E52&gt;=0.3,E52&lt;=-0.3),"超过30%","")</f>
        <v/>
      </c>
      <c r="G52" s="617">
        <f>IF(G47&lt;G48,G48/G47-1,G47/G48-1)</f>
        <v>6.3800000000000079E-2</v>
      </c>
      <c r="H52" s="618" t="str">
        <f>IF(OR(G52&gt;=0.3,G52&lt;=-0.3),"超过30%","")</f>
        <v/>
      </c>
      <c r="I52" s="617">
        <f>IF(I47&lt;I48,I48/I47-1,I47/I48-1)</f>
        <v>9.6749999999999892E-2</v>
      </c>
      <c r="J52" s="618"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552</v>
      </c>
      <c r="D53" s="619"/>
      <c r="E53" s="617">
        <f>IF(E48&lt;G48,G48/E48-1,E48/G48-1)</f>
        <v>2.4378015917779106E-2</v>
      </c>
      <c r="F53" s="618" t="str">
        <f>IF(OR(E53&gt;=0.2,E53&lt;=-0.2),"超过20%","")</f>
        <v/>
      </c>
      <c r="G53" s="617">
        <f>IF(G48&lt;I48,I48/G48-1,G48/I48-1)</f>
        <v>9.9705458419502513E-2</v>
      </c>
      <c r="H53" s="618" t="str">
        <f>IF(OR(G53&gt;=0.2,G53&lt;=-0.2),"超过20%","")</f>
        <v/>
      </c>
      <c r="I53" s="617">
        <f>IF(I48&lt;E48,E48/I48-1,I48/E48-1)</f>
        <v>7.3534809739385754E-2</v>
      </c>
      <c r="J53" s="618" t="str">
        <f>IF(OR(I53&gt;=0.2,I53&lt;=-0.2),"超过20%","")</f>
        <v/>
      </c>
      <c r="K53" s="3214"/>
      <c r="L53" s="2028"/>
      <c r="M53" s="2024"/>
      <c r="N53" s="2024"/>
      <c r="O53" s="2024"/>
      <c r="P53" s="2024"/>
      <c r="Q53" s="2024"/>
      <c r="R53" s="2024"/>
      <c r="S53" s="2024"/>
      <c r="T53" s="2024"/>
      <c r="U53" s="2024"/>
      <c r="V53" s="2024"/>
      <c r="W53" s="2024"/>
      <c r="X53" s="2024"/>
      <c r="Y53" s="2024"/>
      <c r="Z53" s="2024"/>
      <c r="AA53" s="2024"/>
      <c r="AB53" s="2024"/>
      <c r="AC53" s="2024"/>
    </row>
    <row r="54" spans="1:29" s="1297" customFormat="1" ht="13.5" customHeight="1">
      <c r="A54" s="3212"/>
      <c r="B54" s="3212"/>
      <c r="C54" s="615" t="s">
        <v>553</v>
      </c>
      <c r="D54" s="619"/>
      <c r="E54" s="617">
        <f>IF(E47&lt;G47,G47/E47-1,E47/G47-1)</f>
        <v>0.1333333333333333</v>
      </c>
      <c r="F54" s="618" t="str">
        <f>IF(OR(E54&gt;=0.3,E54&lt;=-0.3),"超过30%","")</f>
        <v/>
      </c>
      <c r="G54" s="617">
        <f>IF(G47&lt;I47,I47/G47-1,G47/I47-1)</f>
        <v>6.6666666666666652E-2</v>
      </c>
      <c r="H54" s="618" t="str">
        <f>IF(OR(G54&gt;=0.3,G54&lt;=-0.3),"超过30%","")</f>
        <v/>
      </c>
      <c r="I54" s="617">
        <f>IF(I47&lt;E47,E47/I47-1,I47/E47-1)</f>
        <v>6.25E-2</v>
      </c>
      <c r="J54" s="618" t="str">
        <f>IF(OR(I54&gt;=0.3,I54&lt;=-0.3),"超过30%","")</f>
        <v/>
      </c>
      <c r="K54" s="3215"/>
      <c r="L54" s="2031"/>
      <c r="M54" s="2025"/>
      <c r="N54" s="2025"/>
      <c r="O54" s="2025"/>
      <c r="P54" s="2025"/>
      <c r="Q54" s="2025"/>
      <c r="R54" s="2025"/>
      <c r="S54" s="2025"/>
      <c r="T54" s="2025"/>
      <c r="U54" s="2025"/>
      <c r="V54" s="2025"/>
      <c r="W54" s="2025"/>
      <c r="X54" s="2025"/>
      <c r="Y54" s="2025"/>
      <c r="Z54" s="2025"/>
      <c r="AA54" s="2025"/>
      <c r="AB54" s="2025"/>
      <c r="AC54" s="2025"/>
    </row>
    <row r="55" spans="1:29" s="1297"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9" customFormat="1" ht="15">
      <c r="A58" s="636" t="s">
        <v>523</v>
      </c>
      <c r="B58" s="637"/>
      <c r="C58" s="2518" t="str">
        <f>YEAR(C7)&amp;"-"&amp;MONTH(C7)</f>
        <v>2021-2</v>
      </c>
      <c r="D58" s="2518">
        <f>EDATE(C58,-1)</f>
        <v>44197</v>
      </c>
      <c r="E58" s="2518">
        <f t="shared" ref="E58:O58" si="16">EDATE(D58,-1)</f>
        <v>44166</v>
      </c>
      <c r="F58" s="2518">
        <f t="shared" si="16"/>
        <v>44136</v>
      </c>
      <c r="G58" s="2518">
        <f t="shared" si="16"/>
        <v>44105</v>
      </c>
      <c r="H58" s="2518">
        <f t="shared" si="16"/>
        <v>44075</v>
      </c>
      <c r="I58" s="2518">
        <f t="shared" si="16"/>
        <v>44044</v>
      </c>
      <c r="J58" s="2518">
        <f t="shared" si="16"/>
        <v>44013</v>
      </c>
      <c r="K58" s="2518">
        <f t="shared" si="16"/>
        <v>43983</v>
      </c>
      <c r="L58" s="2518">
        <f t="shared" si="16"/>
        <v>43952</v>
      </c>
      <c r="M58" s="2518">
        <f t="shared" si="16"/>
        <v>43922</v>
      </c>
      <c r="N58" s="2518">
        <f t="shared" si="16"/>
        <v>43891</v>
      </c>
      <c r="O58" s="2518">
        <f t="shared" si="16"/>
        <v>43862</v>
      </c>
      <c r="P58" s="2038"/>
      <c r="Q58" s="2039"/>
      <c r="R58" s="2039"/>
      <c r="S58" s="2039"/>
      <c r="T58" s="2039"/>
      <c r="U58" s="2039"/>
      <c r="V58" s="2039"/>
      <c r="W58" s="2039"/>
      <c r="X58" s="2039"/>
      <c r="Y58" s="2039"/>
      <c r="Z58" s="2039"/>
      <c r="AA58" s="2039"/>
      <c r="AB58" s="2039"/>
      <c r="AC58" s="2039"/>
    </row>
    <row r="59" spans="1:29" s="1202" customFormat="1" ht="15">
      <c r="A59" s="638"/>
      <c r="B59" s="639"/>
      <c r="C59" s="640">
        <v>100</v>
      </c>
      <c r="D59" s="641">
        <v>100</v>
      </c>
      <c r="E59" s="641">
        <v>100</v>
      </c>
      <c r="F59" s="641"/>
      <c r="G59" s="641"/>
      <c r="H59" s="641"/>
      <c r="I59" s="641"/>
      <c r="J59" s="641"/>
      <c r="K59" s="641"/>
      <c r="L59" s="641"/>
      <c r="M59" s="641"/>
      <c r="N59" s="641"/>
      <c r="O59" s="641"/>
      <c r="P59" s="2036"/>
      <c r="Q59" s="1902"/>
      <c r="R59" s="1902"/>
      <c r="S59" s="1902"/>
      <c r="T59" s="1902"/>
      <c r="U59" s="1902"/>
      <c r="V59" s="1902"/>
      <c r="W59" s="1902"/>
      <c r="X59" s="1902"/>
      <c r="Y59" s="1902"/>
      <c r="Z59" s="1902"/>
      <c r="AA59" s="1902"/>
      <c r="AB59" s="1902"/>
      <c r="AC59" s="1902"/>
    </row>
    <row r="60" spans="1:29" s="1202"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2"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2" customFormat="1" ht="15.75" thickBot="1">
      <c r="A62" s="650"/>
      <c r="B62" s="639"/>
      <c r="C62" s="877">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902"/>
    </row>
    <row r="63" spans="1:29">
      <c r="A63" s="655" t="s">
        <v>571</v>
      </c>
      <c r="B63" s="656" t="s">
        <v>528</v>
      </c>
      <c r="C63" s="695" t="str">
        <f>C9</f>
        <v>住宅</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3291" t="s">
        <v>3090</v>
      </c>
      <c r="D64" s="662"/>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 t="shared" ref="D66:I66" si="17">C66-$K10</f>
        <v>97</v>
      </c>
      <c r="E66" s="670">
        <f t="shared" si="17"/>
        <v>94</v>
      </c>
      <c r="F66" s="670">
        <f t="shared" si="17"/>
        <v>91</v>
      </c>
      <c r="G66" s="670">
        <f t="shared" si="17"/>
        <v>88</v>
      </c>
      <c r="H66" s="670">
        <f t="shared" si="17"/>
        <v>85</v>
      </c>
      <c r="I66" s="670">
        <f t="shared" si="17"/>
        <v>82</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1（含）-2</v>
      </c>
      <c r="D67" s="673" t="str">
        <f t="shared" ref="D67:L67" si="18">D68&amp;"（含）"&amp;"-"&amp;E68</f>
        <v>2（含）-3</v>
      </c>
      <c r="E67" s="673" t="str">
        <f t="shared" si="18"/>
        <v>3（含）-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v>1</v>
      </c>
      <c r="D68" s="534">
        <v>2</v>
      </c>
      <c r="E68" s="534">
        <v>3</v>
      </c>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4"/>
      <c r="O69" s="2044"/>
      <c r="P69" s="2043"/>
      <c r="Q69" s="2036"/>
      <c r="R69" s="2024"/>
      <c r="S69" s="2024"/>
      <c r="T69" s="2024"/>
      <c r="U69" s="2024"/>
      <c r="V69" s="2024"/>
      <c r="W69" s="2024"/>
      <c r="X69" s="2024"/>
      <c r="Y69" s="2024"/>
      <c r="Z69" s="2024"/>
      <c r="AA69" s="2024"/>
      <c r="AB69" s="2024"/>
      <c r="AC69" s="2024"/>
    </row>
    <row r="70" spans="1:29" s="1292"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2"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2"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2" customFormat="1" ht="15.75" thickBot="1">
      <c r="A73" s="678"/>
      <c r="B73" s="669"/>
      <c r="C73" s="683"/>
      <c r="D73" s="683"/>
      <c r="E73" s="683"/>
      <c r="F73" s="683"/>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2"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2"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97</v>
      </c>
      <c r="E77" s="670">
        <f>D77-$K15</f>
        <v>94</v>
      </c>
      <c r="F77" s="670">
        <f>E77-$K15</f>
        <v>91</v>
      </c>
      <c r="G77" s="670">
        <f>F77-$K15</f>
        <v>88</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98</v>
      </c>
      <c r="E79" s="670">
        <f>D79-$K17</f>
        <v>96</v>
      </c>
      <c r="F79" s="670">
        <f>E79-$K17</f>
        <v>94</v>
      </c>
      <c r="G79" s="670">
        <f>F79-$K17</f>
        <v>92</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2538</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98</v>
      </c>
      <c r="E81" s="670">
        <f>D81-$K19</f>
        <v>96</v>
      </c>
      <c r="F81" s="670">
        <f>E81-$K19</f>
        <v>94</v>
      </c>
      <c r="G81" s="670">
        <f>F81-$K19</f>
        <v>92</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2539</v>
      </c>
      <c r="C82" s="2439" t="s">
        <v>2540</v>
      </c>
      <c r="D82" s="2439" t="s">
        <v>2541</v>
      </c>
      <c r="E82" s="2439" t="s">
        <v>2542</v>
      </c>
      <c r="F82" s="2439" t="s">
        <v>2543</v>
      </c>
      <c r="G82" s="2439" t="s">
        <v>2544</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99</v>
      </c>
      <c r="E83" s="670">
        <f>D83-$K21</f>
        <v>98</v>
      </c>
      <c r="F83" s="670">
        <f>E83-$K21</f>
        <v>97</v>
      </c>
      <c r="G83" s="670">
        <f>F83-$K21</f>
        <v>96</v>
      </c>
      <c r="H83" s="923"/>
      <c r="I83" s="923"/>
      <c r="J83" s="923"/>
      <c r="K83" s="923"/>
      <c r="L83" s="923"/>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738</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98</v>
      </c>
      <c r="E85" s="670">
        <f>D85-$K23</f>
        <v>96</v>
      </c>
      <c r="F85" s="670">
        <f>E85-$K23</f>
        <v>94</v>
      </c>
      <c r="G85" s="670">
        <f>F85-$K23</f>
        <v>92</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2" customFormat="1" ht="15.75" thickTop="1">
      <c r="A86" s="700"/>
      <c r="B86" s="1807" t="s">
        <v>2245</v>
      </c>
      <c r="C86" s="3290" t="s">
        <v>3133</v>
      </c>
      <c r="D86" s="679"/>
      <c r="E86" s="679"/>
      <c r="F86" s="679"/>
      <c r="G86" s="679"/>
      <c r="H86" s="679"/>
      <c r="I86" s="679"/>
      <c r="J86" s="679"/>
      <c r="K86" s="679"/>
      <c r="L86" s="878"/>
      <c r="M86" s="879"/>
      <c r="N86" s="2040"/>
      <c r="O86" s="2040"/>
      <c r="P86" s="2043"/>
      <c r="Q86" s="2036"/>
      <c r="R86" s="1902"/>
      <c r="S86" s="1902"/>
      <c r="T86" s="1902"/>
      <c r="U86" s="1902"/>
      <c r="V86" s="1902"/>
      <c r="W86" s="1902"/>
      <c r="X86" s="1902"/>
      <c r="Y86" s="1902"/>
      <c r="Z86" s="1902"/>
      <c r="AA86" s="1902"/>
      <c r="AB86" s="1902"/>
      <c r="AC86" s="1902"/>
    </row>
    <row r="87" spans="1:29" s="1202" customFormat="1" ht="15.75" thickBot="1">
      <c r="A87" s="700"/>
      <c r="B87" s="669"/>
      <c r="C87" s="703">
        <v>100</v>
      </c>
      <c r="D87" s="670" t="e">
        <f>$C$87-($C$86-D86)*$K$25</f>
        <v>#VALUE!</v>
      </c>
      <c r="E87" s="670" t="e">
        <f t="shared" ref="E87:M87" si="20">$C$87-($C$86-E86)*$K$25</f>
        <v>#VALUE!</v>
      </c>
      <c r="F87" s="670" t="e">
        <f t="shared" si="20"/>
        <v>#VALUE!</v>
      </c>
      <c r="G87" s="670" t="e">
        <f t="shared" si="20"/>
        <v>#VALUE!</v>
      </c>
      <c r="H87" s="670" t="e">
        <f t="shared" si="20"/>
        <v>#VALUE!</v>
      </c>
      <c r="I87" s="670" t="e">
        <f t="shared" si="20"/>
        <v>#VALUE!</v>
      </c>
      <c r="J87" s="670" t="e">
        <f t="shared" si="20"/>
        <v>#VALUE!</v>
      </c>
      <c r="K87" s="670" t="e">
        <f t="shared" si="20"/>
        <v>#VALUE!</v>
      </c>
      <c r="L87" s="670" t="e">
        <f t="shared" si="20"/>
        <v>#VALUE!</v>
      </c>
      <c r="M87" s="670" t="e">
        <f t="shared" si="20"/>
        <v>#VALUE!</v>
      </c>
      <c r="N87" s="2044"/>
      <c r="O87" s="2044"/>
      <c r="P87" s="2043"/>
      <c r="Q87" s="2036"/>
      <c r="R87" s="1902"/>
      <c r="S87" s="1902"/>
      <c r="T87" s="1902"/>
      <c r="U87" s="1902"/>
      <c r="V87" s="1902"/>
      <c r="W87" s="1902"/>
      <c r="X87" s="1902"/>
      <c r="Y87" s="1902"/>
      <c r="Z87" s="1902"/>
      <c r="AA87" s="1902"/>
      <c r="AB87" s="1902"/>
      <c r="AC87" s="1902"/>
    </row>
    <row r="88" spans="1:29" s="1202" customFormat="1" ht="15.75" thickTop="1">
      <c r="A88" s="700"/>
      <c r="B88" s="664" t="s">
        <v>740</v>
      </c>
      <c r="C88" s="3290" t="s">
        <v>3113</v>
      </c>
      <c r="D88" s="3290" t="s">
        <v>3114</v>
      </c>
      <c r="E88" s="3290" t="s">
        <v>3115</v>
      </c>
      <c r="F88" s="3295" t="s">
        <v>3116</v>
      </c>
      <c r="G88" s="3290" t="s">
        <v>3117</v>
      </c>
      <c r="H88" s="3290" t="s">
        <v>3118</v>
      </c>
      <c r="I88" s="3290" t="s">
        <v>3119</v>
      </c>
      <c r="J88" s="3290" t="s">
        <v>3120</v>
      </c>
      <c r="K88" s="679"/>
      <c r="L88" s="679"/>
      <c r="M88" s="879"/>
      <c r="N88" s="2040"/>
      <c r="O88" s="2040"/>
      <c r="P88" s="2043"/>
      <c r="Q88" s="2036"/>
      <c r="R88" s="1902"/>
      <c r="S88" s="1902"/>
      <c r="T88" s="1902"/>
      <c r="U88" s="1902"/>
      <c r="V88" s="1902"/>
      <c r="W88" s="1902"/>
      <c r="X88" s="1902"/>
      <c r="Y88" s="1902"/>
      <c r="Z88" s="1902"/>
      <c r="AA88" s="1902"/>
      <c r="AB88" s="1902"/>
      <c r="AC88" s="1902"/>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4"/>
      <c r="O89" s="2044"/>
      <c r="P89" s="2043"/>
      <c r="Q89" s="2036"/>
      <c r="R89" s="1902"/>
      <c r="S89" s="1902"/>
      <c r="T89" s="1902"/>
      <c r="U89" s="1902"/>
      <c r="V89" s="1902"/>
      <c r="W89" s="1902"/>
      <c r="X89" s="1902"/>
      <c r="Y89" s="1902"/>
      <c r="Z89" s="1902"/>
      <c r="AA89" s="1902"/>
      <c r="AB89" s="1902"/>
      <c r="AC89" s="1902"/>
    </row>
    <row r="90" spans="1:29" s="1292" customFormat="1" ht="15.75" thickTop="1">
      <c r="A90" s="678"/>
      <c r="B90" s="664" t="str">
        <f>B27</f>
        <v>道路级别</v>
      </c>
      <c r="C90" s="3290" t="s">
        <v>3121</v>
      </c>
      <c r="D90" s="3290" t="s">
        <v>3122</v>
      </c>
      <c r="E90" s="3290" t="s">
        <v>3123</v>
      </c>
      <c r="F90" s="3290" t="s">
        <v>3124</v>
      </c>
      <c r="G90" s="3290" t="s">
        <v>3125</v>
      </c>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2" customFormat="1" ht="15.75" thickBot="1">
      <c r="A91" s="678"/>
      <c r="B91" s="669"/>
      <c r="C91" s="683"/>
      <c r="D91" s="683"/>
      <c r="E91" s="683"/>
      <c r="F91" s="683"/>
      <c r="G91" s="683"/>
      <c r="H91" s="684"/>
      <c r="I91" s="684"/>
      <c r="J91" s="684"/>
      <c r="K91" s="684"/>
      <c r="L91" s="684"/>
      <c r="M91" s="685"/>
      <c r="N91" s="2045"/>
      <c r="O91" s="2045"/>
      <c r="P91" s="2046"/>
      <c r="Q91" s="2047"/>
      <c r="R91" s="2048"/>
      <c r="S91" s="2048"/>
      <c r="T91" s="2048"/>
      <c r="U91" s="2048"/>
      <c r="V91" s="2048"/>
      <c r="W91" s="2048"/>
      <c r="X91" s="2048"/>
      <c r="Y91" s="2048"/>
      <c r="Z91" s="2048"/>
      <c r="AA91" s="2048"/>
      <c r="AB91" s="2048"/>
      <c r="AC91" s="2048"/>
    </row>
    <row r="92" spans="1:29" ht="15.75" thickTop="1">
      <c r="A92" s="660"/>
      <c r="B92" s="664">
        <f>B28</f>
        <v>111</v>
      </c>
      <c r="C92" s="679"/>
      <c r="D92" s="679"/>
      <c r="E92" s="679"/>
      <c r="F92" s="679"/>
      <c r="G92" s="709"/>
      <c r="H92" s="709"/>
      <c r="I92" s="709"/>
      <c r="J92" s="709"/>
      <c r="K92" s="710"/>
      <c r="L92" s="711"/>
      <c r="M92" s="712"/>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83"/>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83"/>
      <c r="E95" s="683"/>
      <c r="F95" s="683"/>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91"/>
      <c r="D97" s="691"/>
      <c r="E97" s="691"/>
      <c r="F97" s="691"/>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713"/>
      <c r="D98" s="713"/>
      <c r="E98" s="713"/>
      <c r="F98" s="713"/>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81"/>
      <c r="B99" s="690"/>
      <c r="C99" s="717"/>
      <c r="D99" s="717"/>
      <c r="E99" s="717"/>
      <c r="F99" s="717"/>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741</v>
      </c>
      <c r="C100" s="3275" t="s">
        <v>3096</v>
      </c>
      <c r="D100" s="3275" t="s">
        <v>3129</v>
      </c>
      <c r="E100" s="3275" t="s">
        <v>3130</v>
      </c>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2">C101-$K32</f>
        <v>97</v>
      </c>
      <c r="E101" s="670">
        <f t="shared" si="22"/>
        <v>94</v>
      </c>
      <c r="F101" s="670">
        <f t="shared" si="22"/>
        <v>91</v>
      </c>
      <c r="G101" s="670">
        <f t="shared" si="22"/>
        <v>88</v>
      </c>
      <c r="H101" s="670">
        <f t="shared" si="22"/>
        <v>85</v>
      </c>
      <c r="I101" s="670">
        <f t="shared" si="22"/>
        <v>82</v>
      </c>
      <c r="J101" s="670">
        <f t="shared" si="22"/>
        <v>79</v>
      </c>
      <c r="K101" s="670">
        <f t="shared" si="22"/>
        <v>76</v>
      </c>
      <c r="L101" s="670">
        <f t="shared" si="22"/>
        <v>73</v>
      </c>
      <c r="M101" s="670">
        <f t="shared" si="22"/>
        <v>70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60"/>
      <c r="B102" s="664" t="s">
        <v>742</v>
      </c>
      <c r="C102" s="699" t="str">
        <f>C103&amp;"(含)"&amp;"-"&amp;D103</f>
        <v>0(含)-50000</v>
      </c>
      <c r="D102" s="699" t="str">
        <f t="shared" ref="D102:L102" si="23">D103&amp;"(含)"&amp;"-"&amp;E103</f>
        <v>50000(含)-100000</v>
      </c>
      <c r="E102" s="699" t="str">
        <f t="shared" si="23"/>
        <v>100000(含)-200000</v>
      </c>
      <c r="F102" s="699" t="str">
        <f t="shared" si="23"/>
        <v>200000(含)-500000</v>
      </c>
      <c r="G102" s="699" t="str">
        <f t="shared" si="23"/>
        <v>500000(含)-</v>
      </c>
      <c r="H102" s="699" t="str">
        <f t="shared" si="23"/>
        <v>(含)-</v>
      </c>
      <c r="I102" s="699" t="str">
        <f t="shared" si="23"/>
        <v>(含)-</v>
      </c>
      <c r="J102" s="699" t="str">
        <f t="shared" si="23"/>
        <v>(含)-</v>
      </c>
      <c r="K102" s="699" t="str">
        <f t="shared" si="23"/>
        <v>(含)-</v>
      </c>
      <c r="L102" s="699" t="str">
        <f t="shared" si="23"/>
        <v>(含)-</v>
      </c>
      <c r="M102" s="699"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2" customFormat="1">
      <c r="A103" s="719"/>
      <c r="B103" s="720"/>
      <c r="C103" s="721">
        <v>0</v>
      </c>
      <c r="D103" s="721">
        <v>50000</v>
      </c>
      <c r="E103" s="721">
        <v>100000</v>
      </c>
      <c r="F103" s="721">
        <v>200000</v>
      </c>
      <c r="G103" s="721">
        <v>500000</v>
      </c>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Bot="1">
      <c r="A104" s="678"/>
      <c r="B104" s="669"/>
      <c r="C104" s="683">
        <v>92</v>
      </c>
      <c r="D104" s="662">
        <v>94</v>
      </c>
      <c r="E104" s="662">
        <v>96</v>
      </c>
      <c r="F104" s="662">
        <v>98</v>
      </c>
      <c r="G104" s="662">
        <v>100</v>
      </c>
      <c r="H104" s="662"/>
      <c r="I104" s="662"/>
      <c r="J104" s="662"/>
      <c r="K104" s="662"/>
      <c r="L104" s="662"/>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743</v>
      </c>
      <c r="C105" s="3290" t="s">
        <v>3097</v>
      </c>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744</v>
      </c>
      <c r="C107" s="3289" t="s">
        <v>3131</v>
      </c>
      <c r="D107" s="3289" t="s">
        <v>3132</v>
      </c>
      <c r="E107" s="70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745</v>
      </c>
      <c r="C109" s="3290" t="s">
        <v>3109</v>
      </c>
      <c r="D109" s="3290" t="s">
        <v>3111</v>
      </c>
      <c r="E109" s="3290" t="s">
        <v>3112</v>
      </c>
      <c r="F109" s="709"/>
      <c r="G109" s="709"/>
      <c r="H109" s="70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4"/>
      <c r="O110" s="2044"/>
      <c r="P110" s="2043"/>
      <c r="Q110" s="2036"/>
      <c r="R110" s="2024"/>
      <c r="S110" s="2024"/>
      <c r="T110" s="2024"/>
      <c r="U110" s="2024"/>
      <c r="V110" s="2024"/>
      <c r="W110" s="2024"/>
      <c r="X110" s="2024"/>
      <c r="Y110" s="2024"/>
      <c r="Z110" s="2024"/>
      <c r="AA110" s="2024"/>
      <c r="AB110" s="2024"/>
      <c r="AC110" s="2024"/>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5"/>
      <c r="O111" s="2045"/>
      <c r="P111" s="2046"/>
      <c r="Q111" s="2047"/>
      <c r="R111" s="2048"/>
      <c r="S111" s="2048"/>
      <c r="T111" s="2048"/>
      <c r="U111" s="2048"/>
      <c r="V111" s="2048"/>
      <c r="W111" s="2048"/>
      <c r="X111" s="2048"/>
      <c r="Y111" s="2048"/>
      <c r="Z111" s="2048"/>
      <c r="AA111" s="2048"/>
      <c r="AB111" s="2048"/>
      <c r="AC111" s="2048"/>
    </row>
    <row r="112" spans="1:29" s="1292" customFormat="1">
      <c r="A112" s="719"/>
      <c r="B112" s="672"/>
      <c r="C112" s="882">
        <v>0.5</v>
      </c>
      <c r="D112" s="882">
        <v>0.6</v>
      </c>
      <c r="E112" s="882">
        <v>0.7</v>
      </c>
      <c r="F112" s="882">
        <v>0.8</v>
      </c>
      <c r="G112" s="882">
        <v>0.9</v>
      </c>
      <c r="H112" s="882">
        <v>1.0001</v>
      </c>
      <c r="I112" s="882"/>
      <c r="J112" s="883"/>
      <c r="K112" s="883"/>
      <c r="L112" s="884"/>
      <c r="M112" s="885"/>
      <c r="N112" s="2045"/>
      <c r="O112" s="2045"/>
      <c r="P112" s="2046"/>
      <c r="Q112" s="2047"/>
      <c r="R112" s="2048"/>
      <c r="S112" s="2048"/>
      <c r="T112" s="2048"/>
      <c r="U112" s="2048"/>
      <c r="V112" s="2048"/>
      <c r="W112" s="2048"/>
      <c r="X112" s="2048"/>
      <c r="Y112" s="2048"/>
      <c r="Z112" s="2048"/>
      <c r="AA112" s="2048"/>
      <c r="AB112" s="2048"/>
      <c r="AC112" s="2048"/>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747</v>
      </c>
      <c r="C114" s="3290" t="s">
        <v>3098</v>
      </c>
      <c r="D114" s="3290" t="s">
        <v>3100</v>
      </c>
      <c r="E114" s="3289" t="s">
        <v>3101</v>
      </c>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99</v>
      </c>
      <c r="E115" s="670">
        <f t="shared" si="27"/>
        <v>98</v>
      </c>
      <c r="F115" s="670">
        <f t="shared" si="27"/>
        <v>97</v>
      </c>
      <c r="G115" s="670">
        <f t="shared" si="27"/>
        <v>96</v>
      </c>
      <c r="H115" s="670">
        <f t="shared" si="27"/>
        <v>95</v>
      </c>
      <c r="I115" s="670">
        <f t="shared" si="27"/>
        <v>94</v>
      </c>
      <c r="J115" s="670">
        <f t="shared" si="27"/>
        <v>93</v>
      </c>
      <c r="K115" s="670">
        <f t="shared" si="27"/>
        <v>92</v>
      </c>
      <c r="L115" s="670">
        <f t="shared" si="27"/>
        <v>91</v>
      </c>
      <c r="M115" s="670">
        <f t="shared" si="27"/>
        <v>90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1807" t="s">
        <v>2537</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748</v>
      </c>
      <c r="C118" s="709"/>
      <c r="D118" s="709"/>
      <c r="E118" s="709"/>
      <c r="F118" s="709"/>
      <c r="G118" s="709"/>
      <c r="H118" s="709"/>
      <c r="I118" s="709"/>
      <c r="J118" s="709"/>
      <c r="K118" s="710"/>
      <c r="L118" s="711"/>
      <c r="M118" s="71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4"/>
      <c r="O119" s="2044"/>
      <c r="P119" s="2043"/>
      <c r="Q119" s="2036"/>
      <c r="R119" s="2024"/>
      <c r="S119" s="2024"/>
      <c r="T119" s="2024"/>
      <c r="U119" s="2024"/>
      <c r="V119" s="2024"/>
      <c r="W119" s="2024"/>
      <c r="X119" s="2024"/>
      <c r="Y119" s="2024"/>
      <c r="Z119" s="2024"/>
      <c r="AA119" s="2024"/>
      <c r="AB119" s="2024"/>
      <c r="AC119" s="2024"/>
    </row>
    <row r="120" spans="1:29" s="1292" customFormat="1" ht="28.5" thickTop="1">
      <c r="A120" s="719"/>
      <c r="B120" s="664" t="s">
        <v>727</v>
      </c>
      <c r="C120" s="679"/>
      <c r="D120" s="679"/>
      <c r="E120" s="679"/>
      <c r="F120" s="679"/>
      <c r="G120" s="679"/>
      <c r="H120" s="679"/>
      <c r="I120" s="679"/>
      <c r="J120" s="679"/>
      <c r="K120" s="679"/>
      <c r="L120" s="878"/>
      <c r="M120" s="879"/>
      <c r="N120" s="2045"/>
      <c r="O120" s="2045"/>
      <c r="P120" s="2046"/>
      <c r="Q120" s="2047"/>
      <c r="R120" s="2048"/>
      <c r="S120" s="2048"/>
      <c r="T120" s="2048"/>
      <c r="U120" s="2048"/>
      <c r="V120" s="2048"/>
      <c r="W120" s="2048"/>
      <c r="X120" s="2048"/>
      <c r="Y120" s="2048"/>
      <c r="Z120" s="2048"/>
      <c r="AA120" s="2048"/>
      <c r="AB120" s="2048"/>
      <c r="AC120" s="2048"/>
    </row>
    <row r="121" spans="1:29" s="1292" customFormat="1" ht="15.75" thickBot="1">
      <c r="A121" s="678"/>
      <c r="B121" s="661"/>
      <c r="C121" s="683"/>
      <c r="D121" s="662"/>
      <c r="E121" s="662"/>
      <c r="F121" s="662"/>
      <c r="G121" s="662"/>
      <c r="H121" s="662"/>
      <c r="I121" s="662"/>
      <c r="J121" s="662"/>
      <c r="K121" s="662"/>
      <c r="L121" s="662"/>
      <c r="M121" s="662"/>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749</v>
      </c>
      <c r="C122" s="3290" t="s">
        <v>3104</v>
      </c>
      <c r="D122" s="3290" t="s">
        <v>3107</v>
      </c>
      <c r="E122" s="3290" t="s">
        <v>3108</v>
      </c>
      <c r="F122" s="3289" t="s">
        <v>3106</v>
      </c>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98</v>
      </c>
      <c r="E123" s="670">
        <f t="shared" si="29"/>
        <v>96</v>
      </c>
      <c r="F123" s="670">
        <f t="shared" si="29"/>
        <v>94</v>
      </c>
      <c r="G123" s="670">
        <f t="shared" si="29"/>
        <v>92</v>
      </c>
      <c r="H123" s="670">
        <f t="shared" si="29"/>
        <v>90</v>
      </c>
      <c r="I123" s="670">
        <f t="shared" si="29"/>
        <v>88</v>
      </c>
      <c r="J123" s="670">
        <f t="shared" si="29"/>
        <v>86</v>
      </c>
      <c r="K123" s="670">
        <f t="shared" si="29"/>
        <v>84</v>
      </c>
      <c r="L123" s="670">
        <f t="shared" si="29"/>
        <v>82</v>
      </c>
      <c r="M123" s="670">
        <f t="shared" si="29"/>
        <v>80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99</v>
      </c>
      <c r="E125" s="670">
        <f>D125-$K43</f>
        <v>98</v>
      </c>
      <c r="F125" s="670">
        <f>E125-$K43</f>
        <v>97</v>
      </c>
      <c r="G125" s="670">
        <f>F125-$K43</f>
        <v>96</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2"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2"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83"/>
      <c r="E129" s="683"/>
      <c r="F129" s="683"/>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81"/>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2246</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2247</v>
      </c>
      <c r="C137" s="1830"/>
      <c r="D137" s="1830"/>
      <c r="E137" s="1830"/>
      <c r="F137" s="1830"/>
      <c r="G137" s="1831"/>
      <c r="H137" s="1832"/>
      <c r="I137" s="1833" t="s">
        <v>2248</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2249</v>
      </c>
      <c r="D138" s="1836" t="s">
        <v>2250</v>
      </c>
      <c r="E138" s="1837" t="s">
        <v>2251</v>
      </c>
      <c r="F138" s="1838" t="s">
        <v>2252</v>
      </c>
      <c r="G138" s="1836" t="s">
        <v>2253</v>
      </c>
      <c r="H138" s="1839" t="s">
        <v>2254</v>
      </c>
      <c r="I138" s="1840"/>
      <c r="J138" s="1836" t="s">
        <v>2255</v>
      </c>
      <c r="K138" s="1839" t="s">
        <v>2256</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2257</v>
      </c>
      <c r="E139" s="1810">
        <v>100</v>
      </c>
      <c r="F139" s="1811">
        <v>102.5</v>
      </c>
      <c r="G139" s="1841" t="s">
        <v>2258</v>
      </c>
      <c r="H139" s="1812">
        <v>105</v>
      </c>
      <c r="I139" s="1842" t="s">
        <v>2259</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2260</v>
      </c>
      <c r="J140" s="834">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2261</v>
      </c>
      <c r="J141" s="834">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2262</v>
      </c>
      <c r="J142" s="834">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2263</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2264</v>
      </c>
      <c r="E144" s="1816">
        <v>102</v>
      </c>
      <c r="F144" s="1822">
        <v>100</v>
      </c>
      <c r="G144" s="1845" t="s">
        <v>2264</v>
      </c>
      <c r="H144" s="1818">
        <v>105</v>
      </c>
      <c r="I144" s="1844" t="s">
        <v>2263</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2265</v>
      </c>
      <c r="C145" s="1823">
        <f>ROUND(MAX(C139:C144)/MIN(C139:C144)-1,3)</f>
        <v>7.2999999999999995E-2</v>
      </c>
      <c r="D145" s="1847"/>
      <c r="E145" s="1847"/>
      <c r="F145" s="1848" t="s">
        <v>2266</v>
      </c>
      <c r="G145" s="1849"/>
      <c r="H145" s="1850"/>
      <c r="I145" s="1851" t="s">
        <v>2263</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2274</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2275</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7" t="s">
        <v>2452</v>
      </c>
      <c r="B1" s="3608"/>
      <c r="C1" s="3609"/>
      <c r="D1" s="3610">
        <f>SUM(I10,I15,I20,I21,I23)</f>
        <v>0</v>
      </c>
      <c r="E1" s="3610"/>
      <c r="F1" s="3610"/>
      <c r="G1" s="3610"/>
      <c r="H1" s="3610"/>
      <c r="I1" s="3611"/>
    </row>
    <row r="2" spans="1:9">
      <c r="A2" s="3597" t="s">
        <v>2453</v>
      </c>
      <c r="B2" s="3598" t="s">
        <v>2454</v>
      </c>
      <c r="C2" s="3598"/>
      <c r="D2" s="2357" t="s">
        <v>2455</v>
      </c>
      <c r="E2" s="2357" t="s">
        <v>2456</v>
      </c>
      <c r="F2" s="2357" t="s">
        <v>2457</v>
      </c>
      <c r="G2" s="2357" t="s">
        <v>2458</v>
      </c>
      <c r="H2" s="2357" t="s">
        <v>2459</v>
      </c>
      <c r="I2" s="2358" t="s">
        <v>2460</v>
      </c>
    </row>
    <row r="3" spans="1:9">
      <c r="A3" s="3597"/>
      <c r="B3" s="3598" t="s">
        <v>2461</v>
      </c>
      <c r="C3" s="3598"/>
      <c r="D3" s="2359"/>
      <c r="E3" s="2357"/>
      <c r="F3" s="2360"/>
      <c r="G3" s="2360"/>
      <c r="H3" s="2361"/>
      <c r="I3" s="2362">
        <f>ROUND(D3*E3*F3*G3*H3/10000,0)</f>
        <v>0</v>
      </c>
    </row>
    <row r="4" spans="1:9">
      <c r="A4" s="3597"/>
      <c r="B4" s="3598" t="s">
        <v>2462</v>
      </c>
      <c r="C4" s="3598"/>
      <c r="D4" s="2359"/>
      <c r="E4" s="2357"/>
      <c r="F4" s="2360"/>
      <c r="G4" s="2360"/>
      <c r="H4" s="2361"/>
      <c r="I4" s="2362">
        <f t="shared" ref="I4:I9" si="0">ROUND(D4*E4*F4*G4*H4/10000,0)</f>
        <v>0</v>
      </c>
    </row>
    <row r="5" spans="1:9">
      <c r="A5" s="3597"/>
      <c r="B5" s="3598" t="s">
        <v>2463</v>
      </c>
      <c r="C5" s="3598"/>
      <c r="D5" s="2359"/>
      <c r="E5" s="2357"/>
      <c r="F5" s="2360"/>
      <c r="G5" s="2360"/>
      <c r="H5" s="2361"/>
      <c r="I5" s="2362">
        <f t="shared" si="0"/>
        <v>0</v>
      </c>
    </row>
    <row r="6" spans="1:9">
      <c r="A6" s="3597"/>
      <c r="B6" s="3598" t="s">
        <v>2464</v>
      </c>
      <c r="C6" s="3598"/>
      <c r="D6" s="2359"/>
      <c r="E6" s="2357"/>
      <c r="F6" s="2360"/>
      <c r="G6" s="2360"/>
      <c r="H6" s="2361"/>
      <c r="I6" s="2362">
        <f t="shared" si="0"/>
        <v>0</v>
      </c>
    </row>
    <row r="7" spans="1:9">
      <c r="A7" s="3597"/>
      <c r="B7" s="3598" t="s">
        <v>2465</v>
      </c>
      <c r="C7" s="3598"/>
      <c r="D7" s="2359"/>
      <c r="E7" s="2357"/>
      <c r="F7" s="2360"/>
      <c r="G7" s="2360"/>
      <c r="H7" s="2361"/>
      <c r="I7" s="2362">
        <f t="shared" si="0"/>
        <v>0</v>
      </c>
    </row>
    <row r="8" spans="1:9">
      <c r="A8" s="3597"/>
      <c r="B8" s="3598" t="s">
        <v>2466</v>
      </c>
      <c r="C8" s="3598"/>
      <c r="D8" s="2359"/>
      <c r="E8" s="2357"/>
      <c r="F8" s="2360"/>
      <c r="G8" s="2360"/>
      <c r="H8" s="2361"/>
      <c r="I8" s="2362">
        <f t="shared" si="0"/>
        <v>0</v>
      </c>
    </row>
    <row r="9" spans="1:9">
      <c r="A9" s="3597"/>
      <c r="B9" s="3598" t="s">
        <v>2467</v>
      </c>
      <c r="C9" s="3598"/>
      <c r="D9" s="2359"/>
      <c r="E9" s="2357"/>
      <c r="F9" s="2360"/>
      <c r="G9" s="2360"/>
      <c r="H9" s="2361"/>
      <c r="I9" s="2362">
        <f t="shared" si="0"/>
        <v>0</v>
      </c>
    </row>
    <row r="10" spans="1:9">
      <c r="A10" s="3597"/>
      <c r="B10" s="3599" t="s">
        <v>2468</v>
      </c>
      <c r="C10" s="3599"/>
      <c r="D10" s="2363">
        <v>527</v>
      </c>
      <c r="E10" s="2363" t="e">
        <f>ROUND(D1*10000/D10/H9,0)</f>
        <v>#DIV/0!</v>
      </c>
      <c r="F10" s="2364"/>
      <c r="G10" s="2364"/>
      <c r="H10" s="2365"/>
      <c r="I10" s="2366">
        <f>SUM(I3:I9)</f>
        <v>0</v>
      </c>
    </row>
    <row r="11" spans="1:9" ht="14.25">
      <c r="A11" s="3597" t="s">
        <v>2469</v>
      </c>
      <c r="B11" s="3598" t="s">
        <v>2470</v>
      </c>
      <c r="C11" s="3598"/>
      <c r="D11" s="2359" t="s">
        <v>2471</v>
      </c>
      <c r="E11" s="2359" t="s">
        <v>2472</v>
      </c>
      <c r="F11" s="2360" t="s">
        <v>2473</v>
      </c>
      <c r="G11" s="2360" t="s">
        <v>2474</v>
      </c>
      <c r="H11" s="2367" t="s">
        <v>2475</v>
      </c>
      <c r="I11" s="2358" t="s">
        <v>2476</v>
      </c>
    </row>
    <row r="12" spans="1:9">
      <c r="A12" s="3597"/>
      <c r="B12" s="3598" t="s">
        <v>2477</v>
      </c>
      <c r="C12" s="3598"/>
      <c r="D12" s="2359"/>
      <c r="E12" s="2359"/>
      <c r="F12" s="2360"/>
      <c r="G12" s="2361"/>
      <c r="H12" s="2368"/>
      <c r="I12" s="2358">
        <f>ROUND(D12*E12*F12*G12/10000,0)</f>
        <v>0</v>
      </c>
    </row>
    <row r="13" spans="1:9">
      <c r="A13" s="3597"/>
      <c r="B13" s="3598" t="s">
        <v>2478</v>
      </c>
      <c r="C13" s="3598"/>
      <c r="D13" s="2359"/>
      <c r="E13" s="2359"/>
      <c r="F13" s="2360"/>
      <c r="G13" s="2361"/>
      <c r="H13" s="2368"/>
      <c r="I13" s="2358">
        <f>ROUND(D13*E13*F13*G13/10000,0)</f>
        <v>0</v>
      </c>
    </row>
    <row r="14" spans="1:9">
      <c r="A14" s="3597"/>
      <c r="B14" s="3598" t="s">
        <v>2479</v>
      </c>
      <c r="C14" s="3598"/>
      <c r="D14" s="2359"/>
      <c r="E14" s="2359"/>
      <c r="F14" s="2360"/>
      <c r="G14" s="2361"/>
      <c r="H14" s="2368"/>
      <c r="I14" s="2358">
        <f>ROUND(D14*E14*F14*G14/10000,0)</f>
        <v>0</v>
      </c>
    </row>
    <row r="15" spans="1:9">
      <c r="A15" s="3597"/>
      <c r="B15" s="3599" t="s">
        <v>2468</v>
      </c>
      <c r="C15" s="3599"/>
      <c r="D15" s="2363"/>
      <c r="E15" s="2363">
        <f>SUM(E12:E14)</f>
        <v>0</v>
      </c>
      <c r="F15" s="2364"/>
      <c r="G15" s="2361"/>
      <c r="H15" s="2368"/>
      <c r="I15" s="2369">
        <f>SUM(I12:I14)</f>
        <v>0</v>
      </c>
    </row>
    <row r="16" spans="1:9" ht="24">
      <c r="A16" s="3597" t="s">
        <v>2480</v>
      </c>
      <c r="B16" s="3598" t="s">
        <v>2481</v>
      </c>
      <c r="C16" s="3598"/>
      <c r="D16" s="2359" t="s">
        <v>2482</v>
      </c>
      <c r="E16" s="2370" t="s">
        <v>2483</v>
      </c>
      <c r="F16" s="2360" t="s">
        <v>2484</v>
      </c>
      <c r="G16" s="2361" t="s">
        <v>2474</v>
      </c>
      <c r="H16" s="2367" t="s">
        <v>2475</v>
      </c>
      <c r="I16" s="2358" t="s">
        <v>2476</v>
      </c>
    </row>
    <row r="17" spans="1:9" ht="14.25">
      <c r="A17" s="3597"/>
      <c r="B17" s="3598" t="s">
        <v>2485</v>
      </c>
      <c r="C17" s="3598"/>
      <c r="D17" s="2359"/>
      <c r="E17" s="2359"/>
      <c r="F17" s="2360"/>
      <c r="G17" s="2361"/>
      <c r="H17" s="2371"/>
      <c r="I17" s="2372">
        <f>ROUND(D17*E17*F17*G17/10000,0)</f>
        <v>0</v>
      </c>
    </row>
    <row r="18" spans="1:9" ht="14.25">
      <c r="A18" s="3597"/>
      <c r="B18" s="3598" t="s">
        <v>2486</v>
      </c>
      <c r="C18" s="3598"/>
      <c r="D18" s="2359"/>
      <c r="E18" s="2359"/>
      <c r="F18" s="2360"/>
      <c r="G18" s="2361"/>
      <c r="H18" s="2371"/>
      <c r="I18" s="2372">
        <f>ROUND(D18*E18*F18*G18/10000,0)</f>
        <v>0</v>
      </c>
    </row>
    <row r="19" spans="1:9" ht="14.25">
      <c r="A19" s="3597"/>
      <c r="B19" s="3598" t="s">
        <v>2487</v>
      </c>
      <c r="C19" s="3598"/>
      <c r="D19" s="2359"/>
      <c r="E19" s="2359"/>
      <c r="F19" s="2360"/>
      <c r="G19" s="2361"/>
      <c r="H19" s="2371"/>
      <c r="I19" s="2372">
        <f>ROUND(D19*E19*F19*G19/10000,0)</f>
        <v>0</v>
      </c>
    </row>
    <row r="20" spans="1:9">
      <c r="A20" s="3597"/>
      <c r="B20" s="3599" t="s">
        <v>2468</v>
      </c>
      <c r="C20" s="3599"/>
      <c r="D20" s="2363">
        <f>SUM(D17:D19)</f>
        <v>0</v>
      </c>
      <c r="E20" s="2363"/>
      <c r="F20" s="2364"/>
      <c r="G20" s="2361"/>
      <c r="H20" s="2368"/>
      <c r="I20" s="2369">
        <f>SUM(I17:I19)</f>
        <v>0</v>
      </c>
    </row>
    <row r="21" spans="1:9">
      <c r="A21" s="3597" t="s">
        <v>2488</v>
      </c>
      <c r="B21" s="3600"/>
      <c r="C21" s="3600"/>
      <c r="D21" s="3600"/>
      <c r="E21" s="3600"/>
      <c r="F21" s="3600"/>
      <c r="G21" s="3600"/>
      <c r="H21" s="2373">
        <v>0.1</v>
      </c>
      <c r="I21" s="2366">
        <f>ROUND(I10*H21,0)</f>
        <v>0</v>
      </c>
    </row>
    <row r="22" spans="1:9" ht="14.25">
      <c r="A22" s="3601" t="s">
        <v>2489</v>
      </c>
      <c r="B22" s="3602"/>
      <c r="C22" s="3603"/>
      <c r="D22" s="2374" t="s">
        <v>2490</v>
      </c>
      <c r="E22" s="2374" t="s">
        <v>2491</v>
      </c>
      <c r="F22" s="2375" t="s">
        <v>2492</v>
      </c>
      <c r="G22" s="2375" t="s">
        <v>2493</v>
      </c>
      <c r="H22" s="2367" t="s">
        <v>2494</v>
      </c>
      <c r="I22" s="2358" t="s">
        <v>2495</v>
      </c>
    </row>
    <row r="23" spans="1:9" ht="14.25" thickBot="1">
      <c r="A23" s="3604"/>
      <c r="B23" s="3605"/>
      <c r="C23" s="3606"/>
      <c r="D23" s="2376"/>
      <c r="E23" s="2376"/>
      <c r="F23" s="2376"/>
      <c r="G23" s="2377"/>
      <c r="H23" s="2378"/>
      <c r="I23" s="2379">
        <f>ROUND(E23*D23*F23*(1-G23)/10000,0)</f>
        <v>0</v>
      </c>
    </row>
    <row r="26" spans="1:9">
      <c r="A26" s="2380" t="s">
        <v>2496</v>
      </c>
      <c r="B26" s="2380"/>
      <c r="C26" s="2380"/>
      <c r="D26" s="2380"/>
      <c r="E26" s="3594">
        <f>C27-C30-C31-C32</f>
        <v>0</v>
      </c>
      <c r="F26" s="3594"/>
      <c r="G26" s="3594"/>
      <c r="H26" s="2753" t="s">
        <v>2822</v>
      </c>
    </row>
    <row r="27" spans="1:9">
      <c r="A27" s="2381">
        <v>1</v>
      </c>
      <c r="B27" s="2382" t="s">
        <v>2497</v>
      </c>
      <c r="C27" s="2382"/>
      <c r="D27" s="2382"/>
      <c r="E27" s="3595"/>
      <c r="F27" s="3595"/>
      <c r="G27" s="3595"/>
    </row>
    <row r="28" spans="1:9">
      <c r="A28" s="2383" t="s">
        <v>2498</v>
      </c>
      <c r="B28" s="2382" t="s">
        <v>2499</v>
      </c>
      <c r="C28" s="2382"/>
      <c r="D28" s="2382"/>
      <c r="E28" s="3595"/>
      <c r="F28" s="3595"/>
      <c r="G28" s="3595"/>
    </row>
    <row r="29" spans="1:9">
      <c r="A29" s="2383" t="s">
        <v>2500</v>
      </c>
      <c r="B29" s="2382" t="s">
        <v>2441</v>
      </c>
      <c r="C29" s="2382"/>
      <c r="D29" s="2382"/>
      <c r="E29" s="2382" t="s">
        <v>2501</v>
      </c>
      <c r="F29" s="2382"/>
      <c r="G29" s="2382"/>
    </row>
    <row r="30" spans="1:9">
      <c r="A30" s="2381">
        <v>2</v>
      </c>
      <c r="B30" s="2382" t="s">
        <v>2502</v>
      </c>
      <c r="C30" s="2382">
        <f>C27*D30</f>
        <v>0</v>
      </c>
      <c r="D30" s="2384">
        <v>0.2</v>
      </c>
      <c r="E30" s="2382" t="s">
        <v>2503</v>
      </c>
      <c r="F30" s="2382"/>
      <c r="G30" s="2382"/>
    </row>
    <row r="31" spans="1:9">
      <c r="A31" s="2381">
        <v>3</v>
      </c>
      <c r="B31" s="2382" t="s">
        <v>2504</v>
      </c>
      <c r="C31" s="2382">
        <f>C25*D31</f>
        <v>0</v>
      </c>
      <c r="D31" s="2384">
        <v>0.15</v>
      </c>
      <c r="E31" s="2382" t="s">
        <v>2505</v>
      </c>
      <c r="F31" s="2382"/>
      <c r="G31" s="2382"/>
    </row>
    <row r="32" spans="1:9">
      <c r="A32" s="2381">
        <v>4</v>
      </c>
      <c r="B32" s="2382" t="s">
        <v>2506</v>
      </c>
      <c r="C32" s="2382">
        <f>C27*D32</f>
        <v>0</v>
      </c>
      <c r="D32" s="2384">
        <v>0.05</v>
      </c>
      <c r="E32" s="3596"/>
      <c r="F32" s="3596"/>
      <c r="G32" s="3596"/>
    </row>
    <row r="33" spans="1:7" hidden="1">
      <c r="A33" s="3591" t="s">
        <v>2507</v>
      </c>
      <c r="B33" s="3592"/>
      <c r="C33" s="3592"/>
      <c r="D33" s="3593"/>
      <c r="E33" s="3594"/>
      <c r="F33" s="3594"/>
      <c r="G33" s="3594"/>
    </row>
    <row r="34" spans="1:7" hidden="1">
      <c r="A34" s="2385">
        <v>1</v>
      </c>
      <c r="B34" s="2382" t="s">
        <v>2508</v>
      </c>
      <c r="C34" s="2382"/>
      <c r="D34" s="2382"/>
      <c r="E34" s="3595"/>
      <c r="F34" s="3595"/>
      <c r="G34" s="3595"/>
    </row>
    <row r="35" spans="1:7" hidden="1">
      <c r="A35" s="2385">
        <v>2</v>
      </c>
      <c r="B35" s="2382" t="s">
        <v>2509</v>
      </c>
      <c r="C35" s="2382"/>
      <c r="D35" s="2382"/>
      <c r="E35" s="3595"/>
      <c r="F35" s="3595"/>
      <c r="G35" s="3595"/>
    </row>
    <row r="36" spans="1:7" hidden="1">
      <c r="A36" s="2385">
        <v>3</v>
      </c>
      <c r="B36" s="2382" t="s">
        <v>2510</v>
      </c>
      <c r="C36" s="2382"/>
      <c r="D36" s="2382"/>
      <c r="E36" s="3595"/>
      <c r="F36" s="3595"/>
      <c r="G36" s="3595"/>
    </row>
    <row r="37" spans="1:7" hidden="1">
      <c r="A37" s="2385">
        <v>4</v>
      </c>
      <c r="B37" s="2382" t="s">
        <v>2511</v>
      </c>
      <c r="C37" s="2382"/>
      <c r="D37" s="2382"/>
      <c r="E37" s="3595"/>
      <c r="F37" s="3595"/>
      <c r="G37" s="3595"/>
    </row>
    <row r="38" spans="1:7" hidden="1">
      <c r="A38" s="3591" t="s">
        <v>2512</v>
      </c>
      <c r="B38" s="3592"/>
      <c r="C38" s="3592"/>
      <c r="D38" s="3593"/>
      <c r="E38" s="3594"/>
      <c r="F38" s="3594"/>
      <c r="G38" s="35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4" t="s">
        <v>597</v>
      </c>
      <c r="B1" s="733"/>
      <c r="C1" s="2060"/>
      <c r="D1" s="2060"/>
      <c r="E1" s="2060"/>
      <c r="F1" s="2060"/>
      <c r="G1" s="1987"/>
    </row>
    <row r="2" spans="1:25" s="1939" customFormat="1" ht="18" customHeight="1">
      <c r="A2" s="416" t="s">
        <v>461</v>
      </c>
      <c r="B2" s="418">
        <f ca="1">C23</f>
        <v>0</v>
      </c>
      <c r="C2" s="3265"/>
      <c r="D2" s="3265"/>
      <c r="E2" s="3265"/>
      <c r="F2" s="3265"/>
      <c r="G2" s="3265"/>
    </row>
    <row r="3" spans="1:25" s="1939" customFormat="1" ht="18" customHeight="1">
      <c r="A3" s="1328" t="s">
        <v>1676</v>
      </c>
      <c r="B3" s="418">
        <f ca="1">ROUND(B2*10000/'数据-汇总表'!E3,0)</f>
        <v>0</v>
      </c>
      <c r="C3" s="3265"/>
      <c r="D3" s="3265"/>
      <c r="E3" s="3265"/>
      <c r="F3" s="3265"/>
      <c r="G3" s="3265"/>
    </row>
    <row r="4" spans="1:25" s="1939" customFormat="1" ht="18" customHeight="1">
      <c r="A4" s="419" t="s">
        <v>462</v>
      </c>
      <c r="B4" s="420">
        <f ca="1">ROUND(B2*10000/'数据-汇总表'!D3,0)</f>
        <v>0</v>
      </c>
      <c r="C4" s="3218"/>
      <c r="D4" s="3265"/>
      <c r="E4" s="3265"/>
      <c r="F4" s="3265"/>
      <c r="G4" s="3265"/>
    </row>
    <row r="5" spans="1:25" s="1939" customFormat="1" ht="18" customHeight="1" thickBot="1">
      <c r="A5" s="422"/>
      <c r="B5" s="423">
        <f ca="1">ROUND(B2/('数据-汇总表'!D3/666.67),0)</f>
        <v>0</v>
      </c>
      <c r="C5" s="424" t="s">
        <v>463</v>
      </c>
      <c r="D5" s="3265"/>
      <c r="E5" s="3265"/>
      <c r="F5" s="3265"/>
      <c r="G5" s="3265"/>
    </row>
    <row r="6" spans="1:25" s="2061" customFormat="1" ht="13.5" customHeight="1">
      <c r="A6" s="734"/>
      <c r="B6" s="735" t="s">
        <v>598</v>
      </c>
      <c r="C6" s="736" t="s">
        <v>599</v>
      </c>
      <c r="D6" s="736" t="s">
        <v>600</v>
      </c>
      <c r="E6" s="737" t="s">
        <v>601</v>
      </c>
      <c r="F6" s="737" t="s">
        <v>602</v>
      </c>
      <c r="G6" s="3264" t="s">
        <v>2997</v>
      </c>
    </row>
    <row r="7" spans="1:25" s="2061" customFormat="1" ht="13.5" customHeight="1">
      <c r="A7" s="2320">
        <v>1</v>
      </c>
      <c r="B7" s="738" t="s">
        <v>603</v>
      </c>
      <c r="C7" s="739">
        <f>C8+C9</f>
        <v>0</v>
      </c>
      <c r="D7" s="739"/>
      <c r="E7" s="740"/>
      <c r="F7" s="740"/>
      <c r="G7" s="2329"/>
    </row>
    <row r="8" spans="1:25" s="2061" customFormat="1" ht="13.5" customHeight="1">
      <c r="A8" s="2320" t="s">
        <v>2422</v>
      </c>
      <c r="B8" s="2323" t="s">
        <v>2424</v>
      </c>
      <c r="C8" s="3268">
        <f t="shared" ref="C8:C9" si="0">ROUND(D8*E8/10000,0)</f>
        <v>0</v>
      </c>
      <c r="D8" s="3268">
        <v>0</v>
      </c>
      <c r="E8" s="3269">
        <v>0</v>
      </c>
      <c r="F8" s="740"/>
      <c r="G8" s="741"/>
    </row>
    <row r="9" spans="1:25" s="2061" customFormat="1" ht="13.5" customHeight="1">
      <c r="A9" s="2320" t="s">
        <v>2423</v>
      </c>
      <c r="B9" s="2323" t="s">
        <v>2425</v>
      </c>
      <c r="C9" s="3268">
        <f t="shared" si="0"/>
        <v>0</v>
      </c>
      <c r="D9" s="3268">
        <v>0</v>
      </c>
      <c r="E9" s="3269">
        <v>0</v>
      </c>
      <c r="F9" s="740"/>
      <c r="G9" s="741"/>
    </row>
    <row r="10" spans="1:25" s="2061" customFormat="1" ht="36">
      <c r="A10" s="2320">
        <v>2</v>
      </c>
      <c r="B10" s="738" t="s">
        <v>607</v>
      </c>
      <c r="C10" s="739">
        <f>C11+C14+C15</f>
        <v>0</v>
      </c>
      <c r="D10" s="749"/>
      <c r="E10" s="739"/>
      <c r="F10" s="750"/>
      <c r="G10" s="748" t="s">
        <v>608</v>
      </c>
    </row>
    <row r="11" spans="1:25" s="2061" customFormat="1" ht="13.5" customHeight="1">
      <c r="A11" s="2320" t="s">
        <v>2422</v>
      </c>
      <c r="B11" s="742" t="s">
        <v>604</v>
      </c>
      <c r="C11" s="743">
        <f>'数据-取费表'!B29</f>
        <v>0</v>
      </c>
      <c r="D11" s="744"/>
      <c r="E11" s="743"/>
      <c r="F11" s="745"/>
      <c r="G11" s="2328" t="s">
        <v>2433</v>
      </c>
    </row>
    <row r="12" spans="1:25" s="2061" customFormat="1" ht="13.5" customHeight="1">
      <c r="A12" s="2326" t="s">
        <v>2430</v>
      </c>
      <c r="B12" s="746" t="s">
        <v>605</v>
      </c>
      <c r="C12" s="747">
        <f>ROUND(D12*E12/10000,0)</f>
        <v>1465</v>
      </c>
      <c r="D12" s="3268">
        <f>'数据-汇总表'!E5</f>
        <v>114482.58</v>
      </c>
      <c r="E12" s="3268">
        <f>'数据-取费表'!B27</f>
        <v>128</v>
      </c>
      <c r="F12" s="745"/>
      <c r="G12" s="748"/>
    </row>
    <row r="13" spans="1:25" s="2061" customFormat="1" ht="13.5" customHeight="1">
      <c r="A13" s="2326" t="s">
        <v>2429</v>
      </c>
      <c r="B13" s="746" t="s">
        <v>606</v>
      </c>
      <c r="C13" s="747">
        <f>ROUND(D13*E13/10000,0)</f>
        <v>460</v>
      </c>
      <c r="D13" s="3268">
        <f>'数据-汇总表'!E6</f>
        <v>42576.780000000013</v>
      </c>
      <c r="E13" s="3268">
        <f>'数据-取费表'!B28</f>
        <v>108</v>
      </c>
      <c r="F13" s="745"/>
      <c r="G13" s="748"/>
    </row>
    <row r="14" spans="1:25" s="2061" customFormat="1" ht="13.5" customHeight="1">
      <c r="A14" s="2320" t="s">
        <v>2423</v>
      </c>
      <c r="B14" s="2325" t="s">
        <v>2426</v>
      </c>
      <c r="C14" s="3270">
        <f t="shared" ref="C14:C15" si="1">ROUND(D14*E14/10000,0)</f>
        <v>0</v>
      </c>
      <c r="D14" s="3268">
        <v>0</v>
      </c>
      <c r="E14" s="3269">
        <v>0</v>
      </c>
      <c r="F14" s="2324"/>
      <c r="G14" s="2327" t="s">
        <v>2431</v>
      </c>
    </row>
    <row r="15" spans="1:25" s="2061" customFormat="1" ht="13.5" customHeight="1">
      <c r="A15" s="2320" t="s">
        <v>2428</v>
      </c>
      <c r="B15" s="2325" t="s">
        <v>2427</v>
      </c>
      <c r="C15" s="3270">
        <f t="shared" si="1"/>
        <v>0</v>
      </c>
      <c r="D15" s="3268">
        <v>0</v>
      </c>
      <c r="E15" s="3269">
        <v>0</v>
      </c>
      <c r="F15" s="2324"/>
      <c r="G15" s="2327" t="s">
        <v>2432</v>
      </c>
    </row>
    <row r="16" spans="1:25" s="2062" customFormat="1" ht="48">
      <c r="A16" s="2320">
        <v>3</v>
      </c>
      <c r="B16" s="738" t="s">
        <v>609</v>
      </c>
      <c r="C16" s="3270">
        <f t="shared" ref="C16" si="2">ROUND(D16*E16/10000,0)</f>
        <v>0</v>
      </c>
      <c r="D16" s="3268">
        <v>0</v>
      </c>
      <c r="E16" s="3269">
        <v>0</v>
      </c>
      <c r="F16" s="750"/>
      <c r="G16" s="748" t="s">
        <v>2434</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8" t="s">
        <v>610</v>
      </c>
      <c r="C17" s="2422">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8" t="s">
        <v>611</v>
      </c>
      <c r="C18" s="739">
        <f>ROUND((C7+C10+C16)*F18,0)</f>
        <v>0</v>
      </c>
      <c r="D18" s="751"/>
      <c r="E18" s="752"/>
      <c r="F18" s="1301">
        <v>0.05</v>
      </c>
      <c r="G18" s="754"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8" t="s">
        <v>613</v>
      </c>
      <c r="C19" s="739">
        <f ca="1">C7+C10+C16+C17+C18</f>
        <v>0</v>
      </c>
      <c r="D19" s="749"/>
      <c r="E19" s="739"/>
      <c r="F19" s="750"/>
      <c r="G19" s="754"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8" t="s">
        <v>615</v>
      </c>
      <c r="C20" s="739">
        <f ca="1">ROUND(C19*F20,0)</f>
        <v>0</v>
      </c>
      <c r="D20" s="749"/>
      <c r="E20" s="739"/>
      <c r="F20" s="1301">
        <v>0.1</v>
      </c>
      <c r="G20" s="754"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8" t="s">
        <v>617</v>
      </c>
      <c r="C21" s="739">
        <f ca="1">C19+C20</f>
        <v>0</v>
      </c>
      <c r="D21" s="749"/>
      <c r="E21" s="739"/>
      <c r="F21" s="750"/>
      <c r="G21" s="754"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8" t="s">
        <v>619</v>
      </c>
      <c r="C22" s="739">
        <f ca="1">ROUND(C21*F22,0)</f>
        <v>0</v>
      </c>
      <c r="D22" s="749"/>
      <c r="E22" s="739"/>
      <c r="F22" s="755">
        <f>'数据-取费表'!AP16</f>
        <v>0.92300000000000004</v>
      </c>
      <c r="G22" s="754"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6" t="s">
        <v>621</v>
      </c>
      <c r="C23" s="757">
        <f ca="1">C22</f>
        <v>0</v>
      </c>
      <c r="D23" s="758"/>
      <c r="E23" s="757"/>
      <c r="F23" s="759"/>
      <c r="G23" s="760"/>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2"/>
      <c r="E1" s="499"/>
      <c r="F1" s="2521"/>
      <c r="G1" s="1529" t="s">
        <v>715</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461</v>
      </c>
      <c r="B2" s="838"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513</v>
      </c>
      <c r="B3" s="503" t="e">
        <f>C49</f>
        <v>#DIV/0!</v>
      </c>
      <c r="C3" s="840" t="s">
        <v>716</v>
      </c>
      <c r="D3" s="839">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5" t="s">
        <v>515</v>
      </c>
      <c r="B4" s="506"/>
      <c r="C4" s="3508" t="s">
        <v>516</v>
      </c>
      <c r="D4" s="3509"/>
      <c r="E4" s="3535" t="s">
        <v>517</v>
      </c>
      <c r="F4" s="3536"/>
      <c r="G4" s="3508" t="s">
        <v>518</v>
      </c>
      <c r="H4" s="3509"/>
      <c r="I4" s="3508" t="s">
        <v>519</v>
      </c>
      <c r="J4" s="3509"/>
      <c r="K4" s="507" t="s">
        <v>520</v>
      </c>
      <c r="L4" s="2012"/>
      <c r="M4" s="2013"/>
      <c r="N4" s="2013"/>
      <c r="O4" s="2013"/>
      <c r="P4" s="3510" t="s">
        <v>521</v>
      </c>
      <c r="Q4" s="3511"/>
      <c r="R4" s="3496" t="s">
        <v>517</v>
      </c>
      <c r="S4" s="3497"/>
      <c r="T4" s="3496" t="s">
        <v>518</v>
      </c>
      <c r="U4" s="3497"/>
      <c r="V4" s="3516" t="s">
        <v>519</v>
      </c>
      <c r="W4" s="3516"/>
      <c r="X4" s="1499"/>
      <c r="Y4" s="3496" t="s">
        <v>521</v>
      </c>
      <c r="Z4" s="3497"/>
      <c r="AA4" s="3491" t="s">
        <v>517</v>
      </c>
      <c r="AB4" s="3516" t="s">
        <v>518</v>
      </c>
      <c r="AC4" s="3491" t="s">
        <v>519</v>
      </c>
    </row>
    <row r="5" spans="1:29" ht="15">
      <c r="A5" s="508"/>
      <c r="B5" s="509"/>
      <c r="C5" s="3521" t="s">
        <v>2896</v>
      </c>
      <c r="D5" s="3520"/>
      <c r="E5" s="3537" t="s">
        <v>2897</v>
      </c>
      <c r="F5" s="3538"/>
      <c r="G5" s="3521" t="s">
        <v>2898</v>
      </c>
      <c r="H5" s="3520"/>
      <c r="I5" s="3521" t="s">
        <v>2899</v>
      </c>
      <c r="J5" s="3520"/>
      <c r="K5" s="507"/>
      <c r="L5" s="2012"/>
      <c r="M5" s="2013"/>
      <c r="N5" s="2013"/>
      <c r="O5" s="2013"/>
      <c r="P5" s="3512"/>
      <c r="Q5" s="3513"/>
      <c r="R5" s="3498"/>
      <c r="S5" s="3499"/>
      <c r="T5" s="3498"/>
      <c r="U5" s="3499"/>
      <c r="V5" s="3516"/>
      <c r="W5" s="3516"/>
      <c r="X5" s="1499"/>
      <c r="Y5" s="3498"/>
      <c r="Z5" s="3499"/>
      <c r="AA5" s="3492"/>
      <c r="AB5" s="3516"/>
      <c r="AC5" s="3492"/>
    </row>
    <row r="6" spans="1:29" ht="15.75" thickBot="1">
      <c r="A6" s="510"/>
      <c r="B6" s="511"/>
      <c r="C6" s="3539" t="s">
        <v>2900</v>
      </c>
      <c r="D6" s="3518"/>
      <c r="E6" s="3540" t="s">
        <v>2900</v>
      </c>
      <c r="F6" s="3541"/>
      <c r="G6" s="3539" t="s">
        <v>2900</v>
      </c>
      <c r="H6" s="3518"/>
      <c r="I6" s="3539" t="s">
        <v>2900</v>
      </c>
      <c r="J6" s="3518"/>
      <c r="K6" s="507" t="s">
        <v>522</v>
      </c>
      <c r="L6" s="2012"/>
      <c r="M6" s="2013"/>
      <c r="N6" s="2013"/>
      <c r="O6" s="2013"/>
      <c r="P6" s="3514"/>
      <c r="Q6" s="3515"/>
      <c r="R6" s="3498"/>
      <c r="S6" s="3499"/>
      <c r="T6" s="3500"/>
      <c r="U6" s="3501"/>
      <c r="V6" s="3516"/>
      <c r="W6" s="3516"/>
      <c r="X6" s="1499"/>
      <c r="Y6" s="3500"/>
      <c r="Z6" s="3501"/>
      <c r="AA6" s="3493"/>
      <c r="AB6" s="3516"/>
      <c r="AC6" s="3493"/>
    </row>
    <row r="7" spans="1:29" s="1202" customFormat="1" ht="15.75" thickBot="1">
      <c r="A7" s="2626"/>
      <c r="B7" s="2633" t="s">
        <v>523</v>
      </c>
      <c r="C7" s="512">
        <f>'数据-取费表'!B2</f>
        <v>44234</v>
      </c>
      <c r="D7" s="513">
        <v>100</v>
      </c>
      <c r="E7" s="514"/>
      <c r="F7" s="515">
        <f>SUMIF(58:58,YEAR(E7)&amp;"-"&amp;MONTH(E7),59:59)</f>
        <v>0</v>
      </c>
      <c r="G7" s="514"/>
      <c r="H7" s="513">
        <f>SUMIF(58:58,YEAR(G7)&amp;"-"&amp;MONTH(G7),59:59)</f>
        <v>0</v>
      </c>
      <c r="I7" s="514"/>
      <c r="J7" s="513">
        <f>SUMIF(58:58,YEAR(I7)&amp;"-"&amp;MONTH(I7),59:59)</f>
        <v>0</v>
      </c>
      <c r="K7" s="517"/>
      <c r="L7" s="2014"/>
      <c r="M7" s="2015"/>
      <c r="N7" s="2015"/>
      <c r="O7" s="2015"/>
      <c r="P7" s="3494" t="s">
        <v>524</v>
      </c>
      <c r="Q7" s="3503"/>
      <c r="R7" s="1500" t="s">
        <v>8</v>
      </c>
      <c r="S7" s="1501">
        <f t="shared" ref="S7:S15" si="0">F7</f>
        <v>0</v>
      </c>
      <c r="T7" s="1500" t="s">
        <v>8</v>
      </c>
      <c r="U7" s="1501">
        <f t="shared" ref="U7:U15" si="1">H7</f>
        <v>0</v>
      </c>
      <c r="V7" s="1500" t="s">
        <v>8</v>
      </c>
      <c r="W7" s="1501">
        <f t="shared" ref="W7:W15"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SUMIF(61:61,E8,62:62)-SUMIF(61:61,C8,62:62)+100</f>
        <v>0</v>
      </c>
      <c r="G8" s="518"/>
      <c r="H8" s="513">
        <f>SUMIF(61:61,G8,62:62)-SUMIF(61:61,C8,62:62)+100</f>
        <v>0</v>
      </c>
      <c r="I8" s="518"/>
      <c r="J8" s="513">
        <f>SUMIF(61:61,I8,62:62)-SUMIF(61:61,C8,62:62)+100</f>
        <v>0</v>
      </c>
      <c r="K8" s="517"/>
      <c r="L8" s="2014"/>
      <c r="M8" s="2015"/>
      <c r="N8" s="2015"/>
      <c r="O8" s="2015"/>
      <c r="P8" s="3494" t="s">
        <v>527</v>
      </c>
      <c r="Q8" s="3495"/>
      <c r="R8" s="1500" t="s">
        <v>8</v>
      </c>
      <c r="S8" s="1501">
        <f t="shared" si="0"/>
        <v>0</v>
      </c>
      <c r="T8" s="1500" t="s">
        <v>8</v>
      </c>
      <c r="U8" s="1501">
        <f t="shared" si="1"/>
        <v>0</v>
      </c>
      <c r="V8" s="1500" t="s">
        <v>8</v>
      </c>
      <c r="W8" s="1501">
        <f t="shared" si="2"/>
        <v>0</v>
      </c>
      <c r="X8" s="1502"/>
      <c r="Y8" s="3494" t="s">
        <v>527</v>
      </c>
      <c r="Z8" s="3495"/>
      <c r="AA8" s="1503" t="e">
        <f t="shared" ref="AA8:AA46" si="3">D8/F8</f>
        <v>#DIV/0!</v>
      </c>
      <c r="AB8" s="1503" t="e">
        <f t="shared" ref="AB8:AB46" si="4">D8/H8</f>
        <v>#DIV/0!</v>
      </c>
      <c r="AC8" s="1503" t="e">
        <f t="shared" ref="AC8:AC46" si="5">D8/J8</f>
        <v>#DIV/0!</v>
      </c>
    </row>
    <row r="9" spans="1:29" s="1202" customFormat="1" ht="15">
      <c r="A9" s="2628"/>
      <c r="B9" s="2635" t="s">
        <v>2736</v>
      </c>
      <c r="C9" s="845"/>
      <c r="D9" s="251">
        <v>100</v>
      </c>
      <c r="E9" s="848"/>
      <c r="F9" s="251">
        <f>SUMIF(63:63,E9,64:64)-SUMIF(63:63,C9,64:64)+100</f>
        <v>100</v>
      </c>
      <c r="G9" s="846"/>
      <c r="H9" s="251">
        <f>SUMIF(63:63,G9,64:64)-SUMIF(63:63,C9,64:64)+100</f>
        <v>100</v>
      </c>
      <c r="I9" s="846"/>
      <c r="J9" s="251">
        <f>SUMIF(63:63,I9,64:64)-SUMIF(63:63,C9,64:64)+100</f>
        <v>100</v>
      </c>
      <c r="K9" s="517"/>
      <c r="L9" s="2014"/>
      <c r="M9" s="2015"/>
      <c r="N9" s="2015"/>
      <c r="O9" s="2016"/>
      <c r="P9" s="3502" t="s">
        <v>529</v>
      </c>
      <c r="Q9" s="1133" t="str">
        <f t="shared" ref="Q9:Q15" si="6">B9</f>
        <v>用途</v>
      </c>
      <c r="R9" s="1500" t="s">
        <v>8</v>
      </c>
      <c r="S9" s="1501">
        <f t="shared" si="0"/>
        <v>100</v>
      </c>
      <c r="T9" s="1500" t="s">
        <v>8</v>
      </c>
      <c r="U9" s="1501">
        <f t="shared" si="1"/>
        <v>100</v>
      </c>
      <c r="V9" s="1500" t="s">
        <v>8</v>
      </c>
      <c r="W9" s="1501">
        <f t="shared" si="2"/>
        <v>100</v>
      </c>
      <c r="X9" s="1502"/>
      <c r="Y9" s="3453"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SUMIF(65:65,E10,66:66)-SUMIF(65:65,C10,66:66)+100</f>
        <v>100</v>
      </c>
      <c r="G10" s="850"/>
      <c r="H10" s="252">
        <f>SUMIF(65:65,G10,66:66)-SUMIF(65:65,C10,66:66)+100</f>
        <v>100</v>
      </c>
      <c r="I10" s="849"/>
      <c r="J10" s="252">
        <f>SUMIF(65:65,I10,66:66)-SUMIF(65:65,C10,66:66)+100</f>
        <v>100</v>
      </c>
      <c r="K10" s="577"/>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9"/>
      <c r="M11" s="2013"/>
      <c r="N11" s="2013"/>
      <c r="O11" s="2020"/>
      <c r="P11" s="3502"/>
      <c r="Q11" s="1133" t="str">
        <f t="shared" si="6"/>
        <v>容积率</v>
      </c>
      <c r="R11" s="1500" t="s">
        <v>8</v>
      </c>
      <c r="S11" s="1501" t="e">
        <f t="shared" si="0"/>
        <v>#N/A</v>
      </c>
      <c r="T11" s="1500" t="s">
        <v>8</v>
      </c>
      <c r="U11" s="1501" t="e">
        <f t="shared" si="1"/>
        <v>#N/A</v>
      </c>
      <c r="V11" s="1500" t="s">
        <v>8</v>
      </c>
      <c r="W11" s="1501" t="e">
        <f t="shared" si="2"/>
        <v>#N/A</v>
      </c>
      <c r="X11" s="1502"/>
      <c r="Y11" s="3453"/>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32"/>
      <c r="F12" s="252">
        <f>SUMIF(70:70,E12,71:71)-SUMIF(70:70,C12,71:71)+100</f>
        <v>100</v>
      </c>
      <c r="G12" s="900"/>
      <c r="H12" s="252">
        <f>SUMIF(70:70,G12,71:71)-SUMIF(70:70,C12,71:71)+100</f>
        <v>100</v>
      </c>
      <c r="I12" s="532"/>
      <c r="J12" s="252">
        <f>SUMIF(70:70,I12,71:71)-SUMIF(70:70,C12,71:71)+100</f>
        <v>100</v>
      </c>
      <c r="K12" s="574"/>
      <c r="L12" s="2014"/>
      <c r="M12" s="2015"/>
      <c r="N12" s="2015"/>
      <c r="O12" s="2016"/>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
      <c r="A13" s="2631"/>
      <c r="B13" s="2637">
        <v>111</v>
      </c>
      <c r="C13" s="532"/>
      <c r="D13" s="533">
        <v>100</v>
      </c>
      <c r="E13" s="532"/>
      <c r="F13" s="252">
        <f>SUMIF(72:72,E13,73:73)-SUMIF(72:72,C13,73:73)+100</f>
        <v>100</v>
      </c>
      <c r="G13" s="900"/>
      <c r="H13" s="533">
        <f>SUMIF(72:72,G13,73:73)-SUMIF(72:72,C13,73:73)+100</f>
        <v>100</v>
      </c>
      <c r="I13" s="532"/>
      <c r="J13" s="533">
        <f>SUMIF(72:72,I13,73:73)-SUMIF(72:72,C13,73:73)+100</f>
        <v>100</v>
      </c>
      <c r="K13" s="574"/>
      <c r="L13" s="2021"/>
      <c r="M13" s="2013"/>
      <c r="N13" s="2013"/>
      <c r="O13" s="2020"/>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15.75" thickBot="1">
      <c r="A14" s="2632"/>
      <c r="B14" s="2638">
        <v>111</v>
      </c>
      <c r="C14" s="538"/>
      <c r="D14" s="539">
        <v>100</v>
      </c>
      <c r="E14" s="538"/>
      <c r="F14" s="539">
        <f>SUMIF(74:74,E14,75:75)-SUMIF(74:74,C14,75:75)+100</f>
        <v>100</v>
      </c>
      <c r="G14" s="900"/>
      <c r="H14" s="539">
        <f>SUMIF(74:74,G14,75:75)-SUMIF(74:74,C14,75:75)+100</f>
        <v>100</v>
      </c>
      <c r="I14" s="532"/>
      <c r="J14" s="539">
        <f>SUMIF(74:74,I14,75:75)-SUMIF(74:74,C14,75:75)+100</f>
        <v>100</v>
      </c>
      <c r="K14" s="574"/>
      <c r="L14" s="2021"/>
      <c r="M14" s="2013"/>
      <c r="N14" s="2013"/>
      <c r="O14" s="2020"/>
      <c r="P14" s="3502"/>
      <c r="Q14" s="1133">
        <f t="shared" si="6"/>
        <v>111</v>
      </c>
      <c r="R14" s="1500" t="s">
        <v>8</v>
      </c>
      <c r="S14" s="1501">
        <f t="shared" si="0"/>
        <v>100</v>
      </c>
      <c r="T14" s="1500" t="s">
        <v>8</v>
      </c>
      <c r="U14" s="1501">
        <f t="shared" si="1"/>
        <v>100</v>
      </c>
      <c r="V14" s="1500" t="s">
        <v>8</v>
      </c>
      <c r="W14" s="1501">
        <f t="shared" si="2"/>
        <v>100</v>
      </c>
      <c r="X14" s="1502"/>
      <c r="Y14" s="3453"/>
      <c r="Z14" s="1132">
        <f t="shared" si="7"/>
        <v>111</v>
      </c>
      <c r="AA14" s="1503">
        <f t="shared" si="3"/>
        <v>1</v>
      </c>
      <c r="AB14" s="1503">
        <f t="shared" si="4"/>
        <v>1</v>
      </c>
      <c r="AC14" s="1503">
        <f t="shared" si="5"/>
        <v>1</v>
      </c>
    </row>
    <row r="15" spans="1:29" ht="71.25">
      <c r="A15" s="2624" t="s">
        <v>2734</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1"/>
      <c r="M15" s="2013"/>
      <c r="N15" s="2013"/>
      <c r="O15" s="2020"/>
      <c r="P15" s="3504" t="s">
        <v>534</v>
      </c>
      <c r="Q15" s="1504" t="str">
        <f t="shared" si="6"/>
        <v>商业繁华度</v>
      </c>
      <c r="R15" s="1505" t="s">
        <v>8</v>
      </c>
      <c r="S15" s="1506">
        <f t="shared" si="0"/>
        <v>100</v>
      </c>
      <c r="T15" s="1505" t="s">
        <v>8</v>
      </c>
      <c r="U15" s="1506">
        <f t="shared" si="1"/>
        <v>100</v>
      </c>
      <c r="V15" s="1505" t="s">
        <v>8</v>
      </c>
      <c r="W15" s="1506">
        <f t="shared" si="2"/>
        <v>100</v>
      </c>
      <c r="X15" s="1499"/>
      <c r="Y15" s="3504"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1"/>
      <c r="M16" s="2013"/>
      <c r="N16" s="2013"/>
      <c r="O16" s="2020"/>
      <c r="P16" s="3505"/>
      <c r="Q16" s="1504"/>
      <c r="R16" s="1505"/>
      <c r="S16" s="1506"/>
      <c r="T16" s="1505"/>
      <c r="U16" s="1506"/>
      <c r="V16" s="1505"/>
      <c r="W16" s="1506"/>
      <c r="X16" s="1499"/>
      <c r="Y16" s="3505"/>
      <c r="Z16" s="1507"/>
      <c r="AA16" s="1508">
        <v>1</v>
      </c>
      <c r="AB16" s="1508">
        <v>1</v>
      </c>
      <c r="AC16" s="1508">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1"/>
      <c r="M17" s="2013"/>
      <c r="N17" s="2013"/>
      <c r="O17" s="2020"/>
      <c r="P17" s="3505"/>
      <c r="Q17" s="1504" t="str">
        <f>B17</f>
        <v>交通便捷度</v>
      </c>
      <c r="R17" s="1505" t="s">
        <v>8</v>
      </c>
      <c r="S17" s="1506">
        <f>F17</f>
        <v>100</v>
      </c>
      <c r="T17" s="1505" t="s">
        <v>8</v>
      </c>
      <c r="U17" s="1506">
        <f>H17</f>
        <v>100</v>
      </c>
      <c r="V17" s="1505" t="s">
        <v>8</v>
      </c>
      <c r="W17" s="1506">
        <f>J17</f>
        <v>100</v>
      </c>
      <c r="X17" s="1499"/>
      <c r="Y17" s="3505"/>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1"/>
      <c r="M18" s="2013"/>
      <c r="N18" s="2013"/>
      <c r="O18" s="2020"/>
      <c r="P18" s="3505"/>
      <c r="Q18" s="1504"/>
      <c r="R18" s="1505"/>
      <c r="S18" s="1506"/>
      <c r="T18" s="1505"/>
      <c r="U18" s="1506"/>
      <c r="V18" s="1505"/>
      <c r="W18" s="1506"/>
      <c r="X18" s="1499"/>
      <c r="Y18" s="3505"/>
      <c r="Z18" s="1507"/>
      <c r="AA18" s="1508">
        <v>1</v>
      </c>
      <c r="AB18" s="1508">
        <v>1</v>
      </c>
      <c r="AC18" s="1508">
        <v>1</v>
      </c>
    </row>
    <row r="19" spans="1:29" ht="42.75">
      <c r="A19" s="525"/>
      <c r="B19" s="2441"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1"/>
      <c r="M19" s="2013"/>
      <c r="N19" s="2013"/>
      <c r="O19" s="2020"/>
      <c r="P19" s="3505"/>
      <c r="Q19" s="1504" t="str">
        <f>B19</f>
        <v>公共配套设施</v>
      </c>
      <c r="R19" s="1505" t="s">
        <v>8</v>
      </c>
      <c r="S19" s="1506">
        <f>F19</f>
        <v>100</v>
      </c>
      <c r="T19" s="1505" t="s">
        <v>8</v>
      </c>
      <c r="U19" s="1506">
        <f>H19</f>
        <v>100</v>
      </c>
      <c r="V19" s="1505" t="s">
        <v>8</v>
      </c>
      <c r="W19" s="1506">
        <f>J19</f>
        <v>100</v>
      </c>
      <c r="X19" s="1499"/>
      <c r="Y19" s="3505"/>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1"/>
      <c r="M20" s="2013"/>
      <c r="N20" s="2013"/>
      <c r="O20" s="2020"/>
      <c r="P20" s="3505"/>
      <c r="Q20" s="1504"/>
      <c r="R20" s="1505"/>
      <c r="S20" s="1506"/>
      <c r="T20" s="1505"/>
      <c r="U20" s="1506"/>
      <c r="V20" s="1505"/>
      <c r="W20" s="1506"/>
      <c r="X20" s="1499"/>
      <c r="Y20" s="3505"/>
      <c r="Z20" s="1507"/>
      <c r="AA20" s="1508">
        <v>1</v>
      </c>
      <c r="AB20" s="1508">
        <v>1</v>
      </c>
      <c r="AC20" s="1508">
        <v>1</v>
      </c>
    </row>
    <row r="21" spans="1:29" ht="28.5">
      <c r="A21" s="525"/>
      <c r="B21" s="2434"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1"/>
      <c r="M21" s="2013"/>
      <c r="N21" s="2013"/>
      <c r="O21" s="2020"/>
      <c r="P21" s="3505"/>
      <c r="Q21" s="2426" t="str">
        <f>B21</f>
        <v>基础设施水平</v>
      </c>
      <c r="R21" s="1505" t="s">
        <v>8</v>
      </c>
      <c r="S21" s="1506">
        <f>F21</f>
        <v>100</v>
      </c>
      <c r="T21" s="1505" t="s">
        <v>8</v>
      </c>
      <c r="U21" s="1506">
        <f>H21</f>
        <v>100</v>
      </c>
      <c r="V21" s="1505" t="s">
        <v>8</v>
      </c>
      <c r="W21" s="1506">
        <f>J21</f>
        <v>100</v>
      </c>
      <c r="X21" s="2428"/>
      <c r="Y21" s="3505"/>
      <c r="Z21" s="2427"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3"/>
      <c r="L22" s="2021"/>
      <c r="M22" s="2013"/>
      <c r="N22" s="2013"/>
      <c r="O22" s="2020"/>
      <c r="P22" s="3505"/>
      <c r="Q22" s="2426"/>
      <c r="R22" s="1505"/>
      <c r="S22" s="1506"/>
      <c r="T22" s="1505"/>
      <c r="U22" s="1506"/>
      <c r="V22" s="1505"/>
      <c r="W22" s="1506"/>
      <c r="X22" s="2428"/>
      <c r="Y22" s="3505"/>
      <c r="Z22" s="2427"/>
      <c r="AA22" s="1508">
        <v>1</v>
      </c>
      <c r="AB22" s="1508">
        <v>1</v>
      </c>
      <c r="AC22" s="1508">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1"/>
      <c r="M23" s="2013"/>
      <c r="N23" s="2013"/>
      <c r="O23" s="2020"/>
      <c r="P23" s="3505"/>
      <c r="Q23" s="1504" t="str">
        <f>B23</f>
        <v>自然及人文环境</v>
      </c>
      <c r="R23" s="1505" t="s">
        <v>8</v>
      </c>
      <c r="S23" s="1506">
        <f>F23</f>
        <v>100</v>
      </c>
      <c r="T23" s="1505" t="s">
        <v>8</v>
      </c>
      <c r="U23" s="1506">
        <f>H23</f>
        <v>100</v>
      </c>
      <c r="V23" s="1505" t="s">
        <v>8</v>
      </c>
      <c r="W23" s="1506">
        <f>J23</f>
        <v>100</v>
      </c>
      <c r="X23" s="1499"/>
      <c r="Y23" s="3505"/>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1"/>
      <c r="M24" s="2013"/>
      <c r="N24" s="2013"/>
      <c r="O24" s="2020"/>
      <c r="P24" s="3505"/>
      <c r="Q24" s="1504"/>
      <c r="R24" s="1505"/>
      <c r="S24" s="1506"/>
      <c r="T24" s="1505"/>
      <c r="U24" s="1506"/>
      <c r="V24" s="1505"/>
      <c r="W24" s="1506"/>
      <c r="X24" s="1499"/>
      <c r="Y24" s="3505"/>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1"/>
      <c r="M25" s="2013"/>
      <c r="N25" s="2013"/>
      <c r="O25" s="2020"/>
      <c r="P25" s="3505"/>
      <c r="Q25" s="1504" t="str">
        <f t="shared" ref="Q25:Q46" si="11">B25</f>
        <v>临街状况</v>
      </c>
      <c r="R25" s="1505" t="s">
        <v>8</v>
      </c>
      <c r="S25" s="1506">
        <f>F25</f>
        <v>100</v>
      </c>
      <c r="T25" s="1505" t="s">
        <v>8</v>
      </c>
      <c r="U25" s="1506">
        <f>H25</f>
        <v>100</v>
      </c>
      <c r="V25" s="1505" t="s">
        <v>8</v>
      </c>
      <c r="W25" s="1506">
        <f>J25</f>
        <v>100</v>
      </c>
      <c r="X25" s="1499"/>
      <c r="Y25" s="3505"/>
      <c r="Z25" s="1507" t="str">
        <f>Q25</f>
        <v>临街状况</v>
      </c>
      <c r="AA25" s="1508">
        <f t="shared" si="3"/>
        <v>1</v>
      </c>
      <c r="AB25" s="1508">
        <f t="shared" si="4"/>
        <v>1</v>
      </c>
      <c r="AC25" s="1508">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1"/>
      <c r="M26" s="2013"/>
      <c r="N26" s="2013"/>
      <c r="O26" s="2020"/>
      <c r="P26" s="3505"/>
      <c r="Q26" s="1504" t="str">
        <f t="shared" si="11"/>
        <v>平面位置/可视性</v>
      </c>
      <c r="R26" s="1505" t="s">
        <v>8</v>
      </c>
      <c r="S26" s="1506">
        <f>F26</f>
        <v>100</v>
      </c>
      <c r="T26" s="1505" t="s">
        <v>8</v>
      </c>
      <c r="U26" s="1506">
        <f>H26</f>
        <v>100</v>
      </c>
      <c r="V26" s="1505" t="s">
        <v>8</v>
      </c>
      <c r="W26" s="1506">
        <f>J26</f>
        <v>100</v>
      </c>
      <c r="X26" s="1499"/>
      <c r="Y26" s="3505"/>
      <c r="Z26" s="1507" t="str">
        <f>Q26</f>
        <v>平面位置/可视性</v>
      </c>
      <c r="AA26" s="1508">
        <f t="shared" si="3"/>
        <v>1</v>
      </c>
      <c r="AB26" s="1508">
        <f t="shared" si="4"/>
        <v>1</v>
      </c>
      <c r="AC26" s="1508">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4"/>
      <c r="M27" s="2015"/>
      <c r="N27" s="2015"/>
      <c r="O27" s="2016"/>
      <c r="P27" s="3505"/>
      <c r="Q27" s="1133" t="str">
        <f t="shared" si="11"/>
        <v>人流量</v>
      </c>
      <c r="R27" s="1500" t="s">
        <v>8</v>
      </c>
      <c r="S27" s="1501">
        <f>F27</f>
        <v>100</v>
      </c>
      <c r="T27" s="1500" t="s">
        <v>8</v>
      </c>
      <c r="U27" s="1501">
        <f>H27</f>
        <v>100</v>
      </c>
      <c r="V27" s="1500" t="s">
        <v>8</v>
      </c>
      <c r="W27" s="1501">
        <f>J27</f>
        <v>100</v>
      </c>
      <c r="X27" s="1502"/>
      <c r="Y27" s="3505"/>
      <c r="Z27" s="1132" t="str">
        <f>Q27</f>
        <v>人流量</v>
      </c>
      <c r="AA27" s="1508">
        <f>D27/F27</f>
        <v>1</v>
      </c>
      <c r="AB27" s="1508">
        <f>D27/H27</f>
        <v>1</v>
      </c>
      <c r="AC27" s="1508">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1"/>
      <c r="M28" s="2013"/>
      <c r="N28" s="2013"/>
      <c r="O28" s="2020"/>
      <c r="P28" s="3505"/>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05"/>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1"/>
      <c r="M29" s="2013"/>
      <c r="N29" s="2013"/>
      <c r="O29" s="2020"/>
      <c r="P29" s="3505"/>
      <c r="Q29" s="1504">
        <f t="shared" si="11"/>
        <v>111</v>
      </c>
      <c r="R29" s="1505" t="s">
        <v>8</v>
      </c>
      <c r="S29" s="1506">
        <f t="shared" si="12"/>
        <v>100</v>
      </c>
      <c r="T29" s="1505" t="s">
        <v>8</v>
      </c>
      <c r="U29" s="1506">
        <f t="shared" si="13"/>
        <v>100</v>
      </c>
      <c r="V29" s="1505" t="s">
        <v>8</v>
      </c>
      <c r="W29" s="1506">
        <f t="shared" si="14"/>
        <v>100</v>
      </c>
      <c r="X29" s="1499"/>
      <c r="Y29" s="3505"/>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1"/>
      <c r="M30" s="2013"/>
      <c r="N30" s="2013"/>
      <c r="O30" s="2020"/>
      <c r="P30" s="3505"/>
      <c r="Q30" s="1504">
        <f t="shared" si="11"/>
        <v>111</v>
      </c>
      <c r="R30" s="1505" t="s">
        <v>8</v>
      </c>
      <c r="S30" s="1506">
        <f t="shared" si="12"/>
        <v>100</v>
      </c>
      <c r="T30" s="1505" t="s">
        <v>8</v>
      </c>
      <c r="U30" s="1506">
        <f t="shared" si="13"/>
        <v>100</v>
      </c>
      <c r="V30" s="1505" t="s">
        <v>8</v>
      </c>
      <c r="W30" s="1506">
        <f t="shared" si="14"/>
        <v>100</v>
      </c>
      <c r="X30" s="1499"/>
      <c r="Y30" s="3505"/>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1"/>
      <c r="M31" s="2013"/>
      <c r="N31" s="2013"/>
      <c r="O31" s="2020"/>
      <c r="P31" s="3505"/>
      <c r="Q31" s="1504">
        <f t="shared" si="11"/>
        <v>111</v>
      </c>
      <c r="R31" s="1505" t="s">
        <v>8</v>
      </c>
      <c r="S31" s="1506">
        <f t="shared" si="12"/>
        <v>100</v>
      </c>
      <c r="T31" s="1505" t="s">
        <v>8</v>
      </c>
      <c r="U31" s="1506">
        <f t="shared" si="13"/>
        <v>100</v>
      </c>
      <c r="V31" s="1505" t="s">
        <v>8</v>
      </c>
      <c r="W31" s="1506">
        <f t="shared" si="14"/>
        <v>100</v>
      </c>
      <c r="X31" s="1499"/>
      <c r="Y31" s="3505"/>
      <c r="Z31" s="1507">
        <f t="shared" si="15"/>
        <v>111</v>
      </c>
      <c r="AA31" s="1508">
        <f t="shared" si="3"/>
        <v>1</v>
      </c>
      <c r="AB31" s="1508">
        <f t="shared" si="4"/>
        <v>1</v>
      </c>
      <c r="AC31" s="1508">
        <f t="shared" si="5"/>
        <v>1</v>
      </c>
    </row>
    <row r="32" spans="1:29" ht="15">
      <c r="A32" s="2621" t="s">
        <v>2735</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1"/>
      <c r="M32" s="2013"/>
      <c r="N32" s="2013"/>
      <c r="O32" s="2020"/>
      <c r="P32" s="3506" t="s">
        <v>544</v>
      </c>
      <c r="Q32" s="1504" t="str">
        <f t="shared" si="11"/>
        <v>商业类型</v>
      </c>
      <c r="R32" s="1505" t="s">
        <v>8</v>
      </c>
      <c r="S32" s="1506">
        <f t="shared" si="12"/>
        <v>100</v>
      </c>
      <c r="T32" s="1505" t="s">
        <v>8</v>
      </c>
      <c r="U32" s="1506">
        <f t="shared" si="13"/>
        <v>100</v>
      </c>
      <c r="V32" s="1505" t="s">
        <v>8</v>
      </c>
      <c r="W32" s="1506">
        <f t="shared" si="14"/>
        <v>100</v>
      </c>
      <c r="X32" s="1499"/>
      <c r="Y32" s="3507" t="s">
        <v>544</v>
      </c>
      <c r="Z32" s="1507" t="str">
        <f t="shared" si="15"/>
        <v>商业类型</v>
      </c>
      <c r="AA32" s="1508">
        <f t="shared" si="3"/>
        <v>1</v>
      </c>
      <c r="AB32" s="1508">
        <f t="shared" si="4"/>
        <v>1</v>
      </c>
      <c r="AC32" s="1508">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19"/>
      <c r="M33" s="2049"/>
      <c r="N33" s="2049"/>
      <c r="O33" s="2022"/>
      <c r="P33" s="3507"/>
      <c r="Q33" s="1533" t="str">
        <f t="shared" si="11"/>
        <v>项目建筑规模</v>
      </c>
      <c r="R33" s="1509" t="s">
        <v>8</v>
      </c>
      <c r="S33" s="1510" t="e">
        <f t="shared" si="12"/>
        <v>#N/A</v>
      </c>
      <c r="T33" s="1509" t="s">
        <v>8</v>
      </c>
      <c r="U33" s="1510" t="e">
        <f t="shared" si="13"/>
        <v>#N/A</v>
      </c>
      <c r="V33" s="1509" t="s">
        <v>8</v>
      </c>
      <c r="W33" s="1510" t="e">
        <f t="shared" si="14"/>
        <v>#N/A</v>
      </c>
      <c r="X33" s="1511"/>
      <c r="Y33" s="3507"/>
      <c r="Z33" s="1512" t="str">
        <f t="shared" si="15"/>
        <v>项目建筑规模</v>
      </c>
      <c r="AA33" s="1508" t="e">
        <f t="shared" si="3"/>
        <v>#N/A</v>
      </c>
      <c r="AB33" s="1508" t="e">
        <f t="shared" si="4"/>
        <v>#N/A</v>
      </c>
      <c r="AC33" s="1508"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1"/>
      <c r="M34" s="2013"/>
      <c r="N34" s="2013"/>
      <c r="O34" s="2020"/>
      <c r="P34" s="3507"/>
      <c r="Q34" s="1504" t="str">
        <f t="shared" si="11"/>
        <v>建筑结构</v>
      </c>
      <c r="R34" s="1505" t="s">
        <v>8</v>
      </c>
      <c r="S34" s="1506">
        <f t="shared" si="12"/>
        <v>100</v>
      </c>
      <c r="T34" s="1505" t="s">
        <v>8</v>
      </c>
      <c r="U34" s="1506">
        <f t="shared" si="13"/>
        <v>100</v>
      </c>
      <c r="V34" s="1505" t="s">
        <v>8</v>
      </c>
      <c r="W34" s="1506">
        <f t="shared" si="14"/>
        <v>100</v>
      </c>
      <c r="X34" s="1499"/>
      <c r="Y34" s="3507"/>
      <c r="Z34" s="1507" t="str">
        <f t="shared" si="15"/>
        <v>建筑结构</v>
      </c>
      <c r="AA34" s="1508">
        <f t="shared" si="3"/>
        <v>1</v>
      </c>
      <c r="AB34" s="1508">
        <f t="shared" si="4"/>
        <v>1</v>
      </c>
      <c r="AC34" s="1508">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1"/>
      <c r="M35" s="2013"/>
      <c r="N35" s="2013"/>
      <c r="O35" s="2020"/>
      <c r="P35" s="3507"/>
      <c r="Q35" s="1504" t="str">
        <f t="shared" si="11"/>
        <v>公共部分装修</v>
      </c>
      <c r="R35" s="1505" t="s">
        <v>8</v>
      </c>
      <c r="S35" s="1506">
        <f t="shared" si="12"/>
        <v>100</v>
      </c>
      <c r="T35" s="1505" t="s">
        <v>8</v>
      </c>
      <c r="U35" s="1506">
        <f t="shared" si="13"/>
        <v>100</v>
      </c>
      <c r="V35" s="1505" t="s">
        <v>8</v>
      </c>
      <c r="W35" s="1506">
        <f t="shared" si="14"/>
        <v>100</v>
      </c>
      <c r="X35" s="1499"/>
      <c r="Y35" s="3507"/>
      <c r="Z35" s="1507" t="str">
        <f t="shared" si="15"/>
        <v>公共部分装修</v>
      </c>
      <c r="AA35" s="1508">
        <f t="shared" si="3"/>
        <v>1</v>
      </c>
      <c r="AB35" s="1508">
        <f t="shared" si="4"/>
        <v>1</v>
      </c>
      <c r="AC35" s="1508">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1"/>
      <c r="M36" s="2013"/>
      <c r="N36" s="2013"/>
      <c r="O36" s="2020"/>
      <c r="P36" s="3507"/>
      <c r="Q36" s="1504" t="str">
        <f t="shared" si="11"/>
        <v>成新度</v>
      </c>
      <c r="R36" s="1505" t="s">
        <v>8</v>
      </c>
      <c r="S36" s="1506" t="e">
        <f t="shared" si="12"/>
        <v>#N/A</v>
      </c>
      <c r="T36" s="1505" t="s">
        <v>8</v>
      </c>
      <c r="U36" s="1506" t="e">
        <f t="shared" si="13"/>
        <v>#N/A</v>
      </c>
      <c r="V36" s="1505" t="s">
        <v>8</v>
      </c>
      <c r="W36" s="1506" t="e">
        <f t="shared" si="14"/>
        <v>#N/A</v>
      </c>
      <c r="X36" s="1499"/>
      <c r="Y36" s="3507"/>
      <c r="Z36" s="1507" t="str">
        <f t="shared" si="15"/>
        <v>成新度</v>
      </c>
      <c r="AA36" s="1508" t="e">
        <f t="shared" si="3"/>
        <v>#N/A</v>
      </c>
      <c r="AB36" s="1508" t="e">
        <f t="shared" si="4"/>
        <v>#N/A</v>
      </c>
      <c r="AC36" s="1508" t="e">
        <f t="shared" si="5"/>
        <v>#N/A</v>
      </c>
    </row>
    <row r="37" spans="1:29" s="1202" customFormat="1" ht="15">
      <c r="A37" s="593"/>
      <c r="B37" s="1806"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4"/>
      <c r="M37" s="2015"/>
      <c r="N37" s="2015"/>
      <c r="O37" s="2016"/>
      <c r="P37" s="3507"/>
      <c r="Q37" s="1133" t="str">
        <f t="shared" si="11"/>
        <v>市政基础设施</v>
      </c>
      <c r="R37" s="1500" t="s">
        <v>8</v>
      </c>
      <c r="S37" s="1501">
        <f t="shared" si="12"/>
        <v>100</v>
      </c>
      <c r="T37" s="1500" t="s">
        <v>8</v>
      </c>
      <c r="U37" s="1501">
        <f t="shared" si="13"/>
        <v>100</v>
      </c>
      <c r="V37" s="1500" t="s">
        <v>8</v>
      </c>
      <c r="W37" s="1501">
        <f t="shared" si="14"/>
        <v>100</v>
      </c>
      <c r="X37" s="1502"/>
      <c r="Y37" s="3507"/>
      <c r="Z37" s="1132" t="str">
        <f t="shared" si="15"/>
        <v>市政基础设施</v>
      </c>
      <c r="AA37" s="1503">
        <f t="shared" si="3"/>
        <v>1</v>
      </c>
      <c r="AB37" s="1503">
        <f t="shared" si="4"/>
        <v>1</v>
      </c>
      <c r="AC37" s="1503">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1"/>
      <c r="M38" s="2013"/>
      <c r="N38" s="2013"/>
      <c r="O38" s="2020"/>
      <c r="P38" s="3507" t="s">
        <v>760</v>
      </c>
      <c r="Q38" s="1504" t="str">
        <f t="shared" si="11"/>
        <v>业态</v>
      </c>
      <c r="R38" s="1505" t="s">
        <v>8</v>
      </c>
      <c r="S38" s="1506">
        <f t="shared" si="12"/>
        <v>100</v>
      </c>
      <c r="T38" s="1505" t="s">
        <v>8</v>
      </c>
      <c r="U38" s="1506">
        <f t="shared" si="13"/>
        <v>100</v>
      </c>
      <c r="V38" s="1505" t="s">
        <v>8</v>
      </c>
      <c r="W38" s="1506">
        <f t="shared" si="14"/>
        <v>100</v>
      </c>
      <c r="X38" s="1499"/>
      <c r="Y38" s="3507" t="s">
        <v>760</v>
      </c>
      <c r="Z38" s="1507" t="str">
        <f t="shared" si="15"/>
        <v>业态</v>
      </c>
      <c r="AA38" s="1508">
        <f t="shared" si="3"/>
        <v>1</v>
      </c>
      <c r="AB38" s="1508">
        <f t="shared" si="4"/>
        <v>1</v>
      </c>
      <c r="AC38" s="1508">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507"/>
      <c r="Q39" s="1504" t="str">
        <f t="shared" si="11"/>
        <v>层高</v>
      </c>
      <c r="R39" s="1505" t="s">
        <v>8</v>
      </c>
      <c r="S39" s="1506">
        <f t="shared" si="12"/>
        <v>100</v>
      </c>
      <c r="T39" s="1505" t="s">
        <v>8</v>
      </c>
      <c r="U39" s="1506">
        <f t="shared" si="13"/>
        <v>100</v>
      </c>
      <c r="V39" s="1505" t="s">
        <v>8</v>
      </c>
      <c r="W39" s="1506">
        <f t="shared" si="14"/>
        <v>100</v>
      </c>
      <c r="X39" s="1499"/>
      <c r="Y39" s="3507"/>
      <c r="Z39" s="1507" t="str">
        <f t="shared" si="15"/>
        <v>层高</v>
      </c>
      <c r="AA39" s="1508">
        <f t="shared" si="3"/>
        <v>1</v>
      </c>
      <c r="AB39" s="1508">
        <f t="shared" si="4"/>
        <v>1</v>
      </c>
      <c r="AC39" s="1508">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1"/>
      <c r="M40" s="2013"/>
      <c r="N40" s="2013"/>
      <c r="O40" s="2020"/>
      <c r="P40" s="3507"/>
      <c r="Q40" s="1504" t="str">
        <f t="shared" si="11"/>
        <v>单套建筑面积</v>
      </c>
      <c r="R40" s="1505" t="s">
        <v>8</v>
      </c>
      <c r="S40" s="1506">
        <f t="shared" si="12"/>
        <v>100</v>
      </c>
      <c r="T40" s="1505" t="s">
        <v>8</v>
      </c>
      <c r="U40" s="1506">
        <f t="shared" si="13"/>
        <v>100</v>
      </c>
      <c r="V40" s="1505" t="s">
        <v>8</v>
      </c>
      <c r="W40" s="1506">
        <f t="shared" si="14"/>
        <v>100</v>
      </c>
      <c r="X40" s="1499"/>
      <c r="Y40" s="3507"/>
      <c r="Z40" s="1507" t="str">
        <f t="shared" si="15"/>
        <v>单套建筑面积</v>
      </c>
      <c r="AA40" s="1508">
        <f t="shared" si="3"/>
        <v>1</v>
      </c>
      <c r="AB40" s="1508">
        <f t="shared" si="4"/>
        <v>1</v>
      </c>
      <c r="AC40" s="1508">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9"/>
      <c r="M41" s="2049"/>
      <c r="N41" s="2049"/>
      <c r="O41" s="2022"/>
      <c r="P41" s="3507"/>
      <c r="Q41" s="1533" t="str">
        <f t="shared" si="11"/>
        <v>进深比</v>
      </c>
      <c r="R41" s="1509" t="s">
        <v>8</v>
      </c>
      <c r="S41" s="1510">
        <f t="shared" si="12"/>
        <v>100</v>
      </c>
      <c r="T41" s="1509" t="s">
        <v>8</v>
      </c>
      <c r="U41" s="1510">
        <f t="shared" si="13"/>
        <v>100</v>
      </c>
      <c r="V41" s="1509" t="s">
        <v>8</v>
      </c>
      <c r="W41" s="1510">
        <f t="shared" si="14"/>
        <v>100</v>
      </c>
      <c r="X41" s="1511"/>
      <c r="Y41" s="3507"/>
      <c r="Z41" s="1512" t="str">
        <f t="shared" si="15"/>
        <v>进深比</v>
      </c>
      <c r="AA41" s="1508">
        <f t="shared" si="3"/>
        <v>1</v>
      </c>
      <c r="AB41" s="1508">
        <f t="shared" si="4"/>
        <v>1</v>
      </c>
      <c r="AC41" s="1508">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1"/>
      <c r="M42" s="2013"/>
      <c r="N42" s="2013"/>
      <c r="O42" s="2020"/>
      <c r="P42" s="3507"/>
      <c r="Q42" s="1504" t="str">
        <f t="shared" si="11"/>
        <v>内部装修</v>
      </c>
      <c r="R42" s="1505" t="s">
        <v>8</v>
      </c>
      <c r="S42" s="1506">
        <f t="shared" si="12"/>
        <v>100</v>
      </c>
      <c r="T42" s="1505" t="s">
        <v>8</v>
      </c>
      <c r="U42" s="1506">
        <f t="shared" si="13"/>
        <v>100</v>
      </c>
      <c r="V42" s="1505" t="s">
        <v>8</v>
      </c>
      <c r="W42" s="1506">
        <f t="shared" si="14"/>
        <v>100</v>
      </c>
      <c r="X42" s="1499"/>
      <c r="Y42" s="3507"/>
      <c r="Z42" s="1507" t="str">
        <f t="shared" si="15"/>
        <v>内部装修</v>
      </c>
      <c r="AA42" s="1508">
        <f t="shared" si="3"/>
        <v>1</v>
      </c>
      <c r="AB42" s="1508">
        <f t="shared" si="4"/>
        <v>1</v>
      </c>
      <c r="AC42" s="1508">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1"/>
      <c r="M43" s="2013"/>
      <c r="N43" s="2013"/>
      <c r="O43" s="2020"/>
      <c r="P43" s="3507"/>
      <c r="Q43" s="1504" t="str">
        <f t="shared" si="11"/>
        <v>内部装修维护情况</v>
      </c>
      <c r="R43" s="1505" t="s">
        <v>8</v>
      </c>
      <c r="S43" s="1506">
        <f t="shared" si="12"/>
        <v>100</v>
      </c>
      <c r="T43" s="1505" t="s">
        <v>8</v>
      </c>
      <c r="U43" s="1506">
        <f t="shared" si="13"/>
        <v>100</v>
      </c>
      <c r="V43" s="1505" t="s">
        <v>8</v>
      </c>
      <c r="W43" s="1506">
        <f t="shared" si="14"/>
        <v>100</v>
      </c>
      <c r="X43" s="1499"/>
      <c r="Y43" s="3507"/>
      <c r="Z43" s="1507" t="str">
        <f t="shared" si="15"/>
        <v>内部装修维护情况</v>
      </c>
      <c r="AA43" s="1508">
        <f t="shared" si="3"/>
        <v>1</v>
      </c>
      <c r="AB43" s="1508">
        <f t="shared" si="4"/>
        <v>1</v>
      </c>
      <c r="AC43" s="1508">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4"/>
      <c r="M44" s="2015"/>
      <c r="N44" s="2015"/>
      <c r="O44" s="2016"/>
      <c r="P44" s="3507"/>
      <c r="Q44" s="1133">
        <f t="shared" si="11"/>
        <v>111</v>
      </c>
      <c r="R44" s="1500" t="s">
        <v>8</v>
      </c>
      <c r="S44" s="1501">
        <f t="shared" si="12"/>
        <v>100</v>
      </c>
      <c r="T44" s="1500" t="s">
        <v>8</v>
      </c>
      <c r="U44" s="1501">
        <f t="shared" si="13"/>
        <v>100</v>
      </c>
      <c r="V44" s="1500" t="s">
        <v>8</v>
      </c>
      <c r="W44" s="1501">
        <f t="shared" si="14"/>
        <v>100</v>
      </c>
      <c r="X44" s="1502"/>
      <c r="Y44" s="3507"/>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1"/>
      <c r="M45" s="2013"/>
      <c r="N45" s="2013"/>
      <c r="O45" s="2020"/>
      <c r="P45" s="3507"/>
      <c r="Q45" s="1504">
        <f t="shared" si="11"/>
        <v>111</v>
      </c>
      <c r="R45" s="1505" t="s">
        <v>8</v>
      </c>
      <c r="S45" s="1506">
        <f t="shared" si="12"/>
        <v>100</v>
      </c>
      <c r="T45" s="1505" t="s">
        <v>8</v>
      </c>
      <c r="U45" s="1506">
        <f t="shared" si="13"/>
        <v>100</v>
      </c>
      <c r="V45" s="1505" t="s">
        <v>8</v>
      </c>
      <c r="W45" s="1506">
        <f t="shared" si="14"/>
        <v>100</v>
      </c>
      <c r="X45" s="1499"/>
      <c r="Y45" s="3507"/>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1"/>
      <c r="M46" s="2013"/>
      <c r="N46" s="2013"/>
      <c r="O46" s="2020"/>
      <c r="P46" s="3590"/>
      <c r="Q46" s="1504">
        <f t="shared" si="11"/>
        <v>111</v>
      </c>
      <c r="R46" s="1505" t="s">
        <v>8</v>
      </c>
      <c r="S46" s="1506">
        <f t="shared" si="12"/>
        <v>100</v>
      </c>
      <c r="T46" s="1505" t="s">
        <v>8</v>
      </c>
      <c r="U46" s="1506">
        <f t="shared" si="13"/>
        <v>100</v>
      </c>
      <c r="V46" s="1505" t="s">
        <v>8</v>
      </c>
      <c r="W46" s="1506">
        <f t="shared" si="14"/>
        <v>100</v>
      </c>
      <c r="X46" s="1499"/>
      <c r="Y46" s="3590"/>
      <c r="Z46" s="1507">
        <f t="shared" si="15"/>
        <v>111</v>
      </c>
      <c r="AA46" s="1508">
        <f t="shared" si="3"/>
        <v>1</v>
      </c>
      <c r="AB46" s="1508">
        <f t="shared" si="4"/>
        <v>1</v>
      </c>
      <c r="AC46" s="1508">
        <f t="shared" si="5"/>
        <v>1</v>
      </c>
    </row>
    <row r="47" spans="1:29" ht="15">
      <c r="A47" s="600" t="s">
        <v>730</v>
      </c>
      <c r="B47" s="875"/>
      <c r="C47" s="2467" t="s">
        <v>1</v>
      </c>
      <c r="D47" s="2468"/>
      <c r="E47" s="2469"/>
      <c r="F47" s="2470"/>
      <c r="G47" s="2471"/>
      <c r="H47" s="2472"/>
      <c r="I47" s="2469"/>
      <c r="J47" s="2472"/>
      <c r="K47" s="1538"/>
      <c r="L47" s="2023"/>
      <c r="M47" s="2024"/>
      <c r="N47" s="2013"/>
      <c r="O47" s="2024"/>
      <c r="P47" s="3502" t="str">
        <f>A47</f>
        <v>成交单价（元/平方米）</v>
      </c>
      <c r="Q47" s="3502"/>
      <c r="R47" s="3589">
        <f>E47</f>
        <v>0</v>
      </c>
      <c r="S47" s="3589"/>
      <c r="T47" s="3589">
        <f>G47</f>
        <v>0</v>
      </c>
      <c r="U47" s="3589"/>
      <c r="V47" s="3589">
        <f>I47</f>
        <v>0</v>
      </c>
      <c r="W47" s="3589"/>
      <c r="X47" s="1494"/>
      <c r="Y47" s="1513"/>
      <c r="Z47" s="1494"/>
      <c r="AA47" s="1494"/>
      <c r="AB47" s="1494"/>
      <c r="AC47" s="1494"/>
    </row>
    <row r="48" spans="1:29" ht="15.75" thickBot="1">
      <c r="A48" s="608" t="s">
        <v>2740</v>
      </c>
      <c r="B48" s="876"/>
      <c r="C48" s="2473" t="e">
        <f>R49</f>
        <v>#DIV/0!</v>
      </c>
      <c r="D48" s="3011" t="s">
        <v>2970</v>
      </c>
      <c r="E48" s="2474" t="e">
        <f>R48</f>
        <v>#DIV/0!</v>
      </c>
      <c r="F48" s="3012"/>
      <c r="G48" s="2473" t="e">
        <f>T48</f>
        <v>#DIV/0!</v>
      </c>
      <c r="H48" s="3012"/>
      <c r="I48" s="2474" t="e">
        <f>V48</f>
        <v>#DIV/0!</v>
      </c>
      <c r="J48" s="3012"/>
      <c r="K48" s="3020">
        <f>F48+H48+J48</f>
        <v>0</v>
      </c>
      <c r="L48" s="2023"/>
      <c r="M48" s="2024"/>
      <c r="N48" s="2013"/>
      <c r="O48" s="2024"/>
      <c r="P48" s="3502" t="str">
        <f>A48</f>
        <v>比较价格（元/平方米）</v>
      </c>
      <c r="Q48" s="3502"/>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494"/>
      <c r="Y48" s="1494"/>
      <c r="Z48" s="1494"/>
      <c r="AA48" s="1494"/>
      <c r="AB48" s="1494"/>
      <c r="AC48" s="1494"/>
    </row>
    <row r="49" spans="1:29" ht="15.75" thickBot="1">
      <c r="A49" s="612" t="s">
        <v>2902</v>
      </c>
      <c r="B49" s="613"/>
      <c r="C49" s="2475" t="e">
        <f>R49</f>
        <v>#DIV/0!</v>
      </c>
      <c r="D49" s="2475"/>
      <c r="E49" s="2475"/>
      <c r="F49" s="2475"/>
      <c r="G49" s="2475"/>
      <c r="H49" s="2475"/>
      <c r="I49" s="2475"/>
      <c r="J49" s="2475"/>
      <c r="K49" s="1539"/>
      <c r="L49" s="2023"/>
      <c r="M49" s="2024"/>
      <c r="N49" s="2013"/>
      <c r="O49" s="2024"/>
      <c r="P49" s="3525" t="str">
        <f>A49</f>
        <v>估价对象XX用房的比较价格（楼面单价，元/平方米）</v>
      </c>
      <c r="Q49" s="3526"/>
      <c r="R49" s="3588" t="e">
        <f>IF(F1="售价",ROUND(IF(D48="简单平均",AVERAGE(R48:V48),R48*F48+T48*H48+V48*J48),0),ROUND(IF(D48="简单平均",AVERAGE(R48:V48),R48*F48+T48*H48+V48*J48),1))</f>
        <v>#DIV/0!</v>
      </c>
      <c r="S49" s="3588"/>
      <c r="T49" s="3588"/>
      <c r="U49" s="3588"/>
      <c r="V49" s="3588"/>
      <c r="W49" s="3588"/>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7"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7"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9" customFormat="1" ht="15">
      <c r="A58" s="636" t="s">
        <v>523</v>
      </c>
      <c r="B58" s="637"/>
      <c r="C58" s="2516" t="str">
        <f>YEAR(C7)&amp;"-"&amp;MONTH(C7)</f>
        <v>2021-2</v>
      </c>
      <c r="D58" s="2518">
        <f>EDATE(C58,-1)</f>
        <v>44197</v>
      </c>
      <c r="E58" s="2518">
        <f t="shared" ref="E58:O58" si="16">EDATE(D58,-1)</f>
        <v>44166</v>
      </c>
      <c r="F58" s="2518">
        <f t="shared" si="16"/>
        <v>44136</v>
      </c>
      <c r="G58" s="2518">
        <f t="shared" si="16"/>
        <v>44105</v>
      </c>
      <c r="H58" s="2518">
        <f t="shared" si="16"/>
        <v>44075</v>
      </c>
      <c r="I58" s="2518">
        <f t="shared" si="16"/>
        <v>44044</v>
      </c>
      <c r="J58" s="2518">
        <f t="shared" si="16"/>
        <v>44013</v>
      </c>
      <c r="K58" s="2518">
        <f t="shared" si="16"/>
        <v>43983</v>
      </c>
      <c r="L58" s="2518">
        <f t="shared" si="16"/>
        <v>43952</v>
      </c>
      <c r="M58" s="2518">
        <f t="shared" si="16"/>
        <v>43922</v>
      </c>
      <c r="N58" s="2518">
        <f t="shared" si="16"/>
        <v>43891</v>
      </c>
      <c r="O58" s="2518">
        <f t="shared" si="16"/>
        <v>43862</v>
      </c>
      <c r="P58" s="2038"/>
      <c r="Q58" s="2039"/>
      <c r="R58" s="2039"/>
      <c r="S58" s="2039"/>
      <c r="T58" s="2039"/>
      <c r="U58" s="2039"/>
      <c r="V58" s="2039"/>
      <c r="W58" s="2039"/>
      <c r="X58" s="2039"/>
      <c r="Y58" s="2039"/>
      <c r="Z58" s="2039"/>
      <c r="AA58" s="2039"/>
      <c r="AB58" s="2039"/>
      <c r="AC58" s="2039"/>
    </row>
    <row r="59" spans="1:29" s="1202" customFormat="1" ht="15">
      <c r="A59" s="638"/>
      <c r="B59" s="639"/>
      <c r="C59" s="640">
        <v>100</v>
      </c>
      <c r="D59" s="641"/>
      <c r="E59" s="641"/>
      <c r="F59" s="641"/>
      <c r="G59" s="641"/>
      <c r="H59" s="641"/>
      <c r="I59" s="641"/>
      <c r="J59" s="641"/>
      <c r="K59" s="641"/>
      <c r="L59" s="641"/>
      <c r="M59" s="642"/>
      <c r="N59" s="641"/>
      <c r="O59" s="643"/>
      <c r="P59" s="2036"/>
      <c r="Q59" s="1902"/>
      <c r="R59" s="1902"/>
      <c r="S59" s="1902"/>
      <c r="T59" s="1902"/>
      <c r="U59" s="1902"/>
      <c r="V59" s="1902"/>
      <c r="W59" s="1902"/>
      <c r="X59" s="1902"/>
      <c r="Y59" s="1902"/>
      <c r="Z59" s="1902"/>
      <c r="AA59" s="1902"/>
      <c r="AB59" s="1902"/>
      <c r="AC59" s="1902"/>
    </row>
    <row r="60" spans="1:29" s="1202"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2"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2" customFormat="1" ht="15.75" thickBot="1">
      <c r="A62" s="650"/>
      <c r="B62" s="639"/>
      <c r="C62" s="877">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187"/>
    </row>
    <row r="63" spans="1:29">
      <c r="A63" s="655" t="s">
        <v>571</v>
      </c>
      <c r="B63" s="656" t="s">
        <v>528</v>
      </c>
      <c r="C63" s="695">
        <f>C9</f>
        <v>0</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662"/>
      <c r="F64" s="662"/>
      <c r="G64" s="662"/>
      <c r="H64" s="662"/>
      <c r="I64" s="662"/>
      <c r="J64" s="662"/>
      <c r="K64" s="662"/>
      <c r="L64" s="662"/>
      <c r="M64" s="663"/>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c r="D68" s="534"/>
      <c r="E68" s="534"/>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4"/>
      <c r="O69" s="2044"/>
      <c r="P69" s="2043"/>
      <c r="Q69" s="2036"/>
      <c r="R69" s="2024"/>
      <c r="S69" s="2024"/>
      <c r="T69" s="2024"/>
      <c r="U69" s="2024"/>
      <c r="V69" s="2024"/>
      <c r="W69" s="2024"/>
      <c r="X69" s="2024"/>
      <c r="Y69" s="2024"/>
      <c r="Z69" s="2024"/>
      <c r="AA69" s="2024"/>
      <c r="AB69" s="2024"/>
      <c r="AC69" s="2024"/>
    </row>
    <row r="70" spans="1:29" s="1292"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2"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2"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2" customFormat="1" ht="15.75" thickBot="1">
      <c r="A73" s="678"/>
      <c r="B73" s="669"/>
      <c r="C73" s="683"/>
      <c r="D73" s="662"/>
      <c r="E73" s="662"/>
      <c r="F73" s="662"/>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2"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2"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2538</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2539</v>
      </c>
      <c r="C82" s="2439" t="s">
        <v>2540</v>
      </c>
      <c r="D82" s="2439" t="s">
        <v>2541</v>
      </c>
      <c r="E82" s="2439" t="s">
        <v>2542</v>
      </c>
      <c r="F82" s="2439" t="s">
        <v>2543</v>
      </c>
      <c r="G82" s="2439" t="s">
        <v>2544</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738</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2" customFormat="1" ht="15.75" thickTop="1">
      <c r="A86" s="700"/>
      <c r="B86" s="664" t="s">
        <v>765</v>
      </c>
      <c r="C86" s="679"/>
      <c r="D86" s="679"/>
      <c r="E86" s="679"/>
      <c r="F86" s="679"/>
      <c r="G86" s="679"/>
      <c r="H86" s="679"/>
      <c r="I86" s="679"/>
      <c r="J86" s="679"/>
      <c r="K86" s="679"/>
      <c r="L86" s="878"/>
      <c r="M86" s="879"/>
      <c r="N86" s="2040"/>
      <c r="O86" s="2040"/>
      <c r="P86" s="2043"/>
      <c r="Q86" s="2036"/>
      <c r="R86" s="1902"/>
      <c r="S86" s="1902"/>
      <c r="T86" s="1902"/>
      <c r="U86" s="1902"/>
      <c r="V86" s="1902"/>
      <c r="W86" s="1902"/>
      <c r="X86" s="1902"/>
      <c r="Y86" s="1902"/>
      <c r="Z86" s="1902"/>
      <c r="AA86" s="1902"/>
      <c r="AB86" s="1902"/>
      <c r="AC86" s="1902"/>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1902"/>
      <c r="S87" s="1902"/>
      <c r="T87" s="1902"/>
      <c r="U87" s="1902"/>
      <c r="V87" s="1902"/>
      <c r="W87" s="1902"/>
      <c r="X87" s="1902"/>
      <c r="Y87" s="1902"/>
      <c r="Z87" s="1902"/>
      <c r="AA87" s="1902"/>
      <c r="AB87" s="1902"/>
      <c r="AC87" s="1902"/>
    </row>
    <row r="88" spans="1:29" s="1202" customFormat="1" ht="15.75" thickTop="1">
      <c r="A88" s="700"/>
      <c r="B88" s="664" t="str">
        <f>B26</f>
        <v>平面位置/可视性</v>
      </c>
      <c r="C88" s="679"/>
      <c r="D88" s="679"/>
      <c r="E88" s="679"/>
      <c r="F88" s="880"/>
      <c r="G88" s="679"/>
      <c r="H88" s="679"/>
      <c r="I88" s="679"/>
      <c r="J88" s="679"/>
      <c r="K88" s="679"/>
      <c r="L88" s="679"/>
      <c r="M88" s="879"/>
      <c r="N88" s="2040"/>
      <c r="O88" s="2040"/>
      <c r="P88" s="2043"/>
      <c r="Q88" s="2036"/>
      <c r="R88" s="1902"/>
      <c r="S88" s="1902"/>
      <c r="T88" s="1902"/>
      <c r="U88" s="1902"/>
      <c r="V88" s="1902"/>
      <c r="W88" s="1902"/>
      <c r="X88" s="1902"/>
      <c r="Y88" s="1902"/>
      <c r="Z88" s="1902"/>
      <c r="AA88" s="1902"/>
      <c r="AB88" s="1902"/>
      <c r="AC88" s="1902"/>
    </row>
    <row r="89" spans="1:29" s="1202" customFormat="1" ht="15.75" thickBot="1">
      <c r="A89" s="700"/>
      <c r="B89" s="669"/>
      <c r="C89" s="683"/>
      <c r="D89" s="662"/>
      <c r="E89" s="662"/>
      <c r="F89" s="662"/>
      <c r="G89" s="662"/>
      <c r="H89" s="662"/>
      <c r="I89" s="662"/>
      <c r="J89" s="662"/>
      <c r="K89" s="662"/>
      <c r="L89" s="662"/>
      <c r="M89" s="662"/>
      <c r="N89" s="2044"/>
      <c r="O89" s="2044"/>
      <c r="P89" s="2043"/>
      <c r="Q89" s="2036"/>
      <c r="R89" s="1902"/>
      <c r="S89" s="1902"/>
      <c r="T89" s="1902"/>
      <c r="U89" s="1902"/>
      <c r="V89" s="1902"/>
      <c r="W89" s="1902"/>
      <c r="X89" s="1902"/>
      <c r="Y89" s="1902"/>
      <c r="Z89" s="1902"/>
      <c r="AA89" s="1902"/>
      <c r="AB89" s="1902"/>
      <c r="AC89" s="1902"/>
    </row>
    <row r="90" spans="1:29" s="1292" customFormat="1" ht="15.75" thickTop="1">
      <c r="A90" s="678"/>
      <c r="B90" s="664" t="str">
        <f>B27</f>
        <v>人流量</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60"/>
      <c r="B92" s="664" t="str">
        <f>B28</f>
        <v>楼层</v>
      </c>
      <c r="C92" s="679"/>
      <c r="D92" s="679"/>
      <c r="E92" s="679"/>
      <c r="F92" s="679"/>
      <c r="G92" s="679"/>
      <c r="H92" s="679"/>
      <c r="I92" s="679"/>
      <c r="J92" s="679"/>
      <c r="K92" s="679"/>
      <c r="L92" s="878"/>
      <c r="M92" s="879"/>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62"/>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62"/>
      <c r="E95" s="662"/>
      <c r="F95" s="662"/>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83"/>
      <c r="D97" s="662"/>
      <c r="E97" s="662"/>
      <c r="F97" s="662"/>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679"/>
      <c r="D98" s="679"/>
      <c r="E98" s="679"/>
      <c r="F98" s="679"/>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81"/>
      <c r="B99" s="690"/>
      <c r="C99" s="691"/>
      <c r="D99" s="691"/>
      <c r="E99" s="691"/>
      <c r="F99" s="691"/>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766</v>
      </c>
      <c r="C100" s="591"/>
      <c r="D100" s="591"/>
      <c r="E100" s="591"/>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2" customFormat="1">
      <c r="A103" s="719"/>
      <c r="B103" s="720"/>
      <c r="C103" s="721"/>
      <c r="D103" s="721"/>
      <c r="E103" s="721"/>
      <c r="F103" s="721"/>
      <c r="G103" s="721"/>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Bot="1">
      <c r="A104" s="678"/>
      <c r="B104" s="669"/>
      <c r="C104" s="683"/>
      <c r="D104" s="662"/>
      <c r="E104" s="662"/>
      <c r="F104" s="662"/>
      <c r="G104" s="662"/>
      <c r="H104" s="662"/>
      <c r="I104" s="662"/>
      <c r="J104" s="662"/>
      <c r="K104" s="662"/>
      <c r="L104" s="662"/>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743</v>
      </c>
      <c r="C105" s="679"/>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745</v>
      </c>
      <c r="C107" s="679"/>
      <c r="D107" s="679"/>
      <c r="E107" s="67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c r="A110" s="726"/>
      <c r="B110" s="672"/>
      <c r="C110" s="882">
        <v>0.5</v>
      </c>
      <c r="D110" s="882">
        <v>0.6</v>
      </c>
      <c r="E110" s="882">
        <v>0.7</v>
      </c>
      <c r="F110" s="882">
        <v>0.8</v>
      </c>
      <c r="G110" s="882">
        <v>0.9</v>
      </c>
      <c r="H110" s="882">
        <v>1.0001</v>
      </c>
      <c r="I110" s="893"/>
      <c r="J110" s="893"/>
      <c r="K110" s="894"/>
      <c r="L110" s="895"/>
      <c r="M110" s="896"/>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4"/>
      <c r="O111" s="2044"/>
      <c r="P111" s="2043"/>
      <c r="Q111" s="2036"/>
      <c r="R111" s="2024"/>
      <c r="S111" s="2024"/>
      <c r="T111" s="2024"/>
      <c r="U111" s="2024"/>
      <c r="V111" s="2024"/>
      <c r="W111" s="2024"/>
      <c r="X111" s="2024"/>
      <c r="Y111" s="2024"/>
      <c r="Z111" s="2024"/>
      <c r="AA111" s="2024"/>
      <c r="AB111" s="2024"/>
      <c r="AC111" s="2024"/>
    </row>
    <row r="112" spans="1:29" s="1292" customFormat="1" ht="15" thickTop="1">
      <c r="A112" s="719"/>
      <c r="B112" s="1807" t="s">
        <v>2537</v>
      </c>
      <c r="C112" s="679"/>
      <c r="D112" s="679"/>
      <c r="E112" s="679"/>
      <c r="F112" s="679"/>
      <c r="G112" s="679"/>
      <c r="H112" s="709"/>
      <c r="I112" s="709"/>
      <c r="J112" s="709"/>
      <c r="K112" s="710"/>
      <c r="L112" s="711"/>
      <c r="M112" s="712"/>
      <c r="N112" s="2045"/>
      <c r="O112" s="2045"/>
      <c r="P112" s="2046"/>
      <c r="Q112" s="2047"/>
      <c r="R112" s="2048"/>
      <c r="S112" s="2048"/>
      <c r="T112" s="2048"/>
      <c r="U112" s="2048"/>
      <c r="V112" s="2048"/>
      <c r="W112" s="2048"/>
      <c r="X112" s="2048"/>
      <c r="Y112" s="2048"/>
      <c r="Z112" s="2048"/>
      <c r="AA112" s="2048"/>
      <c r="AB112" s="2048"/>
      <c r="AC112" s="2048"/>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767</v>
      </c>
      <c r="C114" s="679"/>
      <c r="D114" s="679"/>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664" t="s">
        <v>768</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769</v>
      </c>
      <c r="C118" s="897"/>
      <c r="D118" s="897"/>
      <c r="E118" s="897"/>
      <c r="F118" s="897"/>
      <c r="G118" s="897"/>
      <c r="H118" s="680"/>
      <c r="I118" s="680"/>
      <c r="J118" s="680"/>
      <c r="K118" s="680"/>
      <c r="L118" s="681"/>
      <c r="M118" s="68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2044"/>
      <c r="O119" s="2044"/>
      <c r="P119" s="2043"/>
      <c r="Q119" s="2036"/>
      <c r="R119" s="2024"/>
      <c r="S119" s="2024"/>
      <c r="T119" s="2024"/>
      <c r="U119" s="2024"/>
      <c r="V119" s="2024"/>
      <c r="W119" s="2024"/>
      <c r="X119" s="2024"/>
      <c r="Y119" s="2024"/>
      <c r="Z119" s="2024"/>
      <c r="AA119" s="2024"/>
      <c r="AB119" s="2024"/>
      <c r="AC119" s="2024"/>
    </row>
    <row r="120" spans="1:29" s="1292" customFormat="1" ht="15" thickTop="1">
      <c r="A120" s="719"/>
      <c r="B120" s="664" t="s">
        <v>770</v>
      </c>
      <c r="C120" s="709"/>
      <c r="D120" s="709"/>
      <c r="E120" s="709"/>
      <c r="F120" s="709"/>
      <c r="G120" s="680"/>
      <c r="H120" s="680"/>
      <c r="I120" s="680"/>
      <c r="J120" s="680"/>
      <c r="K120" s="680"/>
      <c r="L120" s="681"/>
      <c r="M120" s="682"/>
      <c r="N120" s="2045"/>
      <c r="O120" s="2045"/>
      <c r="P120" s="2046"/>
      <c r="Q120" s="2047"/>
      <c r="R120" s="2048"/>
      <c r="S120" s="2048"/>
      <c r="T120" s="2048"/>
      <c r="U120" s="2048"/>
      <c r="V120" s="2048"/>
      <c r="W120" s="2048"/>
      <c r="X120" s="2048"/>
      <c r="Y120" s="2048"/>
      <c r="Z120" s="2048"/>
      <c r="AA120" s="2048"/>
      <c r="AB120" s="2048"/>
      <c r="AC120" s="2048"/>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749</v>
      </c>
      <c r="C122" s="679"/>
      <c r="D122" s="679"/>
      <c r="E122" s="679"/>
      <c r="F122" s="709"/>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2"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2"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62"/>
      <c r="E129" s="662"/>
      <c r="F129" s="662"/>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81"/>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098"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1"/>
      <c r="G1" s="1529" t="s">
        <v>715</v>
      </c>
      <c r="H1" s="499"/>
      <c r="I1" s="499"/>
      <c r="J1" s="499"/>
      <c r="K1" s="500"/>
      <c r="L1" s="3207"/>
      <c r="M1" s="3208"/>
      <c r="N1" s="3208"/>
      <c r="O1" s="3208"/>
      <c r="P1" s="3271"/>
      <c r="Q1" s="2011"/>
      <c r="R1" s="2011"/>
      <c r="S1" s="2011"/>
      <c r="T1" s="2011"/>
      <c r="U1" s="2011"/>
      <c r="V1" s="2011"/>
      <c r="W1" s="2011"/>
      <c r="X1" s="2011"/>
      <c r="Y1" s="2011"/>
      <c r="Z1" s="2011"/>
      <c r="AA1" s="2011"/>
      <c r="AB1" s="2011"/>
      <c r="AC1" s="3209"/>
    </row>
    <row r="2" spans="1:29" s="1289" customFormat="1" ht="28.5" customHeight="1">
      <c r="A2" s="416" t="s">
        <v>461</v>
      </c>
      <c r="B2" s="838" t="e">
        <f>ROUND(B3*D3/10000,0)</f>
        <v>#DIV/0!</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9" customFormat="1" ht="28.5" customHeight="1" thickBot="1">
      <c r="A3" s="502" t="s">
        <v>513</v>
      </c>
      <c r="B3" s="503" t="e">
        <f>C50</f>
        <v>#DIV/0!</v>
      </c>
      <c r="C3" s="840" t="s">
        <v>716</v>
      </c>
      <c r="D3" s="839">
        <f>SUMIF('数据-汇总表'!$C19:$C33,D1,'数据-汇总表'!$E19:$E33)</f>
        <v>0</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5" t="s">
        <v>515</v>
      </c>
      <c r="B4" s="506"/>
      <c r="C4" s="3508" t="s">
        <v>516</v>
      </c>
      <c r="D4" s="3509"/>
      <c r="E4" s="3535" t="s">
        <v>517</v>
      </c>
      <c r="F4" s="3536"/>
      <c r="G4" s="3508" t="s">
        <v>518</v>
      </c>
      <c r="H4" s="3509"/>
      <c r="I4" s="3508" t="s">
        <v>519</v>
      </c>
      <c r="J4" s="3509"/>
      <c r="K4" s="507" t="s">
        <v>520</v>
      </c>
      <c r="L4" s="2012"/>
      <c r="M4" s="2013"/>
      <c r="N4" s="2013"/>
      <c r="O4" s="2013"/>
      <c r="P4" s="3612" t="s">
        <v>521</v>
      </c>
      <c r="Q4" s="3511"/>
      <c r="R4" s="3496" t="s">
        <v>517</v>
      </c>
      <c r="S4" s="3497"/>
      <c r="T4" s="3496" t="s">
        <v>518</v>
      </c>
      <c r="U4" s="3497"/>
      <c r="V4" s="3516" t="s">
        <v>519</v>
      </c>
      <c r="W4" s="3516"/>
      <c r="X4" s="1499"/>
      <c r="Y4" s="3496" t="s">
        <v>521</v>
      </c>
      <c r="Z4" s="3497"/>
      <c r="AA4" s="3491" t="s">
        <v>517</v>
      </c>
      <c r="AB4" s="3491" t="s">
        <v>518</v>
      </c>
      <c r="AC4" s="3491" t="s">
        <v>519</v>
      </c>
    </row>
    <row r="5" spans="1:29" ht="15">
      <c r="A5" s="508"/>
      <c r="B5" s="509"/>
      <c r="C5" s="3521" t="s">
        <v>2896</v>
      </c>
      <c r="D5" s="3520"/>
      <c r="E5" s="3537" t="s">
        <v>2897</v>
      </c>
      <c r="F5" s="3538"/>
      <c r="G5" s="3521" t="s">
        <v>2898</v>
      </c>
      <c r="H5" s="3520"/>
      <c r="I5" s="3521" t="s">
        <v>2899</v>
      </c>
      <c r="J5" s="3520"/>
      <c r="K5" s="507"/>
      <c r="L5" s="2012"/>
      <c r="M5" s="2013"/>
      <c r="N5" s="2013"/>
      <c r="O5" s="2013"/>
      <c r="P5" s="3613"/>
      <c r="Q5" s="3513"/>
      <c r="R5" s="3498"/>
      <c r="S5" s="3499"/>
      <c r="T5" s="3498"/>
      <c r="U5" s="3499"/>
      <c r="V5" s="3516"/>
      <c r="W5" s="3516"/>
      <c r="X5" s="1499"/>
      <c r="Y5" s="3498"/>
      <c r="Z5" s="3499"/>
      <c r="AA5" s="3492"/>
      <c r="AB5" s="3492"/>
      <c r="AC5" s="3492"/>
    </row>
    <row r="6" spans="1:29" ht="15.75" thickBot="1">
      <c r="A6" s="510"/>
      <c r="B6" s="511"/>
      <c r="C6" s="3539" t="s">
        <v>2900</v>
      </c>
      <c r="D6" s="3518"/>
      <c r="E6" s="3540" t="s">
        <v>2900</v>
      </c>
      <c r="F6" s="3541"/>
      <c r="G6" s="3539" t="s">
        <v>2900</v>
      </c>
      <c r="H6" s="3518"/>
      <c r="I6" s="3539" t="s">
        <v>2900</v>
      </c>
      <c r="J6" s="3518"/>
      <c r="K6" s="507" t="s">
        <v>522</v>
      </c>
      <c r="L6" s="2012"/>
      <c r="M6" s="2013"/>
      <c r="N6" s="2013"/>
      <c r="O6" s="2013"/>
      <c r="P6" s="36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514"/>
      <c r="F7" s="515">
        <f>SUMIF(59:59,YEAR(E7)&amp;"-"&amp;MONTH(E7),60:60)</f>
        <v>0</v>
      </c>
      <c r="G7" s="514"/>
      <c r="H7" s="513">
        <f>SUMIF(59:59,YEAR(G7)&amp;"-"&amp;MONTH(G7),60:60)</f>
        <v>0</v>
      </c>
      <c r="I7" s="514"/>
      <c r="J7" s="513">
        <f>SUMIF(59:59,YEAR(I7)&amp;"-"&amp;MONTH(I7),60:60)</f>
        <v>0</v>
      </c>
      <c r="K7" s="517"/>
      <c r="L7" s="2014"/>
      <c r="M7" s="2015"/>
      <c r="N7" s="2015"/>
      <c r="O7" s="2015"/>
      <c r="P7" s="3503" t="s">
        <v>524</v>
      </c>
      <c r="Q7" s="3503"/>
      <c r="R7" s="1500" t="s">
        <v>8</v>
      </c>
      <c r="S7" s="1501">
        <f t="shared" ref="S7:S15" si="0">F7</f>
        <v>0</v>
      </c>
      <c r="T7" s="1500" t="s">
        <v>8</v>
      </c>
      <c r="U7" s="1501">
        <f t="shared" ref="U7:U15" si="1">H7</f>
        <v>0</v>
      </c>
      <c r="V7" s="1500" t="s">
        <v>8</v>
      </c>
      <c r="W7" s="1501">
        <f t="shared" ref="W7:W15"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SUMIF(62:62,E8,63:63)-SUMIF(62:62,C8,63:63)+100</f>
        <v>0</v>
      </c>
      <c r="G8" s="518"/>
      <c r="H8" s="513">
        <f>SUMIF(62:62,G8,63:63)-SUMIF(62:62,C8,63:63)+100</f>
        <v>0</v>
      </c>
      <c r="I8" s="518"/>
      <c r="J8" s="513">
        <f>SUMIF(62:62,I8,63:63)-SUMIF(62:62,C8,63:63)+100</f>
        <v>0</v>
      </c>
      <c r="K8" s="517"/>
      <c r="L8" s="2014"/>
      <c r="M8" s="2015"/>
      <c r="N8" s="2015"/>
      <c r="O8" s="2015"/>
      <c r="P8" s="3503" t="s">
        <v>527</v>
      </c>
      <c r="Q8" s="3495"/>
      <c r="R8" s="1500" t="s">
        <v>8</v>
      </c>
      <c r="S8" s="1501">
        <f t="shared" si="0"/>
        <v>0</v>
      </c>
      <c r="T8" s="1500" t="s">
        <v>8</v>
      </c>
      <c r="U8" s="1501">
        <f t="shared" si="1"/>
        <v>0</v>
      </c>
      <c r="V8" s="1500" t="s">
        <v>8</v>
      </c>
      <c r="W8" s="1501">
        <f t="shared" si="2"/>
        <v>0</v>
      </c>
      <c r="X8" s="1502"/>
      <c r="Y8" s="3494" t="s">
        <v>527</v>
      </c>
      <c r="Z8" s="3495"/>
      <c r="AA8" s="1503" t="e">
        <f t="shared" ref="AA8:AA47" si="3">D8/F8</f>
        <v>#DIV/0!</v>
      </c>
      <c r="AB8" s="1503" t="e">
        <f t="shared" ref="AB8:AB47" si="4">D8/H8</f>
        <v>#DIV/0!</v>
      </c>
      <c r="AC8" s="1503" t="e">
        <f t="shared" ref="AC8:AC47" si="5">D8/J8</f>
        <v>#DIV/0!</v>
      </c>
    </row>
    <row r="9" spans="1:29" s="1202" customFormat="1" ht="15">
      <c r="A9" s="2628"/>
      <c r="B9" s="2635" t="s">
        <v>2736</v>
      </c>
      <c r="C9" s="845"/>
      <c r="D9" s="251">
        <v>100</v>
      </c>
      <c r="E9" s="848"/>
      <c r="F9" s="251">
        <f>SUMIF(64:64,E9,65:65)-SUMIF(64:64,C9,65:65)+100</f>
        <v>100</v>
      </c>
      <c r="G9" s="846"/>
      <c r="H9" s="251">
        <f>SUMIF(64:64,G9,65:65)-SUMIF(64:64,C9,65:65)+100</f>
        <v>100</v>
      </c>
      <c r="I9" s="846"/>
      <c r="J9" s="251">
        <f>SUMIF(64:64,I9,65:65)-SUMIF(64:64,C9,65:65)+100</f>
        <v>100</v>
      </c>
      <c r="K9" s="517"/>
      <c r="L9" s="2014"/>
      <c r="M9" s="2015"/>
      <c r="N9" s="2015"/>
      <c r="O9" s="2015"/>
      <c r="P9" s="3502" t="s">
        <v>529</v>
      </c>
      <c r="Q9" s="1133" t="str">
        <f t="shared" ref="Q9:Q15" si="6">B9</f>
        <v>用途</v>
      </c>
      <c r="R9" s="1500" t="s">
        <v>8</v>
      </c>
      <c r="S9" s="1501">
        <f t="shared" si="0"/>
        <v>100</v>
      </c>
      <c r="T9" s="1500" t="s">
        <v>8</v>
      </c>
      <c r="U9" s="1501">
        <f t="shared" si="1"/>
        <v>100</v>
      </c>
      <c r="V9" s="1500" t="s">
        <v>8</v>
      </c>
      <c r="W9" s="1501">
        <f t="shared" si="2"/>
        <v>100</v>
      </c>
      <c r="X9" s="1502"/>
      <c r="Y9" s="3453"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SUMIF(66:66,E10,67:67)-SUMIF(66:66,C10,67:67)+100</f>
        <v>100</v>
      </c>
      <c r="G10" s="850"/>
      <c r="H10" s="252">
        <f>SUMIF(66:66,G10,67:67)-SUMIF(66:66,C10,67:67)+100</f>
        <v>100</v>
      </c>
      <c r="I10" s="849"/>
      <c r="J10" s="252">
        <f>SUMIF(66:66,I10,67:67)-SUMIF(66:66,C10,67:67)+100</f>
        <v>100</v>
      </c>
      <c r="K10" s="577"/>
      <c r="L10" s="2017"/>
      <c r="M10" s="2056"/>
      <c r="N10" s="2056"/>
      <c r="O10" s="2056"/>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9"/>
      <c r="M11" s="2013"/>
      <c r="N11" s="2013"/>
      <c r="O11" s="2013"/>
      <c r="P11" s="3502"/>
      <c r="Q11" s="1133" t="str">
        <f t="shared" si="6"/>
        <v>容积率</v>
      </c>
      <c r="R11" s="1500" t="s">
        <v>8</v>
      </c>
      <c r="S11" s="1501" t="e">
        <f t="shared" si="0"/>
        <v>#N/A</v>
      </c>
      <c r="T11" s="1500" t="s">
        <v>8</v>
      </c>
      <c r="U11" s="1501" t="e">
        <f t="shared" si="1"/>
        <v>#N/A</v>
      </c>
      <c r="V11" s="1500" t="s">
        <v>8</v>
      </c>
      <c r="W11" s="1501" t="e">
        <f t="shared" si="2"/>
        <v>#N/A</v>
      </c>
      <c r="X11" s="1502"/>
      <c r="Y11" s="3453"/>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21"/>
      <c r="F12" s="252">
        <f>SUMIF(71:71,E12,72:72)-SUMIF(71:71,C12,72:72)+100</f>
        <v>100</v>
      </c>
      <c r="G12" s="898"/>
      <c r="H12" s="252">
        <f>SUMIF(71:71,G12,72:72)-SUMIF(71:71,C12,72:72)+100</f>
        <v>100</v>
      </c>
      <c r="I12" s="521"/>
      <c r="J12" s="252">
        <f>SUMIF(71:71,I12,72:72)-SUMIF(71:71,C12,72:72)+100</f>
        <v>100</v>
      </c>
      <c r="K12" s="574"/>
      <c r="L12" s="2014"/>
      <c r="M12" s="2015"/>
      <c r="N12" s="2015"/>
      <c r="O12" s="2015"/>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
      <c r="A13" s="2631"/>
      <c r="B13" s="2637">
        <v>111</v>
      </c>
      <c r="C13" s="532"/>
      <c r="D13" s="533">
        <v>100</v>
      </c>
      <c r="E13" s="521"/>
      <c r="F13" s="252">
        <f>SUMIF(73:73,E13,74:74)-SUMIF(73:73,C13,74:74)+100</f>
        <v>100</v>
      </c>
      <c r="G13" s="898"/>
      <c r="H13" s="533">
        <f>SUMIF(73:73,G13,74:74)-SUMIF(73:73,C13,74:74)+100</f>
        <v>100</v>
      </c>
      <c r="I13" s="521"/>
      <c r="J13" s="533">
        <f>SUMIF(73:73,I13,74:74)-SUMIF(73:73,C13,74:74)+100</f>
        <v>100</v>
      </c>
      <c r="K13" s="574"/>
      <c r="L13" s="2021"/>
      <c r="M13" s="2013"/>
      <c r="N13" s="2013"/>
      <c r="O13" s="2013"/>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15.75" thickBot="1">
      <c r="A14" s="2632"/>
      <c r="B14" s="2638">
        <v>111</v>
      </c>
      <c r="C14" s="538"/>
      <c r="D14" s="539">
        <v>100</v>
      </c>
      <c r="E14" s="899"/>
      <c r="F14" s="539">
        <f>SUMIF(75:75,E14,76:76)-SUMIF(75:75,C14,76:76)+100</f>
        <v>100</v>
      </c>
      <c r="G14" s="898"/>
      <c r="H14" s="539">
        <f>SUMIF(75:75,G14,76:76)-SUMIF(75:75,C14,76:76)+100</f>
        <v>100</v>
      </c>
      <c r="I14" s="521"/>
      <c r="J14" s="539">
        <f>SUMIF(75:75,I14,76:76)-SUMIF(75:75,C14,76:76)+100</f>
        <v>100</v>
      </c>
      <c r="K14" s="574"/>
      <c r="L14" s="2021"/>
      <c r="M14" s="2013"/>
      <c r="N14" s="2013"/>
      <c r="O14" s="2013"/>
      <c r="P14" s="3502"/>
      <c r="Q14" s="1133">
        <f t="shared" si="6"/>
        <v>111</v>
      </c>
      <c r="R14" s="1500" t="s">
        <v>8</v>
      </c>
      <c r="S14" s="1501">
        <f t="shared" si="0"/>
        <v>100</v>
      </c>
      <c r="T14" s="1500" t="s">
        <v>8</v>
      </c>
      <c r="U14" s="1501">
        <f t="shared" si="1"/>
        <v>100</v>
      </c>
      <c r="V14" s="1500" t="s">
        <v>8</v>
      </c>
      <c r="W14" s="1501">
        <f t="shared" si="2"/>
        <v>100</v>
      </c>
      <c r="X14" s="1502"/>
      <c r="Y14" s="3453"/>
      <c r="Z14" s="1132">
        <f t="shared" si="7"/>
        <v>111</v>
      </c>
      <c r="AA14" s="1503">
        <f t="shared" si="3"/>
        <v>1</v>
      </c>
      <c r="AB14" s="1503">
        <f t="shared" si="4"/>
        <v>1</v>
      </c>
      <c r="AC14" s="1503">
        <f t="shared" si="5"/>
        <v>1</v>
      </c>
    </row>
    <row r="15" spans="1:29" ht="71.25">
      <c r="A15" s="2624"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1"/>
      <c r="M15" s="2013"/>
      <c r="N15" s="2013"/>
      <c r="O15" s="2013"/>
      <c r="P15" s="3504" t="s">
        <v>534</v>
      </c>
      <c r="Q15" s="1504" t="str">
        <f t="shared" si="6"/>
        <v>办公集聚程度</v>
      </c>
      <c r="R15" s="1505" t="s">
        <v>8</v>
      </c>
      <c r="S15" s="1506">
        <f t="shared" si="0"/>
        <v>100</v>
      </c>
      <c r="T15" s="1505" t="s">
        <v>8</v>
      </c>
      <c r="U15" s="1506">
        <f t="shared" si="1"/>
        <v>100</v>
      </c>
      <c r="V15" s="1505" t="s">
        <v>8</v>
      </c>
      <c r="W15" s="1506">
        <f t="shared" si="2"/>
        <v>100</v>
      </c>
      <c r="X15" s="1499"/>
      <c r="Y15" s="3504"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1"/>
      <c r="M16" s="2013"/>
      <c r="N16" s="2013"/>
      <c r="O16" s="2013"/>
      <c r="P16" s="3505"/>
      <c r="Q16" s="1504"/>
      <c r="R16" s="1505"/>
      <c r="S16" s="1506"/>
      <c r="T16" s="1505"/>
      <c r="U16" s="1506"/>
      <c r="V16" s="1505"/>
      <c r="W16" s="1506"/>
      <c r="X16" s="1499"/>
      <c r="Y16" s="3505"/>
      <c r="Z16" s="1507"/>
      <c r="AA16" s="1508">
        <v>1</v>
      </c>
      <c r="AB16" s="1508">
        <v>1</v>
      </c>
      <c r="AC16" s="1508">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1"/>
      <c r="M17" s="2013"/>
      <c r="N17" s="2013"/>
      <c r="O17" s="2013"/>
      <c r="P17" s="3505"/>
      <c r="Q17" s="1504" t="str">
        <f>B17</f>
        <v>交通便捷度</v>
      </c>
      <c r="R17" s="1505" t="s">
        <v>8</v>
      </c>
      <c r="S17" s="1506">
        <f>F17</f>
        <v>100</v>
      </c>
      <c r="T17" s="1505" t="s">
        <v>8</v>
      </c>
      <c r="U17" s="1506">
        <f>H17</f>
        <v>100</v>
      </c>
      <c r="V17" s="1505" t="s">
        <v>8</v>
      </c>
      <c r="W17" s="1506">
        <f>J17</f>
        <v>100</v>
      </c>
      <c r="X17" s="1499"/>
      <c r="Y17" s="3505"/>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1"/>
      <c r="M18" s="2013"/>
      <c r="N18" s="2013"/>
      <c r="O18" s="2013"/>
      <c r="P18" s="3505"/>
      <c r="Q18" s="1504"/>
      <c r="R18" s="1505"/>
      <c r="S18" s="1506"/>
      <c r="T18" s="1505"/>
      <c r="U18" s="1506"/>
      <c r="V18" s="1505"/>
      <c r="W18" s="1506"/>
      <c r="X18" s="1499"/>
      <c r="Y18" s="3505"/>
      <c r="Z18" s="1507"/>
      <c r="AA18" s="1508">
        <v>1</v>
      </c>
      <c r="AB18" s="1508">
        <v>1</v>
      </c>
      <c r="AC18" s="1508">
        <v>1</v>
      </c>
    </row>
    <row r="19" spans="1:29" ht="42.75">
      <c r="A19" s="525"/>
      <c r="B19" s="2444"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1"/>
      <c r="M19" s="2013"/>
      <c r="N19" s="2013"/>
      <c r="O19" s="2013"/>
      <c r="P19" s="3505"/>
      <c r="Q19" s="1504" t="str">
        <f>B19</f>
        <v>公共配套设施</v>
      </c>
      <c r="R19" s="1505" t="s">
        <v>8</v>
      </c>
      <c r="S19" s="1506">
        <f>F19</f>
        <v>100</v>
      </c>
      <c r="T19" s="1505" t="s">
        <v>8</v>
      </c>
      <c r="U19" s="1506">
        <f>H19</f>
        <v>100</v>
      </c>
      <c r="V19" s="1505" t="s">
        <v>8</v>
      </c>
      <c r="W19" s="1506">
        <f>J19</f>
        <v>100</v>
      </c>
      <c r="X19" s="1499"/>
      <c r="Y19" s="3505"/>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1"/>
      <c r="M20" s="2013"/>
      <c r="N20" s="2013"/>
      <c r="O20" s="2013"/>
      <c r="P20" s="3505"/>
      <c r="Q20" s="1504"/>
      <c r="R20" s="1505"/>
      <c r="S20" s="1506"/>
      <c r="T20" s="1505"/>
      <c r="U20" s="1506"/>
      <c r="V20" s="1505"/>
      <c r="W20" s="1506"/>
      <c r="X20" s="1499"/>
      <c r="Y20" s="3505"/>
      <c r="Z20" s="1507"/>
      <c r="AA20" s="1508">
        <v>1</v>
      </c>
      <c r="AB20" s="1508">
        <v>1</v>
      </c>
      <c r="AC20" s="1508">
        <v>1</v>
      </c>
    </row>
    <row r="21" spans="1:29" ht="28.5">
      <c r="A21" s="525"/>
      <c r="B21" s="2432"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1"/>
      <c r="M21" s="2013"/>
      <c r="N21" s="2013"/>
      <c r="O21" s="2013"/>
      <c r="P21" s="3505"/>
      <c r="Q21" s="2426" t="str">
        <f>B21</f>
        <v>基础设施水平</v>
      </c>
      <c r="R21" s="1505" t="s">
        <v>8</v>
      </c>
      <c r="S21" s="1506">
        <f>F21</f>
        <v>100</v>
      </c>
      <c r="T21" s="1505" t="s">
        <v>8</v>
      </c>
      <c r="U21" s="1506">
        <f>H21</f>
        <v>100</v>
      </c>
      <c r="V21" s="1505" t="s">
        <v>8</v>
      </c>
      <c r="W21" s="1506">
        <f>J21</f>
        <v>100</v>
      </c>
      <c r="X21" s="2428"/>
      <c r="Y21" s="3505"/>
      <c r="Z21" s="2427"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3"/>
      <c r="L22" s="2021"/>
      <c r="M22" s="2013"/>
      <c r="N22" s="2013"/>
      <c r="O22" s="2013"/>
      <c r="P22" s="3505"/>
      <c r="Q22" s="2426"/>
      <c r="R22" s="1505"/>
      <c r="S22" s="1506"/>
      <c r="T22" s="1505"/>
      <c r="U22" s="1506"/>
      <c r="V22" s="1505"/>
      <c r="W22" s="1506"/>
      <c r="X22" s="2428"/>
      <c r="Y22" s="3505"/>
      <c r="Z22" s="2427"/>
      <c r="AA22" s="1508">
        <v>1</v>
      </c>
      <c r="AB22" s="1508">
        <v>1</v>
      </c>
      <c r="AC22" s="1508">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1"/>
      <c r="M23" s="2013"/>
      <c r="N23" s="2013"/>
      <c r="O23" s="2013"/>
      <c r="P23" s="3505"/>
      <c r="Q23" s="1504" t="str">
        <f>B23</f>
        <v>环境质量</v>
      </c>
      <c r="R23" s="1505" t="s">
        <v>8</v>
      </c>
      <c r="S23" s="1506">
        <f>F23</f>
        <v>100</v>
      </c>
      <c r="T23" s="1505" t="s">
        <v>8</v>
      </c>
      <c r="U23" s="1506">
        <f>H23</f>
        <v>100</v>
      </c>
      <c r="V23" s="1505" t="s">
        <v>8</v>
      </c>
      <c r="W23" s="1506">
        <f>J23</f>
        <v>100</v>
      </c>
      <c r="X23" s="1499"/>
      <c r="Y23" s="3505"/>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1"/>
      <c r="M24" s="2013"/>
      <c r="N24" s="2013"/>
      <c r="O24" s="2013"/>
      <c r="P24" s="3505"/>
      <c r="Q24" s="1504"/>
      <c r="R24" s="1505"/>
      <c r="S24" s="1506"/>
      <c r="T24" s="1505"/>
      <c r="U24" s="1506"/>
      <c r="V24" s="1505"/>
      <c r="W24" s="1506"/>
      <c r="X24" s="1499"/>
      <c r="Y24" s="3505"/>
      <c r="Z24" s="1507"/>
      <c r="AA24" s="1508">
        <v>1</v>
      </c>
      <c r="AB24" s="1508">
        <v>1</v>
      </c>
      <c r="AC24" s="1508">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1"/>
      <c r="M25" s="2013"/>
      <c r="N25" s="2013"/>
      <c r="O25" s="2013"/>
      <c r="P25" s="3505"/>
      <c r="Q25" s="1504" t="str">
        <f>B25</f>
        <v>毗邻道路的类型与等级</v>
      </c>
      <c r="R25" s="1505" t="s">
        <v>8</v>
      </c>
      <c r="S25" s="1506">
        <f>F25</f>
        <v>100</v>
      </c>
      <c r="T25" s="1505" t="s">
        <v>8</v>
      </c>
      <c r="U25" s="1506">
        <f>H25</f>
        <v>100</v>
      </c>
      <c r="V25" s="1505" t="s">
        <v>8</v>
      </c>
      <c r="W25" s="1506">
        <f>J25</f>
        <v>100</v>
      </c>
      <c r="X25" s="1499"/>
      <c r="Y25" s="3505"/>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1"/>
      <c r="M26" s="2013"/>
      <c r="N26" s="2013"/>
      <c r="O26" s="2013"/>
      <c r="P26" s="3505"/>
      <c r="Q26" s="1504"/>
      <c r="R26" s="1505"/>
      <c r="S26" s="1506"/>
      <c r="T26" s="1505"/>
      <c r="U26" s="1506"/>
      <c r="V26" s="1505"/>
      <c r="W26" s="1506"/>
      <c r="X26" s="1499"/>
      <c r="Y26" s="3505"/>
      <c r="Z26" s="1507"/>
      <c r="AA26" s="1508">
        <v>1</v>
      </c>
      <c r="AB26" s="1508">
        <v>1</v>
      </c>
      <c r="AC26" s="1508">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1"/>
      <c r="M27" s="2013"/>
      <c r="N27" s="2013"/>
      <c r="O27" s="2013"/>
      <c r="P27" s="3505"/>
      <c r="Q27" s="1504" t="str">
        <f t="shared" ref="Q27:Q47" si="11">B27</f>
        <v>楼层</v>
      </c>
      <c r="R27" s="1505" t="s">
        <v>8</v>
      </c>
      <c r="S27" s="1506">
        <f>F27</f>
        <v>100</v>
      </c>
      <c r="T27" s="1505" t="s">
        <v>8</v>
      </c>
      <c r="U27" s="1506">
        <f>H27</f>
        <v>100</v>
      </c>
      <c r="V27" s="1505" t="s">
        <v>8</v>
      </c>
      <c r="W27" s="1506">
        <f>J27</f>
        <v>100</v>
      </c>
      <c r="X27" s="1499"/>
      <c r="Y27" s="3505"/>
      <c r="Z27" s="1507" t="str">
        <f>Q27</f>
        <v>楼层</v>
      </c>
      <c r="AA27" s="1508">
        <f t="shared" si="3"/>
        <v>1</v>
      </c>
      <c r="AB27" s="1508">
        <f t="shared" si="4"/>
        <v>1</v>
      </c>
      <c r="AC27" s="1508">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4"/>
      <c r="M28" s="2015"/>
      <c r="N28" s="2015"/>
      <c r="O28" s="2015"/>
      <c r="P28" s="3505"/>
      <c r="Q28" s="1133" t="str">
        <f t="shared" si="11"/>
        <v>朝向</v>
      </c>
      <c r="R28" s="1500" t="s">
        <v>8</v>
      </c>
      <c r="S28" s="1501">
        <f>F28</f>
        <v>100</v>
      </c>
      <c r="T28" s="1500" t="s">
        <v>8</v>
      </c>
      <c r="U28" s="1501">
        <f>H28</f>
        <v>100</v>
      </c>
      <c r="V28" s="1500" t="s">
        <v>8</v>
      </c>
      <c r="W28" s="1501">
        <f>J28</f>
        <v>100</v>
      </c>
      <c r="X28" s="1502"/>
      <c r="Y28" s="3505"/>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1"/>
      <c r="M29" s="2013"/>
      <c r="N29" s="2013"/>
      <c r="O29" s="2013"/>
      <c r="P29" s="3505"/>
      <c r="Q29" s="1504">
        <f t="shared" si="11"/>
        <v>111</v>
      </c>
      <c r="R29" s="1505" t="s">
        <v>8</v>
      </c>
      <c r="S29" s="1506">
        <f t="shared" ref="S29:S47" si="12">F29</f>
        <v>100</v>
      </c>
      <c r="T29" s="1505" t="s">
        <v>8</v>
      </c>
      <c r="U29" s="1506">
        <f t="shared" ref="U29:U47" si="13">H29</f>
        <v>100</v>
      </c>
      <c r="V29" s="1505" t="s">
        <v>8</v>
      </c>
      <c r="W29" s="1506">
        <f t="shared" ref="W29:W47" si="14">J29</f>
        <v>100</v>
      </c>
      <c r="X29" s="1499"/>
      <c r="Y29" s="3505"/>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1"/>
      <c r="M30" s="2013"/>
      <c r="N30" s="2013"/>
      <c r="O30" s="2013"/>
      <c r="P30" s="3505"/>
      <c r="Q30" s="1504">
        <f t="shared" si="11"/>
        <v>111</v>
      </c>
      <c r="R30" s="1505" t="s">
        <v>8</v>
      </c>
      <c r="S30" s="1506">
        <f t="shared" si="12"/>
        <v>100</v>
      </c>
      <c r="T30" s="1505" t="s">
        <v>8</v>
      </c>
      <c r="U30" s="1506">
        <f t="shared" si="13"/>
        <v>100</v>
      </c>
      <c r="V30" s="1505" t="s">
        <v>8</v>
      </c>
      <c r="W30" s="1506">
        <f t="shared" si="14"/>
        <v>100</v>
      </c>
      <c r="X30" s="1499"/>
      <c r="Y30" s="3505"/>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1"/>
      <c r="M31" s="2013"/>
      <c r="N31" s="2013"/>
      <c r="O31" s="2013"/>
      <c r="P31" s="3505"/>
      <c r="Q31" s="1504">
        <f t="shared" si="11"/>
        <v>111</v>
      </c>
      <c r="R31" s="1505" t="s">
        <v>8</v>
      </c>
      <c r="S31" s="1506">
        <f t="shared" si="12"/>
        <v>100</v>
      </c>
      <c r="T31" s="1505" t="s">
        <v>8</v>
      </c>
      <c r="U31" s="1506">
        <f t="shared" si="13"/>
        <v>100</v>
      </c>
      <c r="V31" s="1505" t="s">
        <v>8</v>
      </c>
      <c r="W31" s="1506">
        <f t="shared" si="14"/>
        <v>100</v>
      </c>
      <c r="X31" s="1499"/>
      <c r="Y31" s="3505"/>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1"/>
      <c r="M32" s="2013"/>
      <c r="N32" s="2013"/>
      <c r="O32" s="2013"/>
      <c r="P32" s="3505"/>
      <c r="Q32" s="1504">
        <f t="shared" si="11"/>
        <v>111</v>
      </c>
      <c r="R32" s="1505" t="s">
        <v>8</v>
      </c>
      <c r="S32" s="1506">
        <f t="shared" si="12"/>
        <v>100</v>
      </c>
      <c r="T32" s="1505" t="s">
        <v>8</v>
      </c>
      <c r="U32" s="1506">
        <f t="shared" si="13"/>
        <v>100</v>
      </c>
      <c r="V32" s="1505" t="s">
        <v>8</v>
      </c>
      <c r="W32" s="1506">
        <f t="shared" si="14"/>
        <v>100</v>
      </c>
      <c r="X32" s="1499"/>
      <c r="Y32" s="3505"/>
      <c r="Z32" s="1507">
        <f t="shared" si="15"/>
        <v>111</v>
      </c>
      <c r="AA32" s="1508">
        <f t="shared" si="3"/>
        <v>1</v>
      </c>
      <c r="AB32" s="1508">
        <f t="shared" si="4"/>
        <v>1</v>
      </c>
      <c r="AC32" s="1508">
        <f t="shared" si="5"/>
        <v>1</v>
      </c>
    </row>
    <row r="33" spans="1:29" ht="15">
      <c r="A33" s="2621" t="s">
        <v>2735</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1"/>
      <c r="M33" s="2013"/>
      <c r="N33" s="2013"/>
      <c r="O33" s="2013"/>
      <c r="P33" s="3506" t="s">
        <v>544</v>
      </c>
      <c r="Q33" s="1504" t="str">
        <f t="shared" si="11"/>
        <v>建筑类型</v>
      </c>
      <c r="R33" s="1505" t="s">
        <v>8</v>
      </c>
      <c r="S33" s="1506">
        <f t="shared" si="12"/>
        <v>100</v>
      </c>
      <c r="T33" s="1505" t="s">
        <v>8</v>
      </c>
      <c r="U33" s="1506">
        <f t="shared" si="13"/>
        <v>100</v>
      </c>
      <c r="V33" s="1505" t="s">
        <v>8</v>
      </c>
      <c r="W33" s="1506">
        <f t="shared" si="14"/>
        <v>100</v>
      </c>
      <c r="X33" s="1499"/>
      <c r="Y33" s="3507" t="s">
        <v>544</v>
      </c>
      <c r="Z33" s="1507" t="str">
        <f t="shared" si="15"/>
        <v>建筑类型</v>
      </c>
      <c r="AA33" s="1508">
        <f t="shared" si="3"/>
        <v>1</v>
      </c>
      <c r="AB33" s="1508">
        <f t="shared" si="4"/>
        <v>1</v>
      </c>
      <c r="AC33" s="1508">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19"/>
      <c r="M34" s="2049"/>
      <c r="N34" s="2049"/>
      <c r="O34" s="2049"/>
      <c r="P34" s="3507"/>
      <c r="Q34" s="1533" t="str">
        <f t="shared" si="11"/>
        <v>项目建筑规模</v>
      </c>
      <c r="R34" s="1509" t="s">
        <v>8</v>
      </c>
      <c r="S34" s="1510" t="e">
        <f t="shared" si="12"/>
        <v>#N/A</v>
      </c>
      <c r="T34" s="1509" t="s">
        <v>8</v>
      </c>
      <c r="U34" s="1510" t="e">
        <f t="shared" si="13"/>
        <v>#N/A</v>
      </c>
      <c r="V34" s="1509" t="s">
        <v>8</v>
      </c>
      <c r="W34" s="1510" t="e">
        <f t="shared" si="14"/>
        <v>#N/A</v>
      </c>
      <c r="X34" s="1511"/>
      <c r="Y34" s="3507"/>
      <c r="Z34" s="1512" t="str">
        <f t="shared" si="15"/>
        <v>项目建筑规模</v>
      </c>
      <c r="AA34" s="1508" t="e">
        <f t="shared" si="3"/>
        <v>#N/A</v>
      </c>
      <c r="AB34" s="1508" t="e">
        <f t="shared" si="4"/>
        <v>#N/A</v>
      </c>
      <c r="AC34" s="1508"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1"/>
      <c r="M35" s="2013"/>
      <c r="N35" s="2013"/>
      <c r="O35" s="2013"/>
      <c r="P35" s="3507"/>
      <c r="Q35" s="1504" t="str">
        <f t="shared" si="11"/>
        <v>建筑结构</v>
      </c>
      <c r="R35" s="1505" t="s">
        <v>8</v>
      </c>
      <c r="S35" s="1506">
        <f t="shared" si="12"/>
        <v>100</v>
      </c>
      <c r="T35" s="1505" t="s">
        <v>8</v>
      </c>
      <c r="U35" s="1506">
        <f t="shared" si="13"/>
        <v>100</v>
      </c>
      <c r="V35" s="1505" t="s">
        <v>8</v>
      </c>
      <c r="W35" s="1506">
        <f t="shared" si="14"/>
        <v>100</v>
      </c>
      <c r="X35" s="1499"/>
      <c r="Y35" s="3507"/>
      <c r="Z35" s="1507" t="str">
        <f t="shared" si="15"/>
        <v>建筑结构</v>
      </c>
      <c r="AA35" s="1508">
        <f t="shared" si="3"/>
        <v>1</v>
      </c>
      <c r="AB35" s="1508">
        <f t="shared" si="4"/>
        <v>1</v>
      </c>
      <c r="AC35" s="1508">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1"/>
      <c r="M36" s="2013"/>
      <c r="N36" s="2013"/>
      <c r="O36" s="2013"/>
      <c r="P36" s="3507"/>
      <c r="Q36" s="1504" t="str">
        <f t="shared" si="11"/>
        <v>公共部分装修</v>
      </c>
      <c r="R36" s="1505" t="s">
        <v>8</v>
      </c>
      <c r="S36" s="1506">
        <f t="shared" si="12"/>
        <v>100</v>
      </c>
      <c r="T36" s="1505" t="s">
        <v>8</v>
      </c>
      <c r="U36" s="1506">
        <f t="shared" si="13"/>
        <v>100</v>
      </c>
      <c r="V36" s="1505" t="s">
        <v>8</v>
      </c>
      <c r="W36" s="1506">
        <f t="shared" si="14"/>
        <v>100</v>
      </c>
      <c r="X36" s="1499"/>
      <c r="Y36" s="3507"/>
      <c r="Z36" s="1507" t="str">
        <f t="shared" si="15"/>
        <v>公共部分装修</v>
      </c>
      <c r="AA36" s="1508">
        <f t="shared" si="3"/>
        <v>1</v>
      </c>
      <c r="AB36" s="1508">
        <f t="shared" si="4"/>
        <v>1</v>
      </c>
      <c r="AC36" s="1508">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1"/>
      <c r="M37" s="2013"/>
      <c r="N37" s="2013"/>
      <c r="O37" s="2013"/>
      <c r="P37" s="3507"/>
      <c r="Q37" s="1504" t="str">
        <f t="shared" si="11"/>
        <v>成新度</v>
      </c>
      <c r="R37" s="1505" t="s">
        <v>8</v>
      </c>
      <c r="S37" s="1506" t="e">
        <f t="shared" si="12"/>
        <v>#N/A</v>
      </c>
      <c r="T37" s="1505" t="s">
        <v>8</v>
      </c>
      <c r="U37" s="1506" t="e">
        <f t="shared" si="13"/>
        <v>#N/A</v>
      </c>
      <c r="V37" s="1505" t="s">
        <v>8</v>
      </c>
      <c r="W37" s="1506" t="e">
        <f t="shared" si="14"/>
        <v>#N/A</v>
      </c>
      <c r="X37" s="1499"/>
      <c r="Y37" s="3507"/>
      <c r="Z37" s="1507" t="str">
        <f t="shared" si="15"/>
        <v>成新度</v>
      </c>
      <c r="AA37" s="1508" t="e">
        <f t="shared" si="3"/>
        <v>#N/A</v>
      </c>
      <c r="AB37" s="1508" t="e">
        <f t="shared" si="4"/>
        <v>#N/A</v>
      </c>
      <c r="AC37" s="1508"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4"/>
      <c r="M38" s="2015"/>
      <c r="N38" s="2015"/>
      <c r="O38" s="2015"/>
      <c r="P38" s="3507"/>
      <c r="Q38" s="1133" t="str">
        <f t="shared" si="11"/>
        <v>写字楼等级</v>
      </c>
      <c r="R38" s="1500" t="s">
        <v>8</v>
      </c>
      <c r="S38" s="1501">
        <f t="shared" si="12"/>
        <v>100</v>
      </c>
      <c r="T38" s="1500" t="s">
        <v>8</v>
      </c>
      <c r="U38" s="1501">
        <f t="shared" si="13"/>
        <v>100</v>
      </c>
      <c r="V38" s="1500" t="s">
        <v>8</v>
      </c>
      <c r="W38" s="1501">
        <f t="shared" si="14"/>
        <v>100</v>
      </c>
      <c r="X38" s="1502"/>
      <c r="Y38" s="3507"/>
      <c r="Z38" s="1132" t="str">
        <f t="shared" si="15"/>
        <v>写字楼等级</v>
      </c>
      <c r="AA38" s="1503">
        <f t="shared" si="3"/>
        <v>1</v>
      </c>
      <c r="AB38" s="1503">
        <f t="shared" si="4"/>
        <v>1</v>
      </c>
      <c r="AC38" s="1503">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1"/>
      <c r="M39" s="2013"/>
      <c r="N39" s="2013"/>
      <c r="O39" s="2013"/>
      <c r="P39" s="3507" t="s">
        <v>544</v>
      </c>
      <c r="Q39" s="1504" t="str">
        <f t="shared" si="11"/>
        <v>物业管理</v>
      </c>
      <c r="R39" s="1505" t="s">
        <v>8</v>
      </c>
      <c r="S39" s="1506">
        <f t="shared" si="12"/>
        <v>100</v>
      </c>
      <c r="T39" s="1505" t="s">
        <v>8</v>
      </c>
      <c r="U39" s="1506">
        <f t="shared" si="13"/>
        <v>100</v>
      </c>
      <c r="V39" s="1505" t="s">
        <v>8</v>
      </c>
      <c r="W39" s="1506">
        <f t="shared" si="14"/>
        <v>100</v>
      </c>
      <c r="X39" s="1499"/>
      <c r="Y39" s="3507" t="s">
        <v>544</v>
      </c>
      <c r="Z39" s="1507" t="str">
        <f t="shared" si="15"/>
        <v>物业管理</v>
      </c>
      <c r="AA39" s="1508">
        <f t="shared" si="3"/>
        <v>1</v>
      </c>
      <c r="AB39" s="1508">
        <f t="shared" si="4"/>
        <v>1</v>
      </c>
      <c r="AC39" s="1508">
        <f t="shared" si="5"/>
        <v>1</v>
      </c>
    </row>
    <row r="40" spans="1:29" ht="15">
      <c r="A40" s="587"/>
      <c r="B40" s="1806"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1"/>
      <c r="M40" s="2013"/>
      <c r="N40" s="2013"/>
      <c r="O40" s="2013"/>
      <c r="P40" s="3507"/>
      <c r="Q40" s="1504" t="str">
        <f t="shared" si="11"/>
        <v>市政基础设施</v>
      </c>
      <c r="R40" s="1505" t="s">
        <v>8</v>
      </c>
      <c r="S40" s="1506">
        <f t="shared" si="12"/>
        <v>100</v>
      </c>
      <c r="T40" s="1505" t="s">
        <v>8</v>
      </c>
      <c r="U40" s="1506">
        <f t="shared" si="13"/>
        <v>100</v>
      </c>
      <c r="V40" s="1505" t="s">
        <v>8</v>
      </c>
      <c r="W40" s="1506">
        <f t="shared" si="14"/>
        <v>100</v>
      </c>
      <c r="X40" s="1499"/>
      <c r="Y40" s="3507"/>
      <c r="Z40" s="1507" t="str">
        <f t="shared" si="15"/>
        <v>市政基础设施</v>
      </c>
      <c r="AA40" s="1508">
        <f t="shared" si="3"/>
        <v>1</v>
      </c>
      <c r="AB40" s="1508">
        <f t="shared" si="4"/>
        <v>1</v>
      </c>
      <c r="AC40" s="1508">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1"/>
      <c r="M41" s="2013"/>
      <c r="N41" s="2013"/>
      <c r="O41" s="2013"/>
      <c r="P41" s="3507"/>
      <c r="Q41" s="1504" t="str">
        <f t="shared" si="11"/>
        <v>层高</v>
      </c>
      <c r="R41" s="1505" t="s">
        <v>8</v>
      </c>
      <c r="S41" s="1506">
        <f t="shared" si="12"/>
        <v>100</v>
      </c>
      <c r="T41" s="1505" t="s">
        <v>8</v>
      </c>
      <c r="U41" s="1506">
        <f t="shared" si="13"/>
        <v>100</v>
      </c>
      <c r="V41" s="1505" t="s">
        <v>8</v>
      </c>
      <c r="W41" s="1506">
        <f t="shared" si="14"/>
        <v>100</v>
      </c>
      <c r="X41" s="1499"/>
      <c r="Y41" s="3507"/>
      <c r="Z41" s="1507" t="str">
        <f t="shared" si="15"/>
        <v>层高</v>
      </c>
      <c r="AA41" s="1508">
        <f t="shared" si="3"/>
        <v>1</v>
      </c>
      <c r="AB41" s="1508">
        <f t="shared" si="4"/>
        <v>1</v>
      </c>
      <c r="AC41" s="1508">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9"/>
      <c r="M42" s="2049"/>
      <c r="N42" s="2049"/>
      <c r="O42" s="2049"/>
      <c r="P42" s="3507"/>
      <c r="Q42" s="1533" t="str">
        <f t="shared" si="11"/>
        <v>单套建筑面积</v>
      </c>
      <c r="R42" s="1509" t="s">
        <v>8</v>
      </c>
      <c r="S42" s="1510">
        <f t="shared" si="12"/>
        <v>100</v>
      </c>
      <c r="T42" s="1509" t="s">
        <v>8</v>
      </c>
      <c r="U42" s="1510">
        <f t="shared" si="13"/>
        <v>100</v>
      </c>
      <c r="V42" s="1509" t="s">
        <v>8</v>
      </c>
      <c r="W42" s="1510">
        <f t="shared" si="14"/>
        <v>100</v>
      </c>
      <c r="X42" s="1511"/>
      <c r="Y42" s="3507"/>
      <c r="Z42" s="1512" t="str">
        <f t="shared" si="15"/>
        <v>单套建筑面积</v>
      </c>
      <c r="AA42" s="1508">
        <f t="shared" si="3"/>
        <v>1</v>
      </c>
      <c r="AB42" s="1508">
        <f t="shared" si="4"/>
        <v>1</v>
      </c>
      <c r="AC42" s="1508">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1"/>
      <c r="M43" s="2013"/>
      <c r="N43" s="2013"/>
      <c r="O43" s="2013"/>
      <c r="P43" s="3507"/>
      <c r="Q43" s="1504" t="str">
        <f t="shared" si="11"/>
        <v>内部装修</v>
      </c>
      <c r="R43" s="1505" t="s">
        <v>8</v>
      </c>
      <c r="S43" s="1506">
        <f t="shared" si="12"/>
        <v>100</v>
      </c>
      <c r="T43" s="1505" t="s">
        <v>8</v>
      </c>
      <c r="U43" s="1506">
        <f t="shared" si="13"/>
        <v>100</v>
      </c>
      <c r="V43" s="1505" t="s">
        <v>8</v>
      </c>
      <c r="W43" s="1506">
        <f t="shared" si="14"/>
        <v>100</v>
      </c>
      <c r="X43" s="1499"/>
      <c r="Y43" s="3507"/>
      <c r="Z43" s="1507" t="str">
        <f t="shared" si="15"/>
        <v>内部装修</v>
      </c>
      <c r="AA43" s="1508">
        <f t="shared" si="3"/>
        <v>1</v>
      </c>
      <c r="AB43" s="1508">
        <f t="shared" si="4"/>
        <v>1</v>
      </c>
      <c r="AC43" s="1508">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1"/>
      <c r="M44" s="2013"/>
      <c r="N44" s="2013"/>
      <c r="O44" s="2013"/>
      <c r="P44" s="3507"/>
      <c r="Q44" s="1504" t="str">
        <f t="shared" si="11"/>
        <v>内部装修维护情况</v>
      </c>
      <c r="R44" s="1505" t="s">
        <v>8</v>
      </c>
      <c r="S44" s="1506">
        <f t="shared" si="12"/>
        <v>100</v>
      </c>
      <c r="T44" s="1505" t="s">
        <v>8</v>
      </c>
      <c r="U44" s="1506">
        <f t="shared" si="13"/>
        <v>100</v>
      </c>
      <c r="V44" s="1505" t="s">
        <v>8</v>
      </c>
      <c r="W44" s="1506">
        <f t="shared" si="14"/>
        <v>100</v>
      </c>
      <c r="X44" s="1499"/>
      <c r="Y44" s="3507"/>
      <c r="Z44" s="1507" t="str">
        <f t="shared" si="15"/>
        <v>内部装修维护情况</v>
      </c>
      <c r="AA44" s="1508">
        <f t="shared" si="3"/>
        <v>1</v>
      </c>
      <c r="AB44" s="1508">
        <f t="shared" si="4"/>
        <v>1</v>
      </c>
      <c r="AC44" s="1508">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4"/>
      <c r="M45" s="2015"/>
      <c r="N45" s="2015"/>
      <c r="O45" s="2015"/>
      <c r="P45" s="3507"/>
      <c r="Q45" s="1133">
        <f t="shared" si="11"/>
        <v>111</v>
      </c>
      <c r="R45" s="1500" t="s">
        <v>8</v>
      </c>
      <c r="S45" s="1501">
        <f t="shared" si="12"/>
        <v>100</v>
      </c>
      <c r="T45" s="1500" t="s">
        <v>8</v>
      </c>
      <c r="U45" s="1501">
        <f t="shared" si="13"/>
        <v>100</v>
      </c>
      <c r="V45" s="1500" t="s">
        <v>8</v>
      </c>
      <c r="W45" s="1501">
        <f t="shared" si="14"/>
        <v>100</v>
      </c>
      <c r="X45" s="1502"/>
      <c r="Y45" s="3507"/>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1"/>
      <c r="M46" s="2013"/>
      <c r="N46" s="2013"/>
      <c r="O46" s="2013"/>
      <c r="P46" s="3507"/>
      <c r="Q46" s="1504">
        <f t="shared" si="11"/>
        <v>111</v>
      </c>
      <c r="R46" s="1505" t="s">
        <v>8</v>
      </c>
      <c r="S46" s="1506">
        <f t="shared" si="12"/>
        <v>100</v>
      </c>
      <c r="T46" s="1505" t="s">
        <v>8</v>
      </c>
      <c r="U46" s="1506">
        <f t="shared" si="13"/>
        <v>100</v>
      </c>
      <c r="V46" s="1505" t="s">
        <v>8</v>
      </c>
      <c r="W46" s="1506">
        <f t="shared" si="14"/>
        <v>100</v>
      </c>
      <c r="X46" s="1499"/>
      <c r="Y46" s="3507"/>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1"/>
      <c r="M47" s="2013"/>
      <c r="N47" s="2013"/>
      <c r="O47" s="2013"/>
      <c r="P47" s="3590"/>
      <c r="Q47" s="1504">
        <f t="shared" si="11"/>
        <v>111</v>
      </c>
      <c r="R47" s="1505" t="s">
        <v>8</v>
      </c>
      <c r="S47" s="1506">
        <f t="shared" si="12"/>
        <v>100</v>
      </c>
      <c r="T47" s="1505" t="s">
        <v>8</v>
      </c>
      <c r="U47" s="1506">
        <f t="shared" si="13"/>
        <v>100</v>
      </c>
      <c r="V47" s="1505" t="s">
        <v>8</v>
      </c>
      <c r="W47" s="1506">
        <f t="shared" si="14"/>
        <v>100</v>
      </c>
      <c r="X47" s="1499"/>
      <c r="Y47" s="3590"/>
      <c r="Z47" s="1507">
        <f t="shared" si="15"/>
        <v>111</v>
      </c>
      <c r="AA47" s="1508">
        <f t="shared" si="3"/>
        <v>1</v>
      </c>
      <c r="AB47" s="1508">
        <f t="shared" si="4"/>
        <v>1</v>
      </c>
      <c r="AC47" s="1508">
        <f t="shared" si="5"/>
        <v>1</v>
      </c>
    </row>
    <row r="48" spans="1:29" ht="15">
      <c r="A48" s="600" t="s">
        <v>730</v>
      </c>
      <c r="B48" s="875"/>
      <c r="C48" s="2467" t="s">
        <v>1</v>
      </c>
      <c r="D48" s="2468"/>
      <c r="E48" s="2469"/>
      <c r="F48" s="2470"/>
      <c r="G48" s="2471"/>
      <c r="H48" s="2472"/>
      <c r="I48" s="2469"/>
      <c r="J48" s="2472"/>
      <c r="K48" s="1538"/>
      <c r="L48" s="2023"/>
      <c r="M48" s="2013"/>
      <c r="N48" s="2013"/>
      <c r="O48" s="2013"/>
      <c r="P48" s="3526" t="str">
        <f>A48</f>
        <v>成交单价（元/平方米）</v>
      </c>
      <c r="Q48" s="3502"/>
      <c r="R48" s="3589">
        <f>E48</f>
        <v>0</v>
      </c>
      <c r="S48" s="3589"/>
      <c r="T48" s="3589">
        <f>G48</f>
        <v>0</v>
      </c>
      <c r="U48" s="3589"/>
      <c r="V48" s="3589">
        <f>I48</f>
        <v>0</v>
      </c>
      <c r="W48" s="3589"/>
      <c r="X48" s="1494"/>
      <c r="Y48" s="1513"/>
      <c r="Z48" s="1494"/>
      <c r="AA48" s="1494"/>
      <c r="AB48" s="1494"/>
      <c r="AC48" s="1494"/>
    </row>
    <row r="49" spans="1:29" ht="15.75" thickBot="1">
      <c r="A49" s="608" t="s">
        <v>2740</v>
      </c>
      <c r="B49" s="876"/>
      <c r="C49" s="2473" t="e">
        <f>R50</f>
        <v>#DIV/0!</v>
      </c>
      <c r="D49" s="3011" t="s">
        <v>2970</v>
      </c>
      <c r="E49" s="2474" t="e">
        <f>R49</f>
        <v>#DIV/0!</v>
      </c>
      <c r="F49" s="3012"/>
      <c r="G49" s="2473" t="e">
        <f>T49</f>
        <v>#DIV/0!</v>
      </c>
      <c r="H49" s="3012"/>
      <c r="I49" s="2474" t="e">
        <f>V49</f>
        <v>#DIV/0!</v>
      </c>
      <c r="J49" s="3012"/>
      <c r="K49" s="3020">
        <f>F49+H49+J49</f>
        <v>0</v>
      </c>
      <c r="L49" s="2023"/>
      <c r="M49" s="2013"/>
      <c r="N49" s="2013"/>
      <c r="O49" s="2013"/>
      <c r="P49" s="3526" t="str">
        <f>A49</f>
        <v>比较价格（元/平方米）</v>
      </c>
      <c r="Q49" s="3502"/>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1494"/>
      <c r="Y49" s="1494"/>
      <c r="Z49" s="1494"/>
      <c r="AA49" s="1494"/>
      <c r="AB49" s="1494"/>
      <c r="AC49" s="1494"/>
    </row>
    <row r="50" spans="1:29" ht="15.75" thickBot="1">
      <c r="A50" s="612" t="s">
        <v>2902</v>
      </c>
      <c r="B50" s="613"/>
      <c r="C50" s="2475" t="e">
        <f>R50</f>
        <v>#DIV/0!</v>
      </c>
      <c r="D50" s="2475"/>
      <c r="E50" s="2475"/>
      <c r="F50" s="2475"/>
      <c r="G50" s="2475"/>
      <c r="H50" s="2475"/>
      <c r="I50" s="2475"/>
      <c r="J50" s="2475"/>
      <c r="K50" s="1539"/>
      <c r="L50" s="2023"/>
      <c r="M50" s="2013"/>
      <c r="N50" s="2013"/>
      <c r="O50" s="2013"/>
      <c r="P50" s="3615" t="str">
        <f>A50</f>
        <v>估价对象XX用房的比较价格（楼面单价，元/平方米）</v>
      </c>
      <c r="Q50" s="3526"/>
      <c r="R50" s="3588" t="e">
        <f>IF(F1="售价",ROUND(IF(D49="简单平均",AVERAGE(R49:V49),R49*F49+T49*H49+V49*J49),0),ROUND(IF(D49="简单平均",AVERAGE(R49:V49),R49*F49+T49*H49+V49*J49),1))</f>
        <v>#DIV/0!</v>
      </c>
      <c r="S50" s="3588"/>
      <c r="T50" s="3588"/>
      <c r="U50" s="3588"/>
      <c r="V50" s="3588"/>
      <c r="W50" s="3588"/>
      <c r="X50" s="1494"/>
      <c r="Y50" s="1494"/>
      <c r="Z50" s="1494"/>
      <c r="AA50" s="1494"/>
      <c r="AB50" s="1494"/>
      <c r="AC50" s="1494"/>
    </row>
    <row r="51" spans="1:29">
      <c r="A51" s="3211"/>
      <c r="B51" s="3211"/>
      <c r="C51" s="3211"/>
      <c r="D51" s="3211"/>
      <c r="E51" s="3211"/>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28"/>
      <c r="M54" s="2024"/>
      <c r="N54" s="2024"/>
      <c r="O54" s="2024"/>
      <c r="P54" s="2085"/>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1"/>
      <c r="M55" s="2025"/>
      <c r="N55" s="2025"/>
      <c r="O55" s="2025"/>
      <c r="P55" s="2086"/>
      <c r="Q55" s="2025"/>
      <c r="R55" s="2025"/>
      <c r="S55" s="2025"/>
      <c r="T55" s="2025"/>
      <c r="U55" s="2025"/>
      <c r="V55" s="2025"/>
      <c r="W55" s="2025"/>
      <c r="X55" s="2025"/>
      <c r="Y55" s="2025"/>
      <c r="Z55" s="2025"/>
      <c r="AA55" s="2025"/>
      <c r="AB55" s="2025"/>
      <c r="AC55" s="2025"/>
    </row>
    <row r="56" spans="1:29" s="1297"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9" customFormat="1" ht="15">
      <c r="A59" s="636" t="s">
        <v>523</v>
      </c>
      <c r="B59" s="637"/>
      <c r="C59" s="2516" t="str">
        <f>YEAR(C7)&amp;"-"&amp;MONTH(C7)</f>
        <v>2021-2</v>
      </c>
      <c r="D59" s="2518">
        <f>EDATE(C59,-1)</f>
        <v>44197</v>
      </c>
      <c r="E59" s="2518">
        <f t="shared" ref="E59:O59" si="16">EDATE(D59,-1)</f>
        <v>44166</v>
      </c>
      <c r="F59" s="2518">
        <f t="shared" si="16"/>
        <v>44136</v>
      </c>
      <c r="G59" s="2518">
        <f t="shared" si="16"/>
        <v>44105</v>
      </c>
      <c r="H59" s="2518">
        <f t="shared" si="16"/>
        <v>44075</v>
      </c>
      <c r="I59" s="2518">
        <f t="shared" si="16"/>
        <v>44044</v>
      </c>
      <c r="J59" s="2518">
        <f t="shared" si="16"/>
        <v>44013</v>
      </c>
      <c r="K59" s="2518">
        <f t="shared" si="16"/>
        <v>43983</v>
      </c>
      <c r="L59" s="2518">
        <f t="shared" si="16"/>
        <v>43952</v>
      </c>
      <c r="M59" s="2518">
        <f t="shared" si="16"/>
        <v>43922</v>
      </c>
      <c r="N59" s="2518">
        <f t="shared" si="16"/>
        <v>43891</v>
      </c>
      <c r="O59" s="2518">
        <f t="shared" si="16"/>
        <v>43862</v>
      </c>
      <c r="P59" s="2088"/>
      <c r="Q59" s="2039"/>
      <c r="R59" s="2039"/>
      <c r="S59" s="2039"/>
      <c r="T59" s="2039"/>
      <c r="U59" s="2039"/>
      <c r="V59" s="2039"/>
      <c r="W59" s="2039"/>
      <c r="X59" s="2039"/>
      <c r="Y59" s="2039"/>
      <c r="Z59" s="2039"/>
      <c r="AA59" s="2039"/>
      <c r="AB59" s="2039"/>
      <c r="AC59" s="2039"/>
    </row>
    <row r="60" spans="1:29" s="1202" customFormat="1" ht="15">
      <c r="A60" s="638"/>
      <c r="B60" s="639"/>
      <c r="C60" s="640">
        <v>100</v>
      </c>
      <c r="D60" s="641"/>
      <c r="E60" s="641"/>
      <c r="F60" s="641"/>
      <c r="G60" s="641"/>
      <c r="H60" s="641"/>
      <c r="I60" s="641"/>
      <c r="J60" s="641"/>
      <c r="K60" s="641"/>
      <c r="L60" s="641"/>
      <c r="M60" s="642"/>
      <c r="N60" s="641"/>
      <c r="O60" s="642"/>
      <c r="P60" s="2089"/>
      <c r="Q60" s="1902"/>
      <c r="R60" s="1902"/>
      <c r="S60" s="1902"/>
      <c r="T60" s="1902"/>
      <c r="U60" s="1902"/>
      <c r="V60" s="1902"/>
      <c r="W60" s="1902"/>
      <c r="X60" s="1902"/>
      <c r="Y60" s="1902"/>
      <c r="Z60" s="1902"/>
      <c r="AA60" s="1902"/>
      <c r="AB60" s="1902"/>
      <c r="AC60" s="1902"/>
    </row>
    <row r="61" spans="1:29" s="1202" customFormat="1" ht="15.75" thickBot="1">
      <c r="A61" s="644" t="s">
        <v>569</v>
      </c>
      <c r="B61" s="645"/>
      <c r="C61" s="646"/>
      <c r="D61" s="647"/>
      <c r="E61" s="647"/>
      <c r="F61" s="647"/>
      <c r="G61" s="647"/>
      <c r="H61" s="647"/>
      <c r="I61" s="647"/>
      <c r="J61" s="647"/>
      <c r="K61" s="647"/>
      <c r="L61" s="647"/>
      <c r="M61" s="648"/>
      <c r="N61" s="647"/>
      <c r="O61" s="648"/>
      <c r="P61" s="2089"/>
      <c r="Q61" s="2036"/>
      <c r="R61" s="1902"/>
      <c r="S61" s="1902"/>
      <c r="T61" s="1902"/>
      <c r="U61" s="1902"/>
      <c r="V61" s="1902"/>
      <c r="W61" s="1902"/>
      <c r="X61" s="1902"/>
      <c r="Y61" s="1902"/>
      <c r="Z61" s="1902"/>
      <c r="AA61" s="1902"/>
      <c r="AB61" s="1902"/>
      <c r="AC61" s="1902"/>
    </row>
    <row r="62" spans="1:29" s="1202" customFormat="1" ht="15">
      <c r="A62" s="650" t="s">
        <v>525</v>
      </c>
      <c r="B62" s="639"/>
      <c r="C62" s="651" t="s">
        <v>570</v>
      </c>
      <c r="D62" s="652"/>
      <c r="E62" s="652"/>
      <c r="F62" s="652"/>
      <c r="G62" s="652"/>
      <c r="H62" s="652"/>
      <c r="I62" s="652"/>
      <c r="J62" s="652"/>
      <c r="K62" s="652"/>
      <c r="L62" s="653"/>
      <c r="M62" s="654"/>
      <c r="N62" s="2040"/>
      <c r="O62" s="2040"/>
      <c r="P62" s="2090"/>
      <c r="Q62" s="2036"/>
      <c r="R62" s="1902"/>
      <c r="S62" s="1902"/>
      <c r="T62" s="1902"/>
      <c r="U62" s="1902"/>
      <c r="V62" s="1902"/>
      <c r="W62" s="1902"/>
      <c r="X62" s="1902"/>
      <c r="Y62" s="1902"/>
      <c r="Z62" s="1902"/>
      <c r="AA62" s="1902"/>
      <c r="AB62" s="1902"/>
      <c r="AC62" s="1902"/>
    </row>
    <row r="63" spans="1:29" s="1202" customFormat="1" ht="15.75" thickBot="1">
      <c r="A63" s="650"/>
      <c r="B63" s="639"/>
      <c r="C63" s="877">
        <v>100</v>
      </c>
      <c r="D63" s="641"/>
      <c r="E63" s="641"/>
      <c r="F63" s="641"/>
      <c r="G63" s="641"/>
      <c r="H63" s="641"/>
      <c r="I63" s="641"/>
      <c r="J63" s="641"/>
      <c r="K63" s="641"/>
      <c r="L63" s="641"/>
      <c r="M63" s="643"/>
      <c r="N63" s="2040"/>
      <c r="O63" s="2040"/>
      <c r="P63" s="2089"/>
      <c r="Q63" s="2036"/>
      <c r="R63" s="1902"/>
      <c r="S63" s="1902"/>
      <c r="T63" s="1902"/>
      <c r="U63" s="1902"/>
      <c r="V63" s="1902"/>
      <c r="W63" s="1902"/>
      <c r="X63" s="1902"/>
      <c r="Y63" s="1902"/>
      <c r="Z63" s="1902"/>
      <c r="AA63" s="1902"/>
      <c r="AB63" s="1902"/>
      <c r="AC63" s="1902"/>
    </row>
    <row r="64" spans="1:29">
      <c r="A64" s="655" t="s">
        <v>571</v>
      </c>
      <c r="B64" s="656" t="s">
        <v>528</v>
      </c>
      <c r="C64" s="695">
        <f>C9</f>
        <v>0</v>
      </c>
      <c r="D64" s="591"/>
      <c r="E64" s="591"/>
      <c r="F64" s="591"/>
      <c r="G64" s="591"/>
      <c r="H64" s="591"/>
      <c r="I64" s="591"/>
      <c r="J64" s="591"/>
      <c r="K64" s="657"/>
      <c r="L64" s="658"/>
      <c r="M64" s="659"/>
      <c r="N64" s="2042"/>
      <c r="O64" s="2042"/>
      <c r="P64" s="2091"/>
      <c r="Q64" s="2036"/>
      <c r="R64" s="2024"/>
      <c r="S64" s="2024"/>
      <c r="T64" s="2024"/>
      <c r="U64" s="2024"/>
      <c r="V64" s="2024"/>
      <c r="W64" s="2024"/>
      <c r="X64" s="2024"/>
      <c r="Y64" s="2024"/>
      <c r="Z64" s="2024"/>
      <c r="AA64" s="2024"/>
      <c r="AB64" s="2024"/>
      <c r="AC64" s="2024"/>
    </row>
    <row r="65" spans="1:29" ht="15.75" thickBot="1">
      <c r="A65" s="660"/>
      <c r="B65" s="661"/>
      <c r="C65" s="662"/>
      <c r="D65" s="662"/>
      <c r="E65" s="662"/>
      <c r="F65" s="662"/>
      <c r="G65" s="662"/>
      <c r="H65" s="662"/>
      <c r="I65" s="662"/>
      <c r="J65" s="662"/>
      <c r="K65" s="662"/>
      <c r="L65" s="662"/>
      <c r="M65" s="663"/>
      <c r="N65" s="2044"/>
      <c r="O65" s="2044"/>
      <c r="P65" s="2091"/>
      <c r="Q65" s="2036"/>
      <c r="R65" s="2024"/>
      <c r="S65" s="2024"/>
      <c r="T65" s="2024"/>
      <c r="U65" s="2024"/>
      <c r="V65" s="2024"/>
      <c r="W65" s="2024"/>
      <c r="X65" s="2024"/>
      <c r="Y65" s="2024"/>
      <c r="Z65" s="2024"/>
      <c r="AA65" s="2024"/>
      <c r="AB65" s="2024"/>
      <c r="AC65" s="2024"/>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2"/>
      <c r="O66" s="2042"/>
      <c r="P66" s="2091"/>
      <c r="Q66" s="2036"/>
      <c r="R66" s="2024"/>
      <c r="S66" s="2024"/>
      <c r="T66" s="2024"/>
      <c r="U66" s="2024"/>
      <c r="V66" s="2024"/>
      <c r="W66" s="2024"/>
      <c r="X66" s="2024"/>
      <c r="Y66" s="2024"/>
      <c r="Z66" s="2024"/>
      <c r="AA66" s="2024"/>
      <c r="AB66" s="2024"/>
      <c r="AC66" s="2024"/>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4"/>
      <c r="O67" s="2044"/>
      <c r="P67" s="2091"/>
      <c r="Q67" s="2036"/>
      <c r="R67" s="2024"/>
      <c r="S67" s="2024"/>
      <c r="T67" s="2024"/>
      <c r="U67" s="2024"/>
      <c r="V67" s="2024"/>
      <c r="W67" s="2024"/>
      <c r="X67" s="2024"/>
      <c r="Y67" s="2024"/>
      <c r="Z67" s="2024"/>
      <c r="AA67" s="2024"/>
      <c r="AB67" s="2024"/>
      <c r="AC67" s="2024"/>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0"/>
      <c r="B69" s="674"/>
      <c r="C69" s="534"/>
      <c r="D69" s="534"/>
      <c r="E69" s="534"/>
      <c r="F69" s="534"/>
      <c r="G69" s="534"/>
      <c r="H69" s="534"/>
      <c r="I69" s="534"/>
      <c r="J69" s="534"/>
      <c r="K69" s="675"/>
      <c r="L69" s="676"/>
      <c r="M69" s="677"/>
      <c r="N69" s="2042"/>
      <c r="O69" s="2042"/>
      <c r="P69" s="2091"/>
      <c r="Q69" s="2036"/>
      <c r="R69" s="2024"/>
      <c r="S69" s="2024"/>
      <c r="T69" s="2024"/>
      <c r="U69" s="2024"/>
      <c r="V69" s="2024"/>
      <c r="W69" s="2024"/>
      <c r="X69" s="2024"/>
      <c r="Y69" s="2024"/>
      <c r="Z69" s="2024"/>
      <c r="AA69" s="2024"/>
      <c r="AB69" s="2024"/>
      <c r="AC69" s="2024"/>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4"/>
      <c r="O70" s="2044"/>
      <c r="P70" s="2091"/>
      <c r="Q70" s="2036"/>
      <c r="R70" s="2024"/>
      <c r="S70" s="2024"/>
      <c r="T70" s="2024"/>
      <c r="U70" s="2024"/>
      <c r="V70" s="2024"/>
      <c r="W70" s="2024"/>
      <c r="X70" s="2024"/>
      <c r="Y70" s="2024"/>
      <c r="Z70" s="2024"/>
      <c r="AA70" s="2024"/>
      <c r="AB70" s="2024"/>
      <c r="AC70" s="2024"/>
    </row>
    <row r="71" spans="1:29" s="1292" customFormat="1" ht="15.75" thickTop="1">
      <c r="A71" s="678"/>
      <c r="B71" s="664">
        <f>B12</f>
        <v>111</v>
      </c>
      <c r="C71" s="679"/>
      <c r="D71" s="679"/>
      <c r="E71" s="679"/>
      <c r="F71" s="679"/>
      <c r="G71" s="679"/>
      <c r="H71" s="680"/>
      <c r="I71" s="680"/>
      <c r="J71" s="680"/>
      <c r="K71" s="680"/>
      <c r="L71" s="681"/>
      <c r="M71" s="682"/>
      <c r="N71" s="2045"/>
      <c r="O71" s="2045"/>
      <c r="P71" s="2092"/>
      <c r="Q71" s="2047"/>
      <c r="R71" s="2048"/>
      <c r="S71" s="2048"/>
      <c r="T71" s="2048"/>
      <c r="U71" s="2048"/>
      <c r="V71" s="2048"/>
      <c r="W71" s="2048"/>
      <c r="X71" s="2048"/>
      <c r="Y71" s="2048"/>
      <c r="Z71" s="2048"/>
      <c r="AA71" s="2048"/>
      <c r="AB71" s="2048"/>
      <c r="AC71" s="2048"/>
    </row>
    <row r="72" spans="1:29" s="1292" customFormat="1" ht="15.75" thickBot="1">
      <c r="A72" s="678"/>
      <c r="B72" s="669"/>
      <c r="C72" s="683"/>
      <c r="D72" s="662"/>
      <c r="E72" s="662"/>
      <c r="F72" s="662"/>
      <c r="G72" s="662"/>
      <c r="H72" s="662"/>
      <c r="I72" s="662"/>
      <c r="J72" s="662"/>
      <c r="K72" s="662"/>
      <c r="L72" s="662"/>
      <c r="M72" s="663"/>
      <c r="N72" s="2044"/>
      <c r="O72" s="2044"/>
      <c r="P72" s="2092"/>
      <c r="Q72" s="2047"/>
      <c r="R72" s="2048"/>
      <c r="S72" s="2048"/>
      <c r="T72" s="2048"/>
      <c r="U72" s="2048"/>
      <c r="V72" s="2048"/>
      <c r="W72" s="2048"/>
      <c r="X72" s="2048"/>
      <c r="Y72" s="2048"/>
      <c r="Z72" s="2048"/>
      <c r="AA72" s="2048"/>
      <c r="AB72" s="2048"/>
      <c r="AC72" s="2048"/>
    </row>
    <row r="73" spans="1:29" s="1292" customFormat="1" ht="15.75" thickTop="1">
      <c r="A73" s="678"/>
      <c r="B73" s="664">
        <f>B13</f>
        <v>111</v>
      </c>
      <c r="C73" s="679"/>
      <c r="D73" s="679"/>
      <c r="E73" s="679"/>
      <c r="F73" s="679"/>
      <c r="G73" s="679"/>
      <c r="H73" s="680"/>
      <c r="I73" s="680"/>
      <c r="J73" s="680"/>
      <c r="K73" s="680"/>
      <c r="L73" s="681"/>
      <c r="M73" s="682"/>
      <c r="N73" s="2045"/>
      <c r="O73" s="2045"/>
      <c r="P73" s="2093"/>
      <c r="Q73" s="2050"/>
      <c r="R73" s="2048"/>
      <c r="S73" s="2048"/>
      <c r="T73" s="2048"/>
      <c r="U73" s="2048"/>
      <c r="V73" s="2048"/>
      <c r="W73" s="2048"/>
      <c r="X73" s="2048"/>
      <c r="Y73" s="2048"/>
      <c r="Z73" s="2048"/>
      <c r="AA73" s="2048"/>
      <c r="AB73" s="2048"/>
      <c r="AC73" s="2048"/>
    </row>
    <row r="74" spans="1:29" s="1292" customFormat="1" ht="15.75" thickBot="1">
      <c r="A74" s="678"/>
      <c r="B74" s="669"/>
      <c r="C74" s="683"/>
      <c r="D74" s="683"/>
      <c r="E74" s="683"/>
      <c r="F74" s="683"/>
      <c r="G74" s="683"/>
      <c r="H74" s="684"/>
      <c r="I74" s="684"/>
      <c r="J74" s="684"/>
      <c r="K74" s="684"/>
      <c r="L74" s="684"/>
      <c r="M74" s="685"/>
      <c r="N74" s="2045"/>
      <c r="O74" s="2045"/>
      <c r="P74" s="2092"/>
      <c r="Q74" s="2047"/>
      <c r="R74" s="2048"/>
      <c r="S74" s="2048"/>
      <c r="T74" s="2048"/>
      <c r="U74" s="2048"/>
      <c r="V74" s="2048"/>
      <c r="W74" s="2048"/>
      <c r="X74" s="2048"/>
      <c r="Y74" s="2048"/>
      <c r="Z74" s="2048"/>
      <c r="AA74" s="2048"/>
      <c r="AB74" s="2048"/>
      <c r="AC74" s="2048"/>
    </row>
    <row r="75" spans="1:29" s="1292" customFormat="1" ht="15.75" thickTop="1">
      <c r="A75" s="678"/>
      <c r="B75" s="672">
        <f>B14</f>
        <v>111</v>
      </c>
      <c r="C75" s="652"/>
      <c r="D75" s="652"/>
      <c r="E75" s="652"/>
      <c r="F75" s="652"/>
      <c r="G75" s="652"/>
      <c r="H75" s="686"/>
      <c r="I75" s="686"/>
      <c r="J75" s="686"/>
      <c r="K75" s="686"/>
      <c r="L75" s="687"/>
      <c r="M75" s="688"/>
      <c r="N75" s="2045"/>
      <c r="O75" s="2045"/>
      <c r="P75" s="2094"/>
      <c r="Q75" s="2047"/>
      <c r="R75" s="2048"/>
      <c r="S75" s="2048"/>
      <c r="T75" s="2048"/>
      <c r="U75" s="2048"/>
      <c r="V75" s="2048"/>
      <c r="W75" s="2048"/>
      <c r="X75" s="2048"/>
      <c r="Y75" s="2048"/>
      <c r="Z75" s="2048"/>
      <c r="AA75" s="2048"/>
      <c r="AB75" s="2048"/>
      <c r="AC75" s="2048"/>
    </row>
    <row r="76" spans="1:29" s="1292" customFormat="1" ht="15.75" thickBot="1">
      <c r="A76" s="689"/>
      <c r="B76" s="690"/>
      <c r="C76" s="691"/>
      <c r="D76" s="691"/>
      <c r="E76" s="691"/>
      <c r="F76" s="691"/>
      <c r="G76" s="691"/>
      <c r="H76" s="692"/>
      <c r="I76" s="692"/>
      <c r="J76" s="692"/>
      <c r="K76" s="692"/>
      <c r="L76" s="692"/>
      <c r="M76" s="693"/>
      <c r="N76" s="2045"/>
      <c r="O76" s="2045"/>
      <c r="P76" s="2092"/>
      <c r="Q76" s="2047"/>
      <c r="R76" s="2048"/>
      <c r="S76" s="2048"/>
      <c r="T76" s="2048"/>
      <c r="U76" s="2048"/>
      <c r="V76" s="2048"/>
      <c r="W76" s="2048"/>
      <c r="X76" s="2048"/>
      <c r="Y76" s="2048"/>
      <c r="Z76" s="2048"/>
      <c r="AA76" s="2048"/>
      <c r="AB76" s="2048"/>
      <c r="AC76" s="2048"/>
    </row>
    <row r="77" spans="1:29">
      <c r="A77" s="655" t="s">
        <v>533</v>
      </c>
      <c r="B77" s="656" t="s">
        <v>579</v>
      </c>
      <c r="C77" s="694" t="s">
        <v>573</v>
      </c>
      <c r="D77" s="694" t="s">
        <v>574</v>
      </c>
      <c r="E77" s="694" t="s">
        <v>575</v>
      </c>
      <c r="F77" s="694" t="s">
        <v>576</v>
      </c>
      <c r="G77" s="694" t="s">
        <v>577</v>
      </c>
      <c r="H77" s="695"/>
      <c r="I77" s="695"/>
      <c r="J77" s="695"/>
      <c r="K77" s="696"/>
      <c r="L77" s="697"/>
      <c r="M77" s="698"/>
      <c r="N77" s="2042"/>
      <c r="O77" s="2042"/>
      <c r="P77" s="2095"/>
      <c r="Q77" s="2036"/>
      <c r="R77" s="2024"/>
      <c r="S77" s="2024"/>
      <c r="T77" s="2024"/>
      <c r="U77" s="2024"/>
      <c r="V77" s="2024"/>
      <c r="W77" s="2024"/>
      <c r="X77" s="2024"/>
      <c r="Y77" s="2024"/>
      <c r="Z77" s="2024"/>
      <c r="AA77" s="2024"/>
      <c r="AB77" s="2024"/>
      <c r="AC77" s="2024"/>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4"/>
      <c r="O78" s="2044"/>
      <c r="P78" s="2091"/>
      <c r="Q78" s="2036"/>
      <c r="R78" s="2024"/>
      <c r="S78" s="2024"/>
      <c r="T78" s="2024"/>
      <c r="U78" s="2024"/>
      <c r="V78" s="2024"/>
      <c r="W78" s="2024"/>
      <c r="X78" s="2024"/>
      <c r="Y78" s="2024"/>
      <c r="Z78" s="2024"/>
      <c r="AA78" s="2024"/>
      <c r="AB78" s="2024"/>
      <c r="AC78" s="2024"/>
    </row>
    <row r="79" spans="1:29" ht="15.75" thickTop="1">
      <c r="A79" s="660"/>
      <c r="B79" s="664" t="s">
        <v>580</v>
      </c>
      <c r="C79" s="699" t="s">
        <v>573</v>
      </c>
      <c r="D79" s="699" t="s">
        <v>574</v>
      </c>
      <c r="E79" s="699" t="s">
        <v>575</v>
      </c>
      <c r="F79" s="699" t="s">
        <v>576</v>
      </c>
      <c r="G79" s="699" t="s">
        <v>577</v>
      </c>
      <c r="H79" s="665"/>
      <c r="I79" s="665"/>
      <c r="J79" s="665"/>
      <c r="K79" s="666"/>
      <c r="L79" s="667"/>
      <c r="M79" s="668"/>
      <c r="N79" s="2042"/>
      <c r="O79" s="2042"/>
      <c r="P79" s="2091"/>
      <c r="Q79" s="2036"/>
      <c r="R79" s="2024"/>
      <c r="S79" s="2024"/>
      <c r="T79" s="2024"/>
      <c r="U79" s="2024"/>
      <c r="V79" s="2024"/>
      <c r="W79" s="2024"/>
      <c r="X79" s="2024"/>
      <c r="Y79" s="2024"/>
      <c r="Z79" s="2024"/>
      <c r="AA79" s="2024"/>
      <c r="AB79" s="2024"/>
      <c r="AC79" s="2024"/>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4"/>
      <c r="O80" s="2044"/>
      <c r="P80" s="2091"/>
      <c r="Q80" s="2036"/>
      <c r="R80" s="2024"/>
      <c r="S80" s="2024"/>
      <c r="T80" s="2024"/>
      <c r="U80" s="2024"/>
      <c r="V80" s="2024"/>
      <c r="W80" s="2024"/>
      <c r="X80" s="2024"/>
      <c r="Y80" s="2024"/>
      <c r="Z80" s="2024"/>
      <c r="AA80" s="2024"/>
      <c r="AB80" s="2024"/>
      <c r="AC80" s="2024"/>
    </row>
    <row r="81" spans="1:29" ht="15.75" thickTop="1">
      <c r="A81" s="660"/>
      <c r="B81" s="1807" t="s">
        <v>2538</v>
      </c>
      <c r="C81" s="699" t="s">
        <v>573</v>
      </c>
      <c r="D81" s="699" t="s">
        <v>574</v>
      </c>
      <c r="E81" s="699" t="s">
        <v>575</v>
      </c>
      <c r="F81" s="699" t="s">
        <v>576</v>
      </c>
      <c r="G81" s="699" t="s">
        <v>577</v>
      </c>
      <c r="H81" s="665"/>
      <c r="I81" s="665"/>
      <c r="J81" s="665"/>
      <c r="K81" s="666"/>
      <c r="L81" s="667"/>
      <c r="M81" s="668"/>
      <c r="N81" s="2042"/>
      <c r="O81" s="2042"/>
      <c r="P81" s="2091"/>
      <c r="Q81" s="2036"/>
      <c r="R81" s="2024"/>
      <c r="S81" s="2024"/>
      <c r="T81" s="2024"/>
      <c r="U81" s="2024"/>
      <c r="V81" s="2024"/>
      <c r="W81" s="2024"/>
      <c r="X81" s="2024"/>
      <c r="Y81" s="2024"/>
      <c r="Z81" s="2024"/>
      <c r="AA81" s="2024"/>
      <c r="AB81" s="2024"/>
      <c r="AC81" s="2024"/>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4"/>
      <c r="O82" s="2044"/>
      <c r="P82" s="2091"/>
      <c r="Q82" s="2036"/>
      <c r="R82" s="2024"/>
      <c r="S82" s="2024"/>
      <c r="T82" s="2024"/>
      <c r="U82" s="2024"/>
      <c r="V82" s="2024"/>
      <c r="W82" s="2024"/>
      <c r="X82" s="2024"/>
      <c r="Y82" s="2024"/>
      <c r="Z82" s="2024"/>
      <c r="AA82" s="2024"/>
      <c r="AB82" s="2024"/>
      <c r="AC82" s="2024"/>
    </row>
    <row r="83" spans="1:29" ht="15.75" thickTop="1">
      <c r="A83" s="660"/>
      <c r="B83" s="2438" t="s">
        <v>2539</v>
      </c>
      <c r="C83" s="2439" t="s">
        <v>2540</v>
      </c>
      <c r="D83" s="2439" t="s">
        <v>2541</v>
      </c>
      <c r="E83" s="2439" t="s">
        <v>2542</v>
      </c>
      <c r="F83" s="2439" t="s">
        <v>2543</v>
      </c>
      <c r="G83" s="2439" t="s">
        <v>2544</v>
      </c>
      <c r="H83" s="665"/>
      <c r="I83" s="665"/>
      <c r="J83" s="665"/>
      <c r="K83" s="665"/>
      <c r="L83" s="665"/>
      <c r="M83" s="2442"/>
      <c r="N83" s="2044"/>
      <c r="O83" s="2044"/>
      <c r="P83" s="2091"/>
      <c r="Q83" s="2036"/>
      <c r="R83" s="2024"/>
      <c r="S83" s="2024"/>
      <c r="T83" s="2024"/>
      <c r="U83" s="2024"/>
      <c r="V83" s="2024"/>
      <c r="W83" s="2024"/>
      <c r="X83" s="2024"/>
      <c r="Y83" s="2024"/>
      <c r="Z83" s="2024"/>
      <c r="AA83" s="2024"/>
      <c r="AB83" s="2024"/>
      <c r="AC83" s="2024"/>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4"/>
      <c r="O84" s="2044"/>
      <c r="P84" s="2091"/>
      <c r="Q84" s="2036"/>
      <c r="R84" s="2024"/>
      <c r="S84" s="2024"/>
      <c r="T84" s="2024"/>
      <c r="U84" s="2024"/>
      <c r="V84" s="2024"/>
      <c r="W84" s="2024"/>
      <c r="X84" s="2024"/>
      <c r="Y84" s="2024"/>
      <c r="Z84" s="2024"/>
      <c r="AA84" s="2024"/>
      <c r="AB84" s="2024"/>
      <c r="AC84" s="2024"/>
    </row>
    <row r="85" spans="1:29" ht="15.75" thickTop="1">
      <c r="A85" s="660"/>
      <c r="B85" s="664" t="s">
        <v>778</v>
      </c>
      <c r="C85" s="699" t="s">
        <v>573</v>
      </c>
      <c r="D85" s="699" t="s">
        <v>574</v>
      </c>
      <c r="E85" s="699" t="s">
        <v>575</v>
      </c>
      <c r="F85" s="699" t="s">
        <v>576</v>
      </c>
      <c r="G85" s="699" t="s">
        <v>577</v>
      </c>
      <c r="H85" s="665"/>
      <c r="I85" s="665"/>
      <c r="J85" s="665"/>
      <c r="K85" s="666"/>
      <c r="L85" s="667"/>
      <c r="M85" s="668"/>
      <c r="N85" s="2042"/>
      <c r="O85" s="2042"/>
      <c r="P85" s="2091"/>
      <c r="Q85" s="2036"/>
      <c r="R85" s="2024"/>
      <c r="S85" s="2024"/>
      <c r="T85" s="2024"/>
      <c r="U85" s="2024"/>
      <c r="V85" s="2024"/>
      <c r="W85" s="2024"/>
      <c r="X85" s="2024"/>
      <c r="Y85" s="2024"/>
      <c r="Z85" s="2024"/>
      <c r="AA85" s="2024"/>
      <c r="AB85" s="2024"/>
      <c r="AC85" s="2024"/>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4"/>
      <c r="O86" s="2044"/>
      <c r="P86" s="2091"/>
      <c r="Q86" s="2036"/>
      <c r="R86" s="2024"/>
      <c r="S86" s="2024"/>
      <c r="T86" s="2024"/>
      <c r="U86" s="2024"/>
      <c r="V86" s="2024"/>
      <c r="W86" s="2024"/>
      <c r="X86" s="2024"/>
      <c r="Y86" s="2024"/>
      <c r="Z86" s="2024"/>
      <c r="AA86" s="2024"/>
      <c r="AB86" s="2024"/>
      <c r="AC86" s="2024"/>
    </row>
    <row r="87" spans="1:29" s="1202" customFormat="1" ht="27.75" thickTop="1">
      <c r="A87" s="700"/>
      <c r="B87" s="664" t="s">
        <v>779</v>
      </c>
      <c r="C87" s="679"/>
      <c r="D87" s="679"/>
      <c r="E87" s="679"/>
      <c r="F87" s="679"/>
      <c r="G87" s="679"/>
      <c r="H87" s="679"/>
      <c r="I87" s="679"/>
      <c r="J87" s="679"/>
      <c r="K87" s="679"/>
      <c r="L87" s="878"/>
      <c r="M87" s="879"/>
      <c r="N87" s="2040"/>
      <c r="O87" s="2040"/>
      <c r="P87" s="2091"/>
      <c r="Q87" s="2036"/>
      <c r="R87" s="1902"/>
      <c r="S87" s="1902"/>
      <c r="T87" s="1902"/>
      <c r="U87" s="1902"/>
      <c r="V87" s="1902"/>
      <c r="W87" s="1902"/>
      <c r="X87" s="1902"/>
      <c r="Y87" s="1902"/>
      <c r="Z87" s="1902"/>
      <c r="AA87" s="1902"/>
      <c r="AB87" s="1902"/>
      <c r="AC87" s="1902"/>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4"/>
      <c r="O88" s="2044"/>
      <c r="P88" s="2091"/>
      <c r="Q88" s="2036"/>
      <c r="R88" s="1902"/>
      <c r="S88" s="1902"/>
      <c r="T88" s="1902"/>
      <c r="U88" s="1902"/>
      <c r="V88" s="1902"/>
      <c r="W88" s="1902"/>
      <c r="X88" s="1902"/>
      <c r="Y88" s="1902"/>
      <c r="Z88" s="1902"/>
      <c r="AA88" s="1902"/>
      <c r="AB88" s="1902"/>
      <c r="AC88" s="1902"/>
    </row>
    <row r="89" spans="1:29" s="1202" customFormat="1" ht="15.75" thickTop="1">
      <c r="A89" s="700"/>
      <c r="B89" s="664" t="str">
        <f>B27</f>
        <v>楼层</v>
      </c>
      <c r="C89" s="679"/>
      <c r="D89" s="679"/>
      <c r="E89" s="679"/>
      <c r="F89" s="880"/>
      <c r="G89" s="679"/>
      <c r="H89" s="679"/>
      <c r="I89" s="679"/>
      <c r="J89" s="679"/>
      <c r="K89" s="679"/>
      <c r="L89" s="679"/>
      <c r="M89" s="879"/>
      <c r="N89" s="2040"/>
      <c r="O89" s="2040"/>
      <c r="P89" s="2091"/>
      <c r="Q89" s="2036"/>
      <c r="R89" s="1902"/>
      <c r="S89" s="1902"/>
      <c r="T89" s="1902"/>
      <c r="U89" s="1902"/>
      <c r="V89" s="1902"/>
      <c r="W89" s="1902"/>
      <c r="X89" s="1902"/>
      <c r="Y89" s="1902"/>
      <c r="Z89" s="1902"/>
      <c r="AA89" s="1902"/>
      <c r="AB89" s="1902"/>
      <c r="AC89" s="1902"/>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4"/>
      <c r="O90" s="2044"/>
      <c r="P90" s="2091"/>
      <c r="Q90" s="2036"/>
      <c r="R90" s="1902"/>
      <c r="S90" s="1902"/>
      <c r="T90" s="1902"/>
      <c r="U90" s="1902"/>
      <c r="V90" s="1902"/>
      <c r="W90" s="1902"/>
      <c r="X90" s="1902"/>
      <c r="Y90" s="1902"/>
      <c r="Z90" s="1902"/>
      <c r="AA90" s="1902"/>
      <c r="AB90" s="1902"/>
      <c r="AC90" s="1902"/>
    </row>
    <row r="91" spans="1:29" s="1292" customFormat="1" ht="15.75" thickTop="1">
      <c r="A91" s="678"/>
      <c r="B91" s="664" t="str">
        <f>B28</f>
        <v>朝向</v>
      </c>
      <c r="C91" s="679"/>
      <c r="D91" s="679"/>
      <c r="E91" s="679"/>
      <c r="F91" s="679"/>
      <c r="G91" s="679"/>
      <c r="H91" s="680"/>
      <c r="I91" s="680"/>
      <c r="J91" s="680"/>
      <c r="K91" s="680"/>
      <c r="L91" s="681"/>
      <c r="M91" s="682"/>
      <c r="N91" s="2045"/>
      <c r="O91" s="2045"/>
      <c r="P91" s="2092"/>
      <c r="Q91" s="2047"/>
      <c r="R91" s="2048"/>
      <c r="S91" s="2048"/>
      <c r="T91" s="2048"/>
      <c r="U91" s="2048"/>
      <c r="V91" s="2048"/>
      <c r="W91" s="2048"/>
      <c r="X91" s="2048"/>
      <c r="Y91" s="2048"/>
      <c r="Z91" s="2048"/>
      <c r="AA91" s="2048"/>
      <c r="AB91" s="2048"/>
      <c r="AC91" s="2048"/>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60"/>
      <c r="B93" s="664">
        <f>B29</f>
        <v>111</v>
      </c>
      <c r="C93" s="679"/>
      <c r="D93" s="679"/>
      <c r="E93" s="679"/>
      <c r="F93" s="679"/>
      <c r="G93" s="679"/>
      <c r="H93" s="679"/>
      <c r="I93" s="679"/>
      <c r="J93" s="679"/>
      <c r="K93" s="679"/>
      <c r="L93" s="878"/>
      <c r="M93" s="879"/>
      <c r="N93" s="2042"/>
      <c r="O93" s="2042"/>
      <c r="P93" s="2091"/>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62"/>
      <c r="H94" s="662"/>
      <c r="I94" s="662"/>
      <c r="J94" s="662"/>
      <c r="K94" s="662"/>
      <c r="L94" s="662"/>
      <c r="M94" s="663"/>
      <c r="N94" s="2044"/>
      <c r="O94" s="2044"/>
      <c r="P94" s="2091"/>
      <c r="Q94" s="2036"/>
      <c r="R94" s="2024"/>
      <c r="S94" s="2024"/>
      <c r="T94" s="2024"/>
      <c r="U94" s="2024"/>
      <c r="V94" s="2024"/>
      <c r="W94" s="2024"/>
      <c r="X94" s="2024"/>
      <c r="Y94" s="2024"/>
      <c r="Z94" s="2024"/>
      <c r="AA94" s="2024"/>
      <c r="AB94" s="2024"/>
      <c r="AC94" s="2024"/>
    </row>
    <row r="95" spans="1:29" ht="15.75" thickTop="1">
      <c r="A95" s="660"/>
      <c r="B95" s="664">
        <f>B30</f>
        <v>111</v>
      </c>
      <c r="C95" s="679"/>
      <c r="D95" s="679"/>
      <c r="E95" s="679"/>
      <c r="F95" s="679"/>
      <c r="G95" s="709"/>
      <c r="H95" s="709"/>
      <c r="I95" s="709"/>
      <c r="J95" s="709"/>
      <c r="K95" s="710"/>
      <c r="L95" s="711"/>
      <c r="M95" s="712"/>
      <c r="N95" s="2042"/>
      <c r="O95" s="2042"/>
      <c r="P95" s="2091"/>
      <c r="Q95" s="2036"/>
      <c r="R95" s="2024"/>
      <c r="S95" s="2024"/>
      <c r="T95" s="2024"/>
      <c r="U95" s="2024"/>
      <c r="V95" s="2024"/>
      <c r="W95" s="2024"/>
      <c r="X95" s="2024"/>
      <c r="Y95" s="2024"/>
      <c r="Z95" s="2024"/>
      <c r="AA95" s="2024"/>
      <c r="AB95" s="2024"/>
      <c r="AC95" s="2024"/>
    </row>
    <row r="96" spans="1:29" ht="15.75" thickBot="1">
      <c r="A96" s="660"/>
      <c r="B96" s="669"/>
      <c r="C96" s="683"/>
      <c r="D96" s="683"/>
      <c r="E96" s="683"/>
      <c r="F96" s="683"/>
      <c r="G96" s="662"/>
      <c r="H96" s="662"/>
      <c r="I96" s="662"/>
      <c r="J96" s="662"/>
      <c r="K96" s="662"/>
      <c r="L96" s="662"/>
      <c r="M96" s="663"/>
      <c r="N96" s="2044"/>
      <c r="O96" s="2044"/>
      <c r="P96" s="2091"/>
      <c r="Q96" s="2036"/>
      <c r="R96" s="2024"/>
      <c r="S96" s="2024"/>
      <c r="T96" s="2024"/>
      <c r="U96" s="2024"/>
      <c r="V96" s="2024"/>
      <c r="W96" s="2024"/>
      <c r="X96" s="2024"/>
      <c r="Y96" s="2024"/>
      <c r="Z96" s="2024"/>
      <c r="AA96" s="2024"/>
      <c r="AB96" s="2024"/>
      <c r="AC96" s="2024"/>
    </row>
    <row r="97" spans="1:29" ht="15.75" thickTop="1">
      <c r="A97" s="660"/>
      <c r="B97" s="664">
        <f>B31</f>
        <v>111</v>
      </c>
      <c r="C97" s="679"/>
      <c r="D97" s="679"/>
      <c r="E97" s="679"/>
      <c r="F97" s="679"/>
      <c r="G97" s="709"/>
      <c r="H97" s="709"/>
      <c r="I97" s="709"/>
      <c r="J97" s="709"/>
      <c r="K97" s="710"/>
      <c r="L97" s="711"/>
      <c r="M97" s="712"/>
      <c r="N97" s="2042"/>
      <c r="O97" s="2042"/>
      <c r="P97" s="2091"/>
      <c r="Q97" s="2036"/>
      <c r="R97" s="2024"/>
      <c r="S97" s="2024"/>
      <c r="T97" s="2024"/>
      <c r="U97" s="2024"/>
      <c r="V97" s="2024"/>
      <c r="W97" s="2024"/>
      <c r="X97" s="2024"/>
      <c r="Y97" s="2024"/>
      <c r="Z97" s="2024"/>
      <c r="AA97" s="2024"/>
      <c r="AB97" s="2024"/>
      <c r="AC97" s="2024"/>
    </row>
    <row r="98" spans="1:29" ht="15.75" thickBot="1">
      <c r="A98" s="660"/>
      <c r="B98" s="669"/>
      <c r="C98" s="683"/>
      <c r="D98" s="662"/>
      <c r="E98" s="662"/>
      <c r="F98" s="662"/>
      <c r="G98" s="662"/>
      <c r="H98" s="662"/>
      <c r="I98" s="662"/>
      <c r="J98" s="662"/>
      <c r="K98" s="662"/>
      <c r="L98" s="662"/>
      <c r="M98" s="663"/>
      <c r="N98" s="2044"/>
      <c r="O98" s="2044"/>
      <c r="P98" s="2091"/>
      <c r="Q98" s="2036"/>
      <c r="R98" s="2024"/>
      <c r="S98" s="2024"/>
      <c r="T98" s="2024"/>
      <c r="U98" s="2024"/>
      <c r="V98" s="2024"/>
      <c r="W98" s="2024"/>
      <c r="X98" s="2024"/>
      <c r="Y98" s="2024"/>
      <c r="Z98" s="2024"/>
      <c r="AA98" s="2024"/>
      <c r="AB98" s="2024"/>
      <c r="AC98" s="2024"/>
    </row>
    <row r="99" spans="1:29" ht="15.75" thickTop="1">
      <c r="A99" s="660"/>
      <c r="B99" s="672">
        <f>B32</f>
        <v>111</v>
      </c>
      <c r="C99" s="652"/>
      <c r="D99" s="652"/>
      <c r="E99" s="652"/>
      <c r="F99" s="652"/>
      <c r="G99" s="713"/>
      <c r="H99" s="713"/>
      <c r="I99" s="713"/>
      <c r="J99" s="713"/>
      <c r="K99" s="714"/>
      <c r="L99" s="715"/>
      <c r="M99" s="716"/>
      <c r="N99" s="2042"/>
      <c r="O99" s="2042"/>
      <c r="P99" s="2091"/>
      <c r="Q99" s="2036"/>
      <c r="R99" s="2024"/>
      <c r="S99" s="2024"/>
      <c r="T99" s="2024"/>
      <c r="U99" s="2024"/>
      <c r="V99" s="2024"/>
      <c r="W99" s="2024"/>
      <c r="X99" s="2024"/>
      <c r="Y99" s="2024"/>
      <c r="Z99" s="2024"/>
      <c r="AA99" s="2024"/>
      <c r="AB99" s="2024"/>
      <c r="AC99" s="2024"/>
    </row>
    <row r="100" spans="1:29" ht="15.75" thickBot="1">
      <c r="A100" s="881"/>
      <c r="B100" s="690"/>
      <c r="C100" s="691"/>
      <c r="D100" s="691"/>
      <c r="E100" s="691"/>
      <c r="F100" s="691"/>
      <c r="G100" s="717"/>
      <c r="H100" s="717"/>
      <c r="I100" s="717"/>
      <c r="J100" s="717"/>
      <c r="K100" s="717"/>
      <c r="L100" s="717"/>
      <c r="M100" s="718"/>
      <c r="N100" s="2044"/>
      <c r="O100" s="2044"/>
      <c r="P100" s="2091"/>
      <c r="Q100" s="2036"/>
      <c r="R100" s="2024"/>
      <c r="S100" s="2024"/>
      <c r="T100" s="2024"/>
      <c r="U100" s="2024"/>
      <c r="V100" s="2024"/>
      <c r="W100" s="2024"/>
      <c r="X100" s="2024"/>
      <c r="Y100" s="2024"/>
      <c r="Z100" s="2024"/>
      <c r="AA100" s="2024"/>
      <c r="AB100" s="2024"/>
      <c r="AC100" s="2024"/>
    </row>
    <row r="101" spans="1:29">
      <c r="A101" s="655" t="s">
        <v>545</v>
      </c>
      <c r="B101" s="656" t="s">
        <v>741</v>
      </c>
      <c r="C101" s="591"/>
      <c r="D101" s="591"/>
      <c r="E101" s="591"/>
      <c r="F101" s="591"/>
      <c r="G101" s="591"/>
      <c r="H101" s="591"/>
      <c r="I101" s="591"/>
      <c r="J101" s="591"/>
      <c r="K101" s="657"/>
      <c r="L101" s="658"/>
      <c r="M101" s="659"/>
      <c r="N101" s="2042"/>
      <c r="O101" s="2042"/>
      <c r="P101" s="2091"/>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2" customFormat="1">
      <c r="A104" s="719"/>
      <c r="B104" s="720"/>
      <c r="C104" s="721"/>
      <c r="D104" s="721"/>
      <c r="E104" s="721"/>
      <c r="F104" s="721"/>
      <c r="G104" s="721"/>
      <c r="H104" s="721"/>
      <c r="I104" s="721"/>
      <c r="J104" s="722"/>
      <c r="K104" s="722"/>
      <c r="L104" s="723"/>
      <c r="M104" s="724"/>
      <c r="N104" s="2045"/>
      <c r="O104" s="2045"/>
      <c r="P104" s="2092"/>
      <c r="Q104" s="2047"/>
      <c r="R104" s="2048"/>
      <c r="S104" s="2048"/>
      <c r="T104" s="2048"/>
      <c r="U104" s="2048"/>
      <c r="V104" s="2048"/>
      <c r="W104" s="2048"/>
      <c r="X104" s="2048"/>
      <c r="Y104" s="2048"/>
      <c r="Z104" s="2048"/>
      <c r="AA104" s="2048"/>
      <c r="AB104" s="2048"/>
      <c r="AC104" s="2048"/>
    </row>
    <row r="105" spans="1:29" s="1292" customFormat="1" ht="15.75" thickBot="1">
      <c r="A105" s="678"/>
      <c r="B105" s="669"/>
      <c r="C105" s="683"/>
      <c r="D105" s="662"/>
      <c r="E105" s="662"/>
      <c r="F105" s="662"/>
      <c r="G105" s="662"/>
      <c r="H105" s="662"/>
      <c r="I105" s="662"/>
      <c r="J105" s="662"/>
      <c r="K105" s="662"/>
      <c r="L105" s="662"/>
      <c r="M105" s="663"/>
      <c r="N105" s="2044"/>
      <c r="O105" s="2044"/>
      <c r="P105" s="2092"/>
      <c r="Q105" s="2047"/>
      <c r="R105" s="2048"/>
      <c r="S105" s="2048"/>
      <c r="T105" s="2048"/>
      <c r="U105" s="2048"/>
      <c r="V105" s="2048"/>
      <c r="W105" s="2048"/>
      <c r="X105" s="2048"/>
      <c r="Y105" s="2048"/>
      <c r="Z105" s="2048"/>
      <c r="AA105" s="2048"/>
      <c r="AB105" s="2048"/>
      <c r="AC105" s="2048"/>
    </row>
    <row r="106" spans="1:29" ht="15" thickTop="1">
      <c r="A106" s="726"/>
      <c r="B106" s="664" t="s">
        <v>743</v>
      </c>
      <c r="C106" s="679"/>
      <c r="D106" s="679"/>
      <c r="E106" s="709"/>
      <c r="F106" s="709"/>
      <c r="G106" s="709"/>
      <c r="H106" s="709"/>
      <c r="I106" s="709"/>
      <c r="J106" s="709"/>
      <c r="K106" s="710"/>
      <c r="L106" s="711"/>
      <c r="M106" s="712"/>
      <c r="N106" s="2042"/>
      <c r="O106" s="2042"/>
      <c r="P106" s="2091"/>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6"/>
      <c r="B108" s="664" t="s">
        <v>745</v>
      </c>
      <c r="C108" s="679"/>
      <c r="D108" s="679"/>
      <c r="E108" s="679"/>
      <c r="F108" s="709"/>
      <c r="G108" s="709"/>
      <c r="H108" s="709"/>
      <c r="I108" s="709"/>
      <c r="J108" s="709"/>
      <c r="K108" s="710"/>
      <c r="L108" s="711"/>
      <c r="M108" s="712"/>
      <c r="N108" s="2042"/>
      <c r="O108" s="2042"/>
      <c r="P108" s="2091"/>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2"/>
      <c r="O110" s="2042"/>
      <c r="P110" s="2091"/>
      <c r="Q110" s="2036"/>
      <c r="R110" s="2024"/>
      <c r="S110" s="2024"/>
      <c r="T110" s="2024"/>
      <c r="U110" s="2024"/>
      <c r="V110" s="2024"/>
      <c r="W110" s="2024"/>
      <c r="X110" s="2024"/>
      <c r="Y110" s="2024"/>
      <c r="Z110" s="2024"/>
      <c r="AA110" s="2024"/>
      <c r="AB110" s="2024"/>
      <c r="AC110" s="2024"/>
    </row>
    <row r="111" spans="1:29">
      <c r="A111" s="726"/>
      <c r="B111" s="672"/>
      <c r="C111" s="882">
        <v>0.5</v>
      </c>
      <c r="D111" s="882">
        <v>0.6</v>
      </c>
      <c r="E111" s="882">
        <v>0.7</v>
      </c>
      <c r="F111" s="882">
        <v>0.8</v>
      </c>
      <c r="G111" s="882">
        <v>0.9</v>
      </c>
      <c r="H111" s="882">
        <v>1.0001</v>
      </c>
      <c r="I111" s="893"/>
      <c r="J111" s="893"/>
      <c r="K111" s="894"/>
      <c r="L111" s="895"/>
      <c r="M111" s="896"/>
      <c r="N111" s="2042"/>
      <c r="O111" s="2042"/>
      <c r="P111" s="2091"/>
      <c r="Q111" s="2036"/>
      <c r="R111" s="2024"/>
      <c r="S111" s="2024"/>
      <c r="T111" s="2024"/>
      <c r="U111" s="2024"/>
      <c r="V111" s="2024"/>
      <c r="W111" s="2024"/>
      <c r="X111" s="2024"/>
      <c r="Y111" s="2024"/>
      <c r="Z111" s="2024"/>
      <c r="AA111" s="2024"/>
      <c r="AB111" s="2024"/>
      <c r="AC111" s="2024"/>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4"/>
      <c r="O112" s="2044"/>
      <c r="P112" s="2091"/>
      <c r="Q112" s="2036"/>
      <c r="R112" s="2024"/>
      <c r="S112" s="2024"/>
      <c r="T112" s="2024"/>
      <c r="U112" s="2024"/>
      <c r="V112" s="2024"/>
      <c r="W112" s="2024"/>
      <c r="X112" s="2024"/>
      <c r="Y112" s="2024"/>
      <c r="Z112" s="2024"/>
      <c r="AA112" s="2024"/>
      <c r="AB112" s="2024"/>
      <c r="AC112" s="2024"/>
    </row>
    <row r="113" spans="1:29" s="1292" customFormat="1" ht="15" thickTop="1">
      <c r="A113" s="719"/>
      <c r="B113" s="664" t="s">
        <v>780</v>
      </c>
      <c r="C113" s="679"/>
      <c r="D113" s="679"/>
      <c r="E113" s="679"/>
      <c r="F113" s="679"/>
      <c r="G113" s="679"/>
      <c r="H113" s="709"/>
      <c r="I113" s="709"/>
      <c r="J113" s="709"/>
      <c r="K113" s="710"/>
      <c r="L113" s="711"/>
      <c r="M113" s="712"/>
      <c r="N113" s="2045"/>
      <c r="O113" s="2045"/>
      <c r="P113" s="2092"/>
      <c r="Q113" s="2047"/>
      <c r="R113" s="2048"/>
      <c r="S113" s="2048"/>
      <c r="T113" s="2048"/>
      <c r="U113" s="2048"/>
      <c r="V113" s="2048"/>
      <c r="W113" s="2048"/>
      <c r="X113" s="2048"/>
      <c r="Y113" s="2048"/>
      <c r="Z113" s="2048"/>
      <c r="AA113" s="2048"/>
      <c r="AB113" s="2048"/>
      <c r="AC113" s="2048"/>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6"/>
      <c r="B115" s="664" t="s">
        <v>747</v>
      </c>
      <c r="C115" s="679"/>
      <c r="D115" s="679"/>
      <c r="E115" s="709"/>
      <c r="F115" s="709"/>
      <c r="G115" s="709"/>
      <c r="H115" s="709"/>
      <c r="I115" s="709"/>
      <c r="J115" s="709"/>
      <c r="K115" s="710"/>
      <c r="L115" s="711"/>
      <c r="M115" s="712"/>
      <c r="N115" s="2042"/>
      <c r="O115" s="2042"/>
      <c r="P115" s="2091"/>
      <c r="Q115" s="2036"/>
      <c r="R115" s="2024"/>
      <c r="S115" s="2024"/>
      <c r="T115" s="2024"/>
      <c r="U115" s="2024"/>
      <c r="V115" s="2024"/>
      <c r="W115" s="2024"/>
      <c r="X115" s="2024"/>
      <c r="Y115" s="2024"/>
      <c r="Z115" s="2024"/>
      <c r="AA115" s="2024"/>
      <c r="AB115" s="2024"/>
      <c r="AC115" s="2024"/>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6"/>
      <c r="B117" s="1807" t="s">
        <v>2537</v>
      </c>
      <c r="C117" s="679"/>
      <c r="D117" s="679"/>
      <c r="E117" s="679"/>
      <c r="F117" s="679"/>
      <c r="G117" s="679"/>
      <c r="H117" s="709"/>
      <c r="I117" s="709"/>
      <c r="J117" s="709"/>
      <c r="K117" s="710"/>
      <c r="L117" s="711"/>
      <c r="M117" s="712"/>
      <c r="N117" s="2042"/>
      <c r="O117" s="2042"/>
      <c r="P117" s="2091"/>
      <c r="Q117" s="2036"/>
      <c r="R117" s="2024"/>
      <c r="S117" s="2024"/>
      <c r="T117" s="2024"/>
      <c r="U117" s="2024"/>
      <c r="V117" s="2024"/>
      <c r="W117" s="2024"/>
      <c r="X117" s="2024"/>
      <c r="Y117" s="2024"/>
      <c r="Z117" s="2024"/>
      <c r="AA117" s="2024"/>
      <c r="AB117" s="2024"/>
      <c r="AC117" s="2024"/>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4"/>
      <c r="O118" s="2044"/>
      <c r="P118" s="2091"/>
      <c r="Q118" s="2036"/>
      <c r="R118" s="2024"/>
      <c r="S118" s="2024"/>
      <c r="T118" s="2024"/>
      <c r="U118" s="2024"/>
      <c r="V118" s="2024"/>
      <c r="W118" s="2024"/>
      <c r="X118" s="2024"/>
      <c r="Y118" s="2024"/>
      <c r="Z118" s="2024"/>
      <c r="AA118" s="2024"/>
      <c r="AB118" s="2024"/>
      <c r="AC118" s="2024"/>
    </row>
    <row r="119" spans="1:29" ht="15" thickTop="1">
      <c r="A119" s="726"/>
      <c r="B119" s="905" t="s">
        <v>781</v>
      </c>
      <c r="C119" s="709"/>
      <c r="D119" s="709"/>
      <c r="E119" s="709"/>
      <c r="F119" s="709"/>
      <c r="G119" s="709"/>
      <c r="H119" s="709"/>
      <c r="I119" s="709"/>
      <c r="J119" s="709"/>
      <c r="K119" s="709"/>
      <c r="L119" s="906"/>
      <c r="M119" s="907"/>
      <c r="N119" s="2044"/>
      <c r="O119" s="2044"/>
      <c r="P119" s="2096"/>
      <c r="Q119" s="2084"/>
      <c r="R119" s="2024"/>
      <c r="S119" s="2024"/>
      <c r="T119" s="2024"/>
      <c r="U119" s="2024"/>
      <c r="V119" s="2024"/>
      <c r="W119" s="2024"/>
      <c r="X119" s="2024"/>
      <c r="Y119" s="2024"/>
      <c r="Z119" s="2024"/>
      <c r="AA119" s="2024"/>
      <c r="AB119" s="2024"/>
      <c r="AC119" s="2024"/>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4"/>
      <c r="O120" s="2044"/>
      <c r="P120" s="2091"/>
      <c r="Q120" s="2036"/>
      <c r="R120" s="2024"/>
      <c r="S120" s="2024"/>
      <c r="T120" s="2024"/>
      <c r="U120" s="2024"/>
      <c r="V120" s="2024"/>
      <c r="W120" s="2024"/>
      <c r="X120" s="2024"/>
      <c r="Y120" s="2024"/>
      <c r="Z120" s="2024"/>
      <c r="AA120" s="2024"/>
      <c r="AB120" s="2024"/>
      <c r="AC120" s="2024"/>
    </row>
    <row r="121" spans="1:29" s="1292" customFormat="1" ht="15" thickTop="1">
      <c r="A121" s="719"/>
      <c r="B121" s="664" t="s">
        <v>769</v>
      </c>
      <c r="C121" s="679"/>
      <c r="D121" s="679"/>
      <c r="E121" s="679"/>
      <c r="F121" s="709"/>
      <c r="G121" s="680"/>
      <c r="H121" s="680"/>
      <c r="I121" s="680"/>
      <c r="J121" s="680"/>
      <c r="K121" s="680"/>
      <c r="L121" s="681"/>
      <c r="M121" s="682"/>
      <c r="N121" s="2045"/>
      <c r="O121" s="2045"/>
      <c r="P121" s="2092"/>
      <c r="Q121" s="2047"/>
      <c r="R121" s="2048"/>
      <c r="S121" s="2048"/>
      <c r="T121" s="2048"/>
      <c r="U121" s="2048"/>
      <c r="V121" s="2048"/>
      <c r="W121" s="2048"/>
      <c r="X121" s="2048"/>
      <c r="Y121" s="2048"/>
      <c r="Z121" s="2048"/>
      <c r="AA121" s="2048"/>
      <c r="AB121" s="2048"/>
      <c r="AC121" s="2048"/>
    </row>
    <row r="122" spans="1:29" s="1292" customFormat="1" ht="15.75" thickBot="1">
      <c r="A122" s="678"/>
      <c r="B122" s="661"/>
      <c r="C122" s="683"/>
      <c r="D122" s="683"/>
      <c r="E122" s="683"/>
      <c r="F122" s="683"/>
      <c r="G122" s="683"/>
      <c r="H122" s="683"/>
      <c r="I122" s="683"/>
      <c r="J122" s="683"/>
      <c r="K122" s="683"/>
      <c r="L122" s="683"/>
      <c r="M122" s="683"/>
      <c r="N122" s="2045"/>
      <c r="O122" s="2045"/>
      <c r="P122" s="2092"/>
      <c r="Q122" s="2047"/>
      <c r="R122" s="2048"/>
      <c r="S122" s="2048"/>
      <c r="T122" s="2048"/>
      <c r="U122" s="2048"/>
      <c r="V122" s="2048"/>
      <c r="W122" s="2048"/>
      <c r="X122" s="2048"/>
      <c r="Y122" s="2048"/>
      <c r="Z122" s="2048"/>
      <c r="AA122" s="2048"/>
      <c r="AB122" s="2048"/>
      <c r="AC122" s="2048"/>
    </row>
    <row r="123" spans="1:29" ht="15" thickTop="1">
      <c r="A123" s="726"/>
      <c r="B123" s="664" t="s">
        <v>749</v>
      </c>
      <c r="C123" s="679"/>
      <c r="D123" s="679"/>
      <c r="E123" s="679"/>
      <c r="F123" s="709"/>
      <c r="G123" s="709"/>
      <c r="H123" s="709"/>
      <c r="I123" s="709"/>
      <c r="J123" s="709"/>
      <c r="K123" s="710"/>
      <c r="L123" s="711"/>
      <c r="M123" s="712"/>
      <c r="N123" s="2042"/>
      <c r="O123" s="2042"/>
      <c r="P123" s="2091"/>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2"/>
      <c r="O125" s="2042"/>
      <c r="P125" s="2092"/>
      <c r="Q125" s="2036"/>
      <c r="R125" s="2024"/>
      <c r="S125" s="2024"/>
      <c r="T125" s="2024"/>
      <c r="U125" s="2024"/>
      <c r="V125" s="2024"/>
      <c r="W125" s="2024"/>
      <c r="X125" s="2024"/>
      <c r="Y125" s="2024"/>
      <c r="Z125" s="2024"/>
      <c r="AA125" s="2024"/>
      <c r="AB125" s="2024"/>
      <c r="AC125" s="2024"/>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4"/>
      <c r="O126" s="2044"/>
      <c r="P126" s="2091"/>
      <c r="Q126" s="2036"/>
      <c r="R126" s="2024"/>
      <c r="S126" s="2024"/>
      <c r="T126" s="2024"/>
      <c r="U126" s="2024"/>
      <c r="V126" s="2024"/>
      <c r="W126" s="2024"/>
      <c r="X126" s="2024"/>
      <c r="Y126" s="2024"/>
      <c r="Z126" s="2024"/>
      <c r="AA126" s="2024"/>
      <c r="AB126" s="2024"/>
      <c r="AC126" s="2024"/>
    </row>
    <row r="127" spans="1:29" s="1292" customFormat="1" ht="15" thickTop="1">
      <c r="A127" s="719"/>
      <c r="B127" s="664">
        <f>B45</f>
        <v>111</v>
      </c>
      <c r="C127" s="679"/>
      <c r="D127" s="679"/>
      <c r="E127" s="679"/>
      <c r="F127" s="679"/>
      <c r="G127" s="679"/>
      <c r="H127" s="680"/>
      <c r="I127" s="680"/>
      <c r="J127" s="680"/>
      <c r="K127" s="680"/>
      <c r="L127" s="681"/>
      <c r="M127" s="682"/>
      <c r="N127" s="2045"/>
      <c r="O127" s="2045"/>
      <c r="P127" s="2092"/>
      <c r="Q127" s="2047"/>
      <c r="R127" s="2048"/>
      <c r="S127" s="2048"/>
      <c r="T127" s="2048"/>
      <c r="U127" s="2048"/>
      <c r="V127" s="2048"/>
      <c r="W127" s="2048"/>
      <c r="X127" s="2048"/>
      <c r="Y127" s="2048"/>
      <c r="Z127" s="2048"/>
      <c r="AA127" s="2048"/>
      <c r="AB127" s="2048"/>
      <c r="AC127" s="2048"/>
    </row>
    <row r="128" spans="1:29" s="1292" customFormat="1" ht="15.75" thickBot="1">
      <c r="A128" s="678"/>
      <c r="B128" s="669"/>
      <c r="C128" s="683"/>
      <c r="D128" s="662"/>
      <c r="E128" s="662"/>
      <c r="F128" s="662"/>
      <c r="G128" s="683"/>
      <c r="H128" s="684"/>
      <c r="I128" s="684"/>
      <c r="J128" s="684"/>
      <c r="K128" s="684"/>
      <c r="L128" s="684"/>
      <c r="M128" s="685"/>
      <c r="N128" s="2045"/>
      <c r="O128" s="2045"/>
      <c r="P128" s="2092"/>
      <c r="Q128" s="2047"/>
      <c r="R128" s="2048"/>
      <c r="S128" s="2048"/>
      <c r="T128" s="2048"/>
      <c r="U128" s="2048"/>
      <c r="V128" s="2048"/>
      <c r="W128" s="2048"/>
      <c r="X128" s="2048"/>
      <c r="Y128" s="2048"/>
      <c r="Z128" s="2048"/>
      <c r="AA128" s="2048"/>
      <c r="AB128" s="2048"/>
      <c r="AC128" s="2048"/>
    </row>
    <row r="129" spans="1:29" ht="15" thickTop="1">
      <c r="A129" s="726"/>
      <c r="B129" s="664">
        <f>B46</f>
        <v>111</v>
      </c>
      <c r="C129" s="679"/>
      <c r="D129" s="679"/>
      <c r="E129" s="679"/>
      <c r="F129" s="679"/>
      <c r="G129" s="709"/>
      <c r="H129" s="709"/>
      <c r="I129" s="709"/>
      <c r="J129" s="709"/>
      <c r="K129" s="710"/>
      <c r="L129" s="711"/>
      <c r="M129" s="712"/>
      <c r="N129" s="2042"/>
      <c r="O129" s="2042"/>
      <c r="P129" s="2091"/>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91"/>
      <c r="Q130" s="2036"/>
      <c r="R130" s="2024"/>
      <c r="S130" s="2024"/>
      <c r="T130" s="2024"/>
      <c r="U130" s="2024"/>
      <c r="V130" s="2024"/>
      <c r="W130" s="2024"/>
      <c r="X130" s="2024"/>
      <c r="Y130" s="2024"/>
      <c r="Z130" s="2024"/>
      <c r="AA130" s="2024"/>
      <c r="AB130" s="2024"/>
      <c r="AC130" s="2024"/>
    </row>
    <row r="131" spans="1:29" ht="15" thickTop="1">
      <c r="A131" s="726"/>
      <c r="B131" s="672">
        <f>B47</f>
        <v>111</v>
      </c>
      <c r="C131" s="652"/>
      <c r="D131" s="652"/>
      <c r="E131" s="652"/>
      <c r="F131" s="652"/>
      <c r="G131" s="713"/>
      <c r="H131" s="713"/>
      <c r="I131" s="713"/>
      <c r="J131" s="713"/>
      <c r="K131" s="652"/>
      <c r="L131" s="653"/>
      <c r="M131" s="716"/>
      <c r="N131" s="2042"/>
      <c r="O131" s="2042"/>
      <c r="P131" s="2091"/>
      <c r="Q131" s="2036"/>
      <c r="R131" s="2024"/>
      <c r="S131" s="2024"/>
      <c r="T131" s="2024"/>
      <c r="U131" s="2024"/>
      <c r="V131" s="2024"/>
      <c r="W131" s="2024"/>
      <c r="X131" s="2024"/>
      <c r="Y131" s="2024"/>
      <c r="Z131" s="2024"/>
      <c r="AA131" s="2024"/>
      <c r="AB131" s="2024"/>
      <c r="AC131" s="2024"/>
    </row>
    <row r="132" spans="1:29" ht="15.75" thickBot="1">
      <c r="A132" s="881"/>
      <c r="B132" s="690"/>
      <c r="C132" s="691"/>
      <c r="D132" s="691"/>
      <c r="E132" s="691"/>
      <c r="F132" s="691"/>
      <c r="G132" s="717"/>
      <c r="H132" s="717"/>
      <c r="I132" s="717"/>
      <c r="J132" s="717"/>
      <c r="K132" s="717"/>
      <c r="L132" s="717"/>
      <c r="M132" s="718"/>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8" priority="20" stopIfTrue="1" operator="containsText" text="超过">
      <formula>NOT(ISERROR(SEARCH("超过",F53)))</formula>
    </cfRule>
  </conditionalFormatting>
  <conditionalFormatting sqref="H55">
    <cfRule type="containsText" dxfId="107" priority="19" stopIfTrue="1" operator="containsText" text="超过">
      <formula>NOT(ISERROR(SEARCH("超过",H55)))</formula>
    </cfRule>
  </conditionalFormatting>
  <conditionalFormatting sqref="F55">
    <cfRule type="containsText" dxfId="106" priority="18" stopIfTrue="1" operator="containsText" text="超过">
      <formula>NOT(ISERROR(SEARCH("超过",F55)))</formula>
    </cfRule>
  </conditionalFormatting>
  <conditionalFormatting sqref="F54 H54">
    <cfRule type="containsText" dxfId="105" priority="17" stopIfTrue="1" operator="containsText" text="超过">
      <formula>NOT(ISERROR(SEARCH("超过",F54)))</formula>
    </cfRule>
  </conditionalFormatting>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J53">
    <cfRule type="containsText" dxfId="98" priority="10" stopIfTrue="1" operator="containsText" text="超过">
      <formula>NOT(ISERROR(SEARCH("超过",J53)))</formula>
    </cfRule>
  </conditionalFormatting>
  <conditionalFormatting sqref="J55">
    <cfRule type="containsText" dxfId="97" priority="9" stopIfTrue="1" operator="containsText" text="超过">
      <formula>NOT(ISERROR(SEARCH("超过",J55)))</formula>
    </cfRule>
  </conditionalFormatting>
  <conditionalFormatting sqref="J54">
    <cfRule type="containsText" dxfId="96" priority="8" stopIfTrue="1" operator="containsText" text="超过">
      <formula>NOT(ISERROR(SEARCH("超过",J54)))</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F7:F47 H7:H47 J7:J47">
    <cfRule type="cellIs" dxfId="89"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1"/>
      <c r="G1" s="1529" t="s">
        <v>715</v>
      </c>
      <c r="H1" s="499"/>
      <c r="I1" s="499"/>
      <c r="J1" s="499"/>
      <c r="K1" s="500"/>
      <c r="L1" s="3207"/>
      <c r="M1" s="3208"/>
      <c r="N1" s="3208"/>
      <c r="O1" s="3208"/>
      <c r="P1" s="2011"/>
      <c r="Q1" s="2011"/>
      <c r="R1" s="2011"/>
      <c r="S1" s="2011"/>
      <c r="T1" s="2011"/>
      <c r="U1" s="2011"/>
      <c r="V1" s="2011"/>
      <c r="W1" s="2011"/>
      <c r="X1" s="2011"/>
      <c r="Y1" s="2011"/>
      <c r="Z1" s="2011"/>
      <c r="AA1" s="2011"/>
      <c r="AB1" s="2011"/>
      <c r="AC1" s="1941"/>
    </row>
    <row r="2" spans="1:29" s="1289" customFormat="1" ht="28.5" customHeight="1">
      <c r="A2" s="416" t="s">
        <v>461</v>
      </c>
      <c r="B2" s="838"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9" customFormat="1" ht="28.5" customHeight="1" thickBot="1">
      <c r="A3" s="502" t="s">
        <v>513</v>
      </c>
      <c r="B3" s="503" t="e">
        <f>C43</f>
        <v>#DIV/0!</v>
      </c>
      <c r="C3" s="840" t="s">
        <v>716</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515</v>
      </c>
      <c r="B4" s="506"/>
      <c r="C4" s="3508" t="s">
        <v>516</v>
      </c>
      <c r="D4" s="3509"/>
      <c r="E4" s="3535" t="s">
        <v>517</v>
      </c>
      <c r="F4" s="3536"/>
      <c r="G4" s="3508" t="s">
        <v>518</v>
      </c>
      <c r="H4" s="3509"/>
      <c r="I4" s="3508" t="s">
        <v>519</v>
      </c>
      <c r="J4" s="3509"/>
      <c r="K4" s="507" t="s">
        <v>520</v>
      </c>
      <c r="L4" s="2012"/>
      <c r="M4" s="2013"/>
      <c r="N4" s="2013"/>
      <c r="O4" s="2013"/>
      <c r="P4" s="3510" t="s">
        <v>521</v>
      </c>
      <c r="Q4" s="3511"/>
      <c r="R4" s="3496" t="s">
        <v>517</v>
      </c>
      <c r="S4" s="3497"/>
      <c r="T4" s="3496" t="s">
        <v>518</v>
      </c>
      <c r="U4" s="3497"/>
      <c r="V4" s="3516" t="s">
        <v>519</v>
      </c>
      <c r="W4" s="3516"/>
      <c r="X4" s="1499"/>
      <c r="Y4" s="3496" t="s">
        <v>521</v>
      </c>
      <c r="Z4" s="3497"/>
      <c r="AA4" s="3491" t="s">
        <v>517</v>
      </c>
      <c r="AB4" s="3492" t="s">
        <v>518</v>
      </c>
      <c r="AC4" s="3491" t="s">
        <v>519</v>
      </c>
    </row>
    <row r="5" spans="1:29" ht="15">
      <c r="A5" s="508"/>
      <c r="B5" s="509"/>
      <c r="C5" s="3521" t="s">
        <v>2896</v>
      </c>
      <c r="D5" s="3520"/>
      <c r="E5" s="3537" t="s">
        <v>2897</v>
      </c>
      <c r="F5" s="3538"/>
      <c r="G5" s="3521" t="s">
        <v>2898</v>
      </c>
      <c r="H5" s="3520"/>
      <c r="I5" s="3521" t="s">
        <v>2899</v>
      </c>
      <c r="J5" s="3520"/>
      <c r="K5" s="507"/>
      <c r="L5" s="2012"/>
      <c r="M5" s="2013"/>
      <c r="N5" s="2013"/>
      <c r="O5" s="2013"/>
      <c r="P5" s="3512"/>
      <c r="Q5" s="3513"/>
      <c r="R5" s="3498"/>
      <c r="S5" s="3499"/>
      <c r="T5" s="3498"/>
      <c r="U5" s="3499"/>
      <c r="V5" s="3516"/>
      <c r="W5" s="3516"/>
      <c r="X5" s="1499"/>
      <c r="Y5" s="3498"/>
      <c r="Z5" s="3499"/>
      <c r="AA5" s="3492"/>
      <c r="AB5" s="3492"/>
      <c r="AC5" s="3492"/>
    </row>
    <row r="6" spans="1:29" ht="15.75" thickBot="1">
      <c r="A6" s="510"/>
      <c r="B6" s="511"/>
      <c r="C6" s="3539" t="s">
        <v>2900</v>
      </c>
      <c r="D6" s="3518"/>
      <c r="E6" s="3540" t="s">
        <v>2900</v>
      </c>
      <c r="F6" s="3541"/>
      <c r="G6" s="3539" t="s">
        <v>2900</v>
      </c>
      <c r="H6" s="3518"/>
      <c r="I6" s="3539" t="s">
        <v>2900</v>
      </c>
      <c r="J6" s="3518"/>
      <c r="K6" s="507" t="s">
        <v>522</v>
      </c>
      <c r="L6" s="2012"/>
      <c r="M6" s="2013"/>
      <c r="N6" s="2013"/>
      <c r="O6" s="2013"/>
      <c r="P6" s="35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514"/>
      <c r="F7" s="515">
        <f>SUMIF(52:52,YEAR(E7)&amp;"-"&amp;MONTH(E7),53:53)</f>
        <v>0</v>
      </c>
      <c r="G7" s="514"/>
      <c r="H7" s="513">
        <f>SUMIF(52:52,YEAR(G7)&amp;"-"&amp;MONTH(G7),53:53)</f>
        <v>0</v>
      </c>
      <c r="I7" s="514"/>
      <c r="J7" s="513">
        <f>SUMIF(52:52,YEAR(I7)&amp;"-"&amp;MONTH(I7),53:53)</f>
        <v>0</v>
      </c>
      <c r="K7" s="517"/>
      <c r="L7" s="2014"/>
      <c r="M7" s="2015"/>
      <c r="N7" s="2015"/>
      <c r="O7" s="2015"/>
      <c r="P7" s="3494" t="s">
        <v>524</v>
      </c>
      <c r="Q7" s="3503"/>
      <c r="R7" s="1500" t="s">
        <v>8</v>
      </c>
      <c r="S7" s="1501">
        <f t="shared" ref="S7:S15" si="0">F7</f>
        <v>0</v>
      </c>
      <c r="T7" s="1500" t="s">
        <v>8</v>
      </c>
      <c r="U7" s="1501">
        <f t="shared" ref="U7:U15" si="1">H7</f>
        <v>0</v>
      </c>
      <c r="V7" s="1500" t="s">
        <v>8</v>
      </c>
      <c r="W7" s="1501">
        <f t="shared" ref="W7:W15"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4"/>
      <c r="M8" s="2015"/>
      <c r="N8" s="2015"/>
      <c r="O8" s="2015"/>
      <c r="P8" s="3494" t="s">
        <v>527</v>
      </c>
      <c r="Q8" s="3495"/>
      <c r="R8" s="1500" t="s">
        <v>8</v>
      </c>
      <c r="S8" s="1501">
        <f t="shared" si="0"/>
        <v>0</v>
      </c>
      <c r="T8" s="1500" t="s">
        <v>8</v>
      </c>
      <c r="U8" s="1501">
        <f t="shared" si="1"/>
        <v>0</v>
      </c>
      <c r="V8" s="1500" t="s">
        <v>8</v>
      </c>
      <c r="W8" s="1501">
        <f t="shared" si="2"/>
        <v>0</v>
      </c>
      <c r="X8" s="1502"/>
      <c r="Y8" s="3494" t="s">
        <v>527</v>
      </c>
      <c r="Z8" s="3495"/>
      <c r="AA8" s="1503" t="e">
        <f t="shared" ref="AA8:AA40" si="3">D8/F8</f>
        <v>#DIV/0!</v>
      </c>
      <c r="AB8" s="1503" t="e">
        <f t="shared" ref="AB8:AB40" si="4">D8/H8</f>
        <v>#DIV/0!</v>
      </c>
      <c r="AC8" s="1503" t="e">
        <f t="shared" ref="AC8:AC40" si="5">D8/J8</f>
        <v>#DIV/0!</v>
      </c>
    </row>
    <row r="9" spans="1:29" s="1202" customFormat="1" ht="15">
      <c r="A9" s="2628"/>
      <c r="B9" s="2635" t="s">
        <v>2736</v>
      </c>
      <c r="C9" s="845"/>
      <c r="D9" s="251">
        <v>100</v>
      </c>
      <c r="E9" s="848"/>
      <c r="F9" s="251">
        <f>SUMIF(57:57,E9,58:58)-SUMIF(57:57,C9,58:58)+100</f>
        <v>100</v>
      </c>
      <c r="G9" s="846"/>
      <c r="H9" s="251">
        <f>SUMIF(57:57,G9,58:58)-SUMIF(57:57,C9,58:58)+100</f>
        <v>100</v>
      </c>
      <c r="I9" s="846"/>
      <c r="J9" s="251">
        <f>SUMIF(57:57,I9,58:58)-SUMIF(57:57,C9,58:58)+100</f>
        <v>100</v>
      </c>
      <c r="K9" s="517"/>
      <c r="L9" s="2014"/>
      <c r="M9" s="2015"/>
      <c r="N9" s="2015"/>
      <c r="O9" s="2016"/>
      <c r="P9" s="3502" t="s">
        <v>529</v>
      </c>
      <c r="Q9" s="1133" t="str">
        <f t="shared" ref="Q9:Q15" si="6">B9</f>
        <v>用途</v>
      </c>
      <c r="R9" s="1500" t="s">
        <v>8</v>
      </c>
      <c r="S9" s="1501">
        <f t="shared" si="0"/>
        <v>100</v>
      </c>
      <c r="T9" s="1500" t="s">
        <v>8</v>
      </c>
      <c r="U9" s="1501">
        <f t="shared" si="1"/>
        <v>100</v>
      </c>
      <c r="V9" s="1500" t="s">
        <v>8</v>
      </c>
      <c r="W9" s="1501">
        <f t="shared" si="2"/>
        <v>100</v>
      </c>
      <c r="X9" s="1502"/>
      <c r="Y9" s="3453" t="s">
        <v>530</v>
      </c>
      <c r="Z9" s="1132" t="str">
        <f t="shared" ref="Z9:Z15" si="7">Q9</f>
        <v>用途</v>
      </c>
      <c r="AA9" s="1503">
        <f t="shared" si="3"/>
        <v>1</v>
      </c>
      <c r="AB9" s="1503">
        <f t="shared" si="4"/>
        <v>1</v>
      </c>
      <c r="AC9" s="1503">
        <f t="shared" si="5"/>
        <v>1</v>
      </c>
    </row>
    <row r="10" spans="1:29" s="1291" customFormat="1" ht="27">
      <c r="A10" s="2629"/>
      <c r="B10" s="2634" t="s">
        <v>2737</v>
      </c>
      <c r="C10" s="849"/>
      <c r="D10" s="252">
        <v>100</v>
      </c>
      <c r="E10" s="849"/>
      <c r="F10" s="252">
        <f>SUMIF(59:59,E10,60:60)-SUMIF(59:59,C10,60:60)+100</f>
        <v>100</v>
      </c>
      <c r="G10" s="850"/>
      <c r="H10" s="252">
        <f>SUMIF(59:59,G10,60:60)-SUMIF(59:59,C10,60:60)+100</f>
        <v>100</v>
      </c>
      <c r="I10" s="849"/>
      <c r="J10" s="252">
        <f>SUMIF(59:59,I10,60:60)-SUMIF(59:59,C10,60:60)+100</f>
        <v>100</v>
      </c>
      <c r="K10" s="577"/>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0"/>
      <c r="B11" s="2634"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9"/>
      <c r="M11" s="2013"/>
      <c r="N11" s="2013"/>
      <c r="O11" s="2020"/>
      <c r="P11" s="3502"/>
      <c r="Q11" s="1133" t="str">
        <f t="shared" si="6"/>
        <v>容积率</v>
      </c>
      <c r="R11" s="1500" t="s">
        <v>8</v>
      </c>
      <c r="S11" s="1501" t="e">
        <f t="shared" si="0"/>
        <v>#N/A</v>
      </c>
      <c r="T11" s="1500" t="s">
        <v>8</v>
      </c>
      <c r="U11" s="1501" t="e">
        <f t="shared" si="1"/>
        <v>#N/A</v>
      </c>
      <c r="V11" s="1500" t="s">
        <v>8</v>
      </c>
      <c r="W11" s="1501" t="e">
        <f t="shared" si="2"/>
        <v>#N/A</v>
      </c>
      <c r="X11" s="1502"/>
      <c r="Y11" s="3453"/>
      <c r="Z11" s="1132" t="str">
        <f t="shared" si="7"/>
        <v>容积率</v>
      </c>
      <c r="AA11" s="1503" t="e">
        <f t="shared" si="3"/>
        <v>#N/A</v>
      </c>
      <c r="AB11" s="1503" t="e">
        <f t="shared" si="4"/>
        <v>#N/A</v>
      </c>
      <c r="AC11" s="1503" t="e">
        <f t="shared" si="5"/>
        <v>#N/A</v>
      </c>
    </row>
    <row r="12" spans="1:29" s="1202" customFormat="1" ht="15">
      <c r="A12" s="2631"/>
      <c r="B12" s="2637">
        <v>111</v>
      </c>
      <c r="C12" s="521"/>
      <c r="D12" s="531">
        <v>100</v>
      </c>
      <c r="E12" s="532"/>
      <c r="F12" s="252">
        <f>SUMIF(64:64,E12,65:65)-SUMIF(64:64,C12,65:65)+100</f>
        <v>100</v>
      </c>
      <c r="G12" s="908"/>
      <c r="H12" s="252">
        <f>SUMIF(64:64,G12,65:65)-SUMIF(64:64,C12,65:65)+100</f>
        <v>100</v>
      </c>
      <c r="I12" s="868"/>
      <c r="J12" s="252">
        <f>SUMIF(64:64,I12,65:65)-SUMIF(64:64,C12,65:65)+100</f>
        <v>100</v>
      </c>
      <c r="K12" s="574"/>
      <c r="L12" s="2014"/>
      <c r="M12" s="2015"/>
      <c r="N12" s="2015"/>
      <c r="O12" s="2016"/>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
      <c r="A13" s="2631"/>
      <c r="B13" s="2637">
        <v>111</v>
      </c>
      <c r="C13" s="532"/>
      <c r="D13" s="533">
        <v>100</v>
      </c>
      <c r="E13" s="532"/>
      <c r="F13" s="252">
        <f>SUMIF(66:66,E13,67:67)-SUMIF(66:66,C13,67:67)+100</f>
        <v>100</v>
      </c>
      <c r="G13" s="908"/>
      <c r="H13" s="533">
        <f>SUMIF(66:66,G13,67:67)-SUMIF(66:66,C13,67:67)+100</f>
        <v>100</v>
      </c>
      <c r="I13" s="868"/>
      <c r="J13" s="533">
        <f>SUMIF(66:66,I13,67:67)-SUMIF(66:66,C13,67:67)+100</f>
        <v>100</v>
      </c>
      <c r="K13" s="574"/>
      <c r="L13" s="2021"/>
      <c r="M13" s="2013"/>
      <c r="N13" s="2013"/>
      <c r="O13" s="2020"/>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15.75" thickBot="1">
      <c r="A14" s="2632"/>
      <c r="B14" s="2638">
        <v>111</v>
      </c>
      <c r="C14" s="538"/>
      <c r="D14" s="539">
        <v>100</v>
      </c>
      <c r="E14" s="538"/>
      <c r="F14" s="539">
        <f>SUMIF(68:68,E14,69:69)-SUMIF(68:68,C14,69:69)+100</f>
        <v>100</v>
      </c>
      <c r="G14" s="908"/>
      <c r="H14" s="539">
        <f>SUMIF(68:68,G14,69:69)-SUMIF(68:68,C14,69:69)+100</f>
        <v>100</v>
      </c>
      <c r="I14" s="868"/>
      <c r="J14" s="539">
        <f>SUMIF(68:68,I14,69:69)-SUMIF(68:68,C14,69:69)+100</f>
        <v>100</v>
      </c>
      <c r="K14" s="574"/>
      <c r="L14" s="2021"/>
      <c r="M14" s="2013"/>
      <c r="N14" s="2013"/>
      <c r="O14" s="2020"/>
      <c r="P14" s="3502"/>
      <c r="Q14" s="1133">
        <f t="shared" si="6"/>
        <v>111</v>
      </c>
      <c r="R14" s="1500" t="s">
        <v>8</v>
      </c>
      <c r="S14" s="1501">
        <f t="shared" si="0"/>
        <v>100</v>
      </c>
      <c r="T14" s="1500" t="s">
        <v>8</v>
      </c>
      <c r="U14" s="1501">
        <f t="shared" si="1"/>
        <v>100</v>
      </c>
      <c r="V14" s="1500" t="s">
        <v>8</v>
      </c>
      <c r="W14" s="1501">
        <f t="shared" si="2"/>
        <v>100</v>
      </c>
      <c r="X14" s="1502"/>
      <c r="Y14" s="3453"/>
      <c r="Z14" s="1132">
        <f t="shared" si="7"/>
        <v>111</v>
      </c>
      <c r="AA14" s="1503">
        <f t="shared" si="3"/>
        <v>1</v>
      </c>
      <c r="AB14" s="1503">
        <f t="shared" si="4"/>
        <v>1</v>
      </c>
      <c r="AC14" s="1503">
        <f t="shared" si="5"/>
        <v>1</v>
      </c>
    </row>
    <row r="15" spans="1:29" ht="57">
      <c r="A15" s="2624" t="s">
        <v>2734</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1"/>
      <c r="M15" s="2013"/>
      <c r="N15" s="2013"/>
      <c r="O15" s="2020"/>
      <c r="P15" s="3504" t="s">
        <v>534</v>
      </c>
      <c r="Q15" s="1504" t="str">
        <f t="shared" si="6"/>
        <v>产业集聚程度</v>
      </c>
      <c r="R15" s="1505" t="s">
        <v>8</v>
      </c>
      <c r="S15" s="1506">
        <f t="shared" si="0"/>
        <v>100</v>
      </c>
      <c r="T15" s="1505" t="s">
        <v>8</v>
      </c>
      <c r="U15" s="1506">
        <f t="shared" si="1"/>
        <v>100</v>
      </c>
      <c r="V15" s="1505" t="s">
        <v>8</v>
      </c>
      <c r="W15" s="1506">
        <f t="shared" si="2"/>
        <v>100</v>
      </c>
      <c r="X15" s="1499"/>
      <c r="Y15" s="3504"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1"/>
      <c r="M16" s="2013"/>
      <c r="N16" s="2013"/>
      <c r="O16" s="2020"/>
      <c r="P16" s="3505"/>
      <c r="Q16" s="1504"/>
      <c r="R16" s="1505"/>
      <c r="S16" s="1506"/>
      <c r="T16" s="1505"/>
      <c r="U16" s="1506"/>
      <c r="V16" s="1505"/>
      <c r="W16" s="1506"/>
      <c r="X16" s="1499"/>
      <c r="Y16" s="3505"/>
      <c r="Z16" s="1507"/>
      <c r="AA16" s="1508">
        <v>1</v>
      </c>
      <c r="AB16" s="1508">
        <v>1</v>
      </c>
      <c r="AC16" s="1508">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1"/>
      <c r="M17" s="2013"/>
      <c r="N17" s="2013"/>
      <c r="O17" s="2020"/>
      <c r="P17" s="3505"/>
      <c r="Q17" s="1504" t="str">
        <f>B17</f>
        <v>交通便捷度</v>
      </c>
      <c r="R17" s="1505" t="s">
        <v>8</v>
      </c>
      <c r="S17" s="1506">
        <f>F17</f>
        <v>100</v>
      </c>
      <c r="T17" s="1505" t="s">
        <v>8</v>
      </c>
      <c r="U17" s="1506">
        <f>H17</f>
        <v>100</v>
      </c>
      <c r="V17" s="1505" t="s">
        <v>8</v>
      </c>
      <c r="W17" s="1506">
        <f>J17</f>
        <v>100</v>
      </c>
      <c r="X17" s="1499"/>
      <c r="Y17" s="3505"/>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1"/>
      <c r="M18" s="2013"/>
      <c r="N18" s="2013"/>
      <c r="O18" s="2020"/>
      <c r="P18" s="3505"/>
      <c r="Q18" s="1504"/>
      <c r="R18" s="1505"/>
      <c r="S18" s="1506"/>
      <c r="T18" s="1505"/>
      <c r="U18" s="1506"/>
      <c r="V18" s="1505"/>
      <c r="W18" s="1506"/>
      <c r="X18" s="1499"/>
      <c r="Y18" s="3505"/>
      <c r="Z18" s="1507"/>
      <c r="AA18" s="1508">
        <v>1</v>
      </c>
      <c r="AB18" s="1508">
        <v>1</v>
      </c>
      <c r="AC18" s="1508">
        <v>1</v>
      </c>
    </row>
    <row r="19" spans="1:29" ht="42.75">
      <c r="A19" s="525"/>
      <c r="B19" s="2444"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1"/>
      <c r="M19" s="2013"/>
      <c r="N19" s="2013"/>
      <c r="O19" s="2020"/>
      <c r="P19" s="3505"/>
      <c r="Q19" s="1504" t="str">
        <f>B19</f>
        <v>公共配套设施</v>
      </c>
      <c r="R19" s="1505" t="s">
        <v>8</v>
      </c>
      <c r="S19" s="1506">
        <f>F19</f>
        <v>100</v>
      </c>
      <c r="T19" s="1505" t="s">
        <v>8</v>
      </c>
      <c r="U19" s="1506">
        <f>H19</f>
        <v>100</v>
      </c>
      <c r="V19" s="1505" t="s">
        <v>8</v>
      </c>
      <c r="W19" s="1506">
        <f>J19</f>
        <v>100</v>
      </c>
      <c r="X19" s="1499"/>
      <c r="Y19" s="3505"/>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1"/>
      <c r="M20" s="2013"/>
      <c r="N20" s="2013"/>
      <c r="O20" s="2020"/>
      <c r="P20" s="3505"/>
      <c r="Q20" s="1504"/>
      <c r="R20" s="1505"/>
      <c r="S20" s="1506"/>
      <c r="T20" s="1505"/>
      <c r="U20" s="1506"/>
      <c r="V20" s="1505"/>
      <c r="W20" s="1506"/>
      <c r="X20" s="1499"/>
      <c r="Y20" s="3505"/>
      <c r="Z20" s="1507"/>
      <c r="AA20" s="1508">
        <v>1</v>
      </c>
      <c r="AB20" s="1508">
        <v>1</v>
      </c>
      <c r="AC20" s="1508">
        <v>1</v>
      </c>
    </row>
    <row r="21" spans="1:29" ht="28.5">
      <c r="A21" s="525"/>
      <c r="B21" s="2432"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1"/>
      <c r="M21" s="2013"/>
      <c r="N21" s="2013"/>
      <c r="O21" s="2020"/>
      <c r="P21" s="3505"/>
      <c r="Q21" s="2426" t="str">
        <f>B21</f>
        <v>基础设施水平</v>
      </c>
      <c r="R21" s="1505" t="s">
        <v>8</v>
      </c>
      <c r="S21" s="1506">
        <f>F21</f>
        <v>100</v>
      </c>
      <c r="T21" s="1505" t="s">
        <v>8</v>
      </c>
      <c r="U21" s="1506">
        <f>H21</f>
        <v>100</v>
      </c>
      <c r="V21" s="1505" t="s">
        <v>8</v>
      </c>
      <c r="W21" s="1506">
        <f>J21</f>
        <v>100</v>
      </c>
      <c r="X21" s="2428"/>
      <c r="Y21" s="3505"/>
      <c r="Z21" s="2427"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3"/>
      <c r="L22" s="2021"/>
      <c r="M22" s="2013"/>
      <c r="N22" s="2013"/>
      <c r="O22" s="2020"/>
      <c r="P22" s="3505"/>
      <c r="Q22" s="2426"/>
      <c r="R22" s="1505"/>
      <c r="S22" s="1506"/>
      <c r="T22" s="1505"/>
      <c r="U22" s="1506"/>
      <c r="V22" s="1505"/>
      <c r="W22" s="1506"/>
      <c r="X22" s="2428"/>
      <c r="Y22" s="3505"/>
      <c r="Z22" s="2427"/>
      <c r="AA22" s="1508">
        <v>1</v>
      </c>
      <c r="AB22" s="1508">
        <v>1</v>
      </c>
      <c r="AC22" s="1508">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1"/>
      <c r="M23" s="2013"/>
      <c r="N23" s="2013"/>
      <c r="O23" s="2020"/>
      <c r="P23" s="3505"/>
      <c r="Q23" s="1504" t="str">
        <f>B23</f>
        <v>环境质量</v>
      </c>
      <c r="R23" s="1505" t="s">
        <v>8</v>
      </c>
      <c r="S23" s="1506">
        <f>F23</f>
        <v>100</v>
      </c>
      <c r="T23" s="1505" t="s">
        <v>8</v>
      </c>
      <c r="U23" s="1506">
        <f>H23</f>
        <v>100</v>
      </c>
      <c r="V23" s="1505" t="s">
        <v>8</v>
      </c>
      <c r="W23" s="1506">
        <f>J23</f>
        <v>100</v>
      </c>
      <c r="X23" s="1499"/>
      <c r="Y23" s="3505"/>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1"/>
      <c r="M24" s="2013"/>
      <c r="N24" s="2013"/>
      <c r="O24" s="2020"/>
      <c r="P24" s="3505"/>
      <c r="Q24" s="1504"/>
      <c r="R24" s="1505"/>
      <c r="S24" s="1506"/>
      <c r="T24" s="1505"/>
      <c r="U24" s="1506"/>
      <c r="V24" s="1505"/>
      <c r="W24" s="1506"/>
      <c r="X24" s="1499"/>
      <c r="Y24" s="3505"/>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1"/>
      <c r="M25" s="2013"/>
      <c r="N25" s="2013"/>
      <c r="O25" s="2020"/>
      <c r="P25" s="3505"/>
      <c r="Q25" s="1504">
        <f>B25</f>
        <v>111</v>
      </c>
      <c r="R25" s="1505" t="s">
        <v>8</v>
      </c>
      <c r="S25" s="1506">
        <f>F25</f>
        <v>100</v>
      </c>
      <c r="T25" s="1505" t="s">
        <v>8</v>
      </c>
      <c r="U25" s="1506">
        <f>H25</f>
        <v>100</v>
      </c>
      <c r="V25" s="1505" t="s">
        <v>8</v>
      </c>
      <c r="W25" s="1506">
        <f>J25</f>
        <v>100</v>
      </c>
      <c r="X25" s="1499"/>
      <c r="Y25" s="3505"/>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1"/>
      <c r="M26" s="2013"/>
      <c r="N26" s="2013"/>
      <c r="O26" s="2020"/>
      <c r="P26" s="3505"/>
      <c r="Q26" s="1504">
        <f t="shared" ref="Q26:Q40" si="11">B26</f>
        <v>111</v>
      </c>
      <c r="R26" s="1505" t="s">
        <v>8</v>
      </c>
      <c r="S26" s="1506">
        <f>F26</f>
        <v>100</v>
      </c>
      <c r="T26" s="1505" t="s">
        <v>8</v>
      </c>
      <c r="U26" s="1506">
        <f>H26</f>
        <v>100</v>
      </c>
      <c r="V26" s="1505" t="s">
        <v>8</v>
      </c>
      <c r="W26" s="1506">
        <f>J26</f>
        <v>100</v>
      </c>
      <c r="X26" s="1499"/>
      <c r="Y26" s="3505"/>
      <c r="Z26" s="1507">
        <f>Q26</f>
        <v>111</v>
      </c>
      <c r="AA26" s="1508">
        <f t="shared" si="3"/>
        <v>1</v>
      </c>
      <c r="AB26" s="1508">
        <f t="shared" si="4"/>
        <v>1</v>
      </c>
      <c r="AC26" s="1508">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4"/>
      <c r="M27" s="2015"/>
      <c r="N27" s="2015"/>
      <c r="O27" s="2016"/>
      <c r="P27" s="3505"/>
      <c r="Q27" s="1133">
        <f t="shared" si="11"/>
        <v>111</v>
      </c>
      <c r="R27" s="1500" t="s">
        <v>8</v>
      </c>
      <c r="S27" s="1501">
        <f>F27</f>
        <v>100</v>
      </c>
      <c r="T27" s="1500" t="s">
        <v>8</v>
      </c>
      <c r="U27" s="1501">
        <f>H27</f>
        <v>100</v>
      </c>
      <c r="V27" s="1500" t="s">
        <v>8</v>
      </c>
      <c r="W27" s="1501">
        <f>J27</f>
        <v>100</v>
      </c>
      <c r="X27" s="1502"/>
      <c r="Y27" s="3505"/>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1"/>
      <c r="M28" s="2013"/>
      <c r="N28" s="2013"/>
      <c r="O28" s="2020"/>
      <c r="P28" s="3505"/>
      <c r="Q28" s="1504">
        <f t="shared" si="11"/>
        <v>111</v>
      </c>
      <c r="R28" s="1505" t="s">
        <v>8</v>
      </c>
      <c r="S28" s="1506">
        <f t="shared" ref="S28:S40" si="12">F28</f>
        <v>100</v>
      </c>
      <c r="T28" s="1505" t="s">
        <v>8</v>
      </c>
      <c r="U28" s="1506">
        <f t="shared" ref="U28:U40" si="13">H28</f>
        <v>100</v>
      </c>
      <c r="V28" s="1505" t="s">
        <v>8</v>
      </c>
      <c r="W28" s="1506">
        <f t="shared" ref="W28:W40" si="14">J28</f>
        <v>100</v>
      </c>
      <c r="X28" s="1499"/>
      <c r="Y28" s="3505"/>
      <c r="Z28" s="1507">
        <f t="shared" ref="Z28:Z40" si="15">Q28</f>
        <v>111</v>
      </c>
      <c r="AA28" s="1508">
        <f t="shared" si="3"/>
        <v>1</v>
      </c>
      <c r="AB28" s="1508">
        <f t="shared" si="4"/>
        <v>1</v>
      </c>
      <c r="AC28" s="1508">
        <f t="shared" si="5"/>
        <v>1</v>
      </c>
    </row>
    <row r="29" spans="1:29" ht="15">
      <c r="A29" s="2621" t="s">
        <v>2735</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1"/>
      <c r="M29" s="2013"/>
      <c r="N29" s="2013"/>
      <c r="O29" s="2020"/>
      <c r="P29" s="3506" t="s">
        <v>544</v>
      </c>
      <c r="Q29" s="1504" t="str">
        <f t="shared" si="11"/>
        <v>建筑类型</v>
      </c>
      <c r="R29" s="1505" t="s">
        <v>8</v>
      </c>
      <c r="S29" s="1506">
        <f t="shared" si="12"/>
        <v>100</v>
      </c>
      <c r="T29" s="1505" t="s">
        <v>8</v>
      </c>
      <c r="U29" s="1506">
        <f t="shared" si="13"/>
        <v>100</v>
      </c>
      <c r="V29" s="1505" t="s">
        <v>8</v>
      </c>
      <c r="W29" s="1506">
        <f t="shared" si="14"/>
        <v>100</v>
      </c>
      <c r="X29" s="1499"/>
      <c r="Y29" s="3507" t="s">
        <v>544</v>
      </c>
      <c r="Z29" s="1507" t="str">
        <f t="shared" si="15"/>
        <v>建筑类型</v>
      </c>
      <c r="AA29" s="1508">
        <f t="shared" si="3"/>
        <v>1</v>
      </c>
      <c r="AB29" s="1508">
        <f t="shared" si="4"/>
        <v>1</v>
      </c>
      <c r="AC29" s="1508">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19"/>
      <c r="M30" s="2049"/>
      <c r="N30" s="2049"/>
      <c r="O30" s="2022"/>
      <c r="P30" s="3507"/>
      <c r="Q30" s="1533" t="str">
        <f t="shared" si="11"/>
        <v>项目建筑规模</v>
      </c>
      <c r="R30" s="1509" t="s">
        <v>8</v>
      </c>
      <c r="S30" s="1510" t="e">
        <f t="shared" si="12"/>
        <v>#N/A</v>
      </c>
      <c r="T30" s="1509" t="s">
        <v>8</v>
      </c>
      <c r="U30" s="1510" t="e">
        <f t="shared" si="13"/>
        <v>#N/A</v>
      </c>
      <c r="V30" s="1509" t="s">
        <v>8</v>
      </c>
      <c r="W30" s="1510" t="e">
        <f t="shared" si="14"/>
        <v>#N/A</v>
      </c>
      <c r="X30" s="1511"/>
      <c r="Y30" s="3507"/>
      <c r="Z30" s="1512" t="str">
        <f t="shared" si="15"/>
        <v>项目建筑规模</v>
      </c>
      <c r="AA30" s="1508" t="e">
        <f t="shared" si="3"/>
        <v>#N/A</v>
      </c>
      <c r="AB30" s="1508" t="e">
        <f t="shared" si="4"/>
        <v>#N/A</v>
      </c>
      <c r="AC30" s="1508"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1"/>
      <c r="M31" s="2013"/>
      <c r="N31" s="2013"/>
      <c r="O31" s="2020"/>
      <c r="P31" s="3507"/>
      <c r="Q31" s="1504" t="str">
        <f t="shared" si="11"/>
        <v>建筑结构</v>
      </c>
      <c r="R31" s="1505" t="s">
        <v>8</v>
      </c>
      <c r="S31" s="1506">
        <f t="shared" si="12"/>
        <v>100</v>
      </c>
      <c r="T31" s="1505" t="s">
        <v>8</v>
      </c>
      <c r="U31" s="1506">
        <f t="shared" si="13"/>
        <v>100</v>
      </c>
      <c r="V31" s="1505" t="s">
        <v>8</v>
      </c>
      <c r="W31" s="1506">
        <f t="shared" si="14"/>
        <v>100</v>
      </c>
      <c r="X31" s="1499"/>
      <c r="Y31" s="3507"/>
      <c r="Z31" s="1507" t="str">
        <f t="shared" si="15"/>
        <v>建筑结构</v>
      </c>
      <c r="AA31" s="1508">
        <f t="shared" si="3"/>
        <v>1</v>
      </c>
      <c r="AB31" s="1508">
        <f t="shared" si="4"/>
        <v>1</v>
      </c>
      <c r="AC31" s="1508">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1"/>
      <c r="M32" s="2013"/>
      <c r="N32" s="2013"/>
      <c r="O32" s="2020"/>
      <c r="P32" s="3507"/>
      <c r="Q32" s="1504" t="str">
        <f t="shared" si="11"/>
        <v>公共部分装修</v>
      </c>
      <c r="R32" s="1505" t="s">
        <v>8</v>
      </c>
      <c r="S32" s="1506">
        <f t="shared" si="12"/>
        <v>100</v>
      </c>
      <c r="T32" s="1505" t="s">
        <v>8</v>
      </c>
      <c r="U32" s="1506">
        <f t="shared" si="13"/>
        <v>100</v>
      </c>
      <c r="V32" s="1505" t="s">
        <v>8</v>
      </c>
      <c r="W32" s="1506">
        <f t="shared" si="14"/>
        <v>100</v>
      </c>
      <c r="X32" s="1499"/>
      <c r="Y32" s="3507"/>
      <c r="Z32" s="1507" t="str">
        <f t="shared" si="15"/>
        <v>公共部分装修</v>
      </c>
      <c r="AA32" s="1508">
        <f t="shared" si="3"/>
        <v>1</v>
      </c>
      <c r="AB32" s="1508">
        <f t="shared" si="4"/>
        <v>1</v>
      </c>
      <c r="AC32" s="1508">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1"/>
      <c r="M33" s="2013"/>
      <c r="N33" s="2013"/>
      <c r="O33" s="2020"/>
      <c r="P33" s="3507"/>
      <c r="Q33" s="1504" t="str">
        <f t="shared" si="11"/>
        <v>成新度</v>
      </c>
      <c r="R33" s="1505" t="s">
        <v>8</v>
      </c>
      <c r="S33" s="1506" t="e">
        <f t="shared" si="12"/>
        <v>#N/A</v>
      </c>
      <c r="T33" s="1505" t="s">
        <v>8</v>
      </c>
      <c r="U33" s="1506" t="e">
        <f t="shared" si="13"/>
        <v>#N/A</v>
      </c>
      <c r="V33" s="1505" t="s">
        <v>8</v>
      </c>
      <c r="W33" s="1506" t="e">
        <f t="shared" si="14"/>
        <v>#N/A</v>
      </c>
      <c r="X33" s="1499"/>
      <c r="Y33" s="3507"/>
      <c r="Z33" s="1507" t="str">
        <f t="shared" si="15"/>
        <v>成新度</v>
      </c>
      <c r="AA33" s="1508" t="e">
        <f t="shared" si="3"/>
        <v>#N/A</v>
      </c>
      <c r="AB33" s="1508" t="e">
        <f t="shared" si="4"/>
        <v>#N/A</v>
      </c>
      <c r="AC33" s="1508"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4"/>
      <c r="M34" s="2015"/>
      <c r="N34" s="2015"/>
      <c r="O34" s="2016"/>
      <c r="P34" s="3507"/>
      <c r="Q34" s="1133" t="str">
        <f t="shared" si="11"/>
        <v>物业管理</v>
      </c>
      <c r="R34" s="1500" t="s">
        <v>8</v>
      </c>
      <c r="S34" s="1501">
        <f t="shared" si="12"/>
        <v>100</v>
      </c>
      <c r="T34" s="1500" t="s">
        <v>8</v>
      </c>
      <c r="U34" s="1501">
        <f t="shared" si="13"/>
        <v>100</v>
      </c>
      <c r="V34" s="1500" t="s">
        <v>8</v>
      </c>
      <c r="W34" s="1501">
        <f t="shared" si="14"/>
        <v>100</v>
      </c>
      <c r="X34" s="1502"/>
      <c r="Y34" s="3507"/>
      <c r="Z34" s="1132" t="str">
        <f t="shared" si="15"/>
        <v>物业管理</v>
      </c>
      <c r="AA34" s="1503">
        <f t="shared" si="3"/>
        <v>1</v>
      </c>
      <c r="AB34" s="1503">
        <f t="shared" si="4"/>
        <v>1</v>
      </c>
      <c r="AC34" s="1503">
        <f t="shared" si="5"/>
        <v>1</v>
      </c>
    </row>
    <row r="35" spans="1:29" ht="15">
      <c r="A35" s="587"/>
      <c r="B35" s="1806"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1"/>
      <c r="M35" s="2013"/>
      <c r="N35" s="2013"/>
      <c r="O35" s="2020"/>
      <c r="P35" s="3507" t="s">
        <v>544</v>
      </c>
      <c r="Q35" s="1504" t="str">
        <f t="shared" si="11"/>
        <v>市政基础设施</v>
      </c>
      <c r="R35" s="1505" t="s">
        <v>8</v>
      </c>
      <c r="S35" s="1506">
        <f t="shared" si="12"/>
        <v>100</v>
      </c>
      <c r="T35" s="1505" t="s">
        <v>8</v>
      </c>
      <c r="U35" s="1506">
        <f t="shared" si="13"/>
        <v>100</v>
      </c>
      <c r="V35" s="1505" t="s">
        <v>8</v>
      </c>
      <c r="W35" s="1506">
        <f t="shared" si="14"/>
        <v>100</v>
      </c>
      <c r="X35" s="1499"/>
      <c r="Y35" s="3507" t="s">
        <v>544</v>
      </c>
      <c r="Z35" s="1507" t="str">
        <f t="shared" si="15"/>
        <v>市政基础设施</v>
      </c>
      <c r="AA35" s="1508">
        <f t="shared" si="3"/>
        <v>1</v>
      </c>
      <c r="AB35" s="1508">
        <f t="shared" si="4"/>
        <v>1</v>
      </c>
      <c r="AC35" s="1508">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1"/>
      <c r="M36" s="2013"/>
      <c r="N36" s="2013"/>
      <c r="O36" s="2020"/>
      <c r="P36" s="3507"/>
      <c r="Q36" s="1504" t="str">
        <f t="shared" si="11"/>
        <v>内部装修</v>
      </c>
      <c r="R36" s="1505" t="s">
        <v>8</v>
      </c>
      <c r="S36" s="1506">
        <f t="shared" si="12"/>
        <v>100</v>
      </c>
      <c r="T36" s="1505" t="s">
        <v>8</v>
      </c>
      <c r="U36" s="1506">
        <f t="shared" si="13"/>
        <v>100</v>
      </c>
      <c r="V36" s="1505" t="s">
        <v>8</v>
      </c>
      <c r="W36" s="1506">
        <f t="shared" si="14"/>
        <v>100</v>
      </c>
      <c r="X36" s="1499"/>
      <c r="Y36" s="3507"/>
      <c r="Z36" s="1507" t="str">
        <f t="shared" si="15"/>
        <v>内部装修</v>
      </c>
      <c r="AA36" s="1508">
        <f t="shared" si="3"/>
        <v>1</v>
      </c>
      <c r="AB36" s="1508">
        <f t="shared" si="4"/>
        <v>1</v>
      </c>
      <c r="AC36" s="1508">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1"/>
      <c r="M37" s="2013"/>
      <c r="N37" s="2013"/>
      <c r="O37" s="2020"/>
      <c r="P37" s="3507"/>
      <c r="Q37" s="1504" t="str">
        <f t="shared" si="11"/>
        <v>内部装修状况</v>
      </c>
      <c r="R37" s="1505" t="s">
        <v>8</v>
      </c>
      <c r="S37" s="1506">
        <f t="shared" si="12"/>
        <v>100</v>
      </c>
      <c r="T37" s="1505" t="s">
        <v>8</v>
      </c>
      <c r="U37" s="1506">
        <f t="shared" si="13"/>
        <v>100</v>
      </c>
      <c r="V37" s="1505" t="s">
        <v>8</v>
      </c>
      <c r="W37" s="1506">
        <f t="shared" si="14"/>
        <v>100</v>
      </c>
      <c r="X37" s="1499"/>
      <c r="Y37" s="3507"/>
      <c r="Z37" s="1507" t="str">
        <f t="shared" si="15"/>
        <v>内部装修状况</v>
      </c>
      <c r="AA37" s="1508">
        <f t="shared" si="3"/>
        <v>1</v>
      </c>
      <c r="AB37" s="1508">
        <f t="shared" si="4"/>
        <v>1</v>
      </c>
      <c r="AC37" s="1508">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19"/>
      <c r="M38" s="2049"/>
      <c r="N38" s="2049"/>
      <c r="O38" s="2022"/>
      <c r="P38" s="3507"/>
      <c r="Q38" s="1533">
        <f t="shared" si="11"/>
        <v>111</v>
      </c>
      <c r="R38" s="1509" t="s">
        <v>8</v>
      </c>
      <c r="S38" s="1510">
        <f t="shared" si="12"/>
        <v>100</v>
      </c>
      <c r="T38" s="1509" t="s">
        <v>8</v>
      </c>
      <c r="U38" s="1510">
        <f t="shared" si="13"/>
        <v>100</v>
      </c>
      <c r="V38" s="1509" t="s">
        <v>8</v>
      </c>
      <c r="W38" s="1510">
        <f t="shared" si="14"/>
        <v>100</v>
      </c>
      <c r="X38" s="1511"/>
      <c r="Y38" s="3507"/>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1"/>
      <c r="M39" s="2013"/>
      <c r="N39" s="2013"/>
      <c r="O39" s="2020"/>
      <c r="P39" s="3507"/>
      <c r="Q39" s="1504">
        <f t="shared" si="11"/>
        <v>111</v>
      </c>
      <c r="R39" s="1505" t="s">
        <v>8</v>
      </c>
      <c r="S39" s="1506">
        <f t="shared" si="12"/>
        <v>100</v>
      </c>
      <c r="T39" s="1505" t="s">
        <v>8</v>
      </c>
      <c r="U39" s="1506">
        <f t="shared" si="13"/>
        <v>100</v>
      </c>
      <c r="V39" s="1505" t="s">
        <v>8</v>
      </c>
      <c r="W39" s="1506">
        <f t="shared" si="14"/>
        <v>100</v>
      </c>
      <c r="X39" s="1499"/>
      <c r="Y39" s="3507"/>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1"/>
      <c r="M40" s="2013"/>
      <c r="N40" s="2013"/>
      <c r="O40" s="2020"/>
      <c r="P40" s="3590"/>
      <c r="Q40" s="1504">
        <f t="shared" si="11"/>
        <v>111</v>
      </c>
      <c r="R40" s="1505" t="s">
        <v>8</v>
      </c>
      <c r="S40" s="1506">
        <f t="shared" si="12"/>
        <v>100</v>
      </c>
      <c r="T40" s="1505" t="s">
        <v>8</v>
      </c>
      <c r="U40" s="1506">
        <f t="shared" si="13"/>
        <v>100</v>
      </c>
      <c r="V40" s="1505" t="s">
        <v>8</v>
      </c>
      <c r="W40" s="1506">
        <f t="shared" si="14"/>
        <v>100</v>
      </c>
      <c r="X40" s="1499"/>
      <c r="Y40" s="3590"/>
      <c r="Z40" s="1507">
        <f t="shared" si="15"/>
        <v>111</v>
      </c>
      <c r="AA40" s="1508">
        <f t="shared" si="3"/>
        <v>1</v>
      </c>
      <c r="AB40" s="1508">
        <f t="shared" si="4"/>
        <v>1</v>
      </c>
      <c r="AC40" s="1508">
        <f t="shared" si="5"/>
        <v>1</v>
      </c>
    </row>
    <row r="41" spans="1:29" ht="15">
      <c r="A41" s="600" t="s">
        <v>730</v>
      </c>
      <c r="B41" s="875"/>
      <c r="C41" s="2467" t="s">
        <v>1</v>
      </c>
      <c r="D41" s="2468"/>
      <c r="E41" s="2469"/>
      <c r="F41" s="2470"/>
      <c r="G41" s="2471"/>
      <c r="H41" s="2472"/>
      <c r="I41" s="2469"/>
      <c r="J41" s="2472"/>
      <c r="K41" s="1538"/>
      <c r="L41" s="2023"/>
      <c r="M41" s="2024"/>
      <c r="N41" s="2013"/>
      <c r="O41" s="2024"/>
      <c r="P41" s="3502" t="str">
        <f>A41</f>
        <v>成交单价（元/平方米）</v>
      </c>
      <c r="Q41" s="3502"/>
      <c r="R41" s="3589">
        <f>E41</f>
        <v>0</v>
      </c>
      <c r="S41" s="3589"/>
      <c r="T41" s="3589">
        <f>G41</f>
        <v>0</v>
      </c>
      <c r="U41" s="3589"/>
      <c r="V41" s="3589">
        <f>I41</f>
        <v>0</v>
      </c>
      <c r="W41" s="3589"/>
      <c r="X41" s="1494"/>
      <c r="Y41" s="1513"/>
      <c r="Z41" s="1494"/>
      <c r="AA41" s="1494"/>
      <c r="AB41" s="1494"/>
      <c r="AC41" s="1494"/>
    </row>
    <row r="42" spans="1:29" ht="15.75" thickBot="1">
      <c r="A42" s="608" t="s">
        <v>2740</v>
      </c>
      <c r="B42" s="876"/>
      <c r="C42" s="2473" t="e">
        <f>R43</f>
        <v>#DIV/0!</v>
      </c>
      <c r="D42" s="3011" t="s">
        <v>2970</v>
      </c>
      <c r="E42" s="2474" t="e">
        <f>R42</f>
        <v>#DIV/0!</v>
      </c>
      <c r="F42" s="3012"/>
      <c r="G42" s="2473" t="e">
        <f>T42</f>
        <v>#DIV/0!</v>
      </c>
      <c r="H42" s="3012"/>
      <c r="I42" s="2474" t="e">
        <f>V42</f>
        <v>#DIV/0!</v>
      </c>
      <c r="J42" s="3012"/>
      <c r="K42" s="3020">
        <f>F42+H42+J42</f>
        <v>0</v>
      </c>
      <c r="L42" s="2023"/>
      <c r="M42" s="2024"/>
      <c r="N42" s="2013"/>
      <c r="O42" s="2024"/>
      <c r="P42" s="3502" t="str">
        <f>A42</f>
        <v>比较价格（元/平方米）</v>
      </c>
      <c r="Q42" s="3502"/>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1494"/>
      <c r="Y42" s="1494"/>
      <c r="Z42" s="1494"/>
      <c r="AA42" s="1494"/>
      <c r="AB42" s="1494"/>
      <c r="AC42" s="1494"/>
    </row>
    <row r="43" spans="1:29" ht="15.75" thickBot="1">
      <c r="A43" s="612" t="s">
        <v>2902</v>
      </c>
      <c r="B43" s="613"/>
      <c r="C43" s="2475" t="e">
        <f>R43</f>
        <v>#DIV/0!</v>
      </c>
      <c r="D43" s="2475"/>
      <c r="E43" s="2475"/>
      <c r="F43" s="2475"/>
      <c r="G43" s="2475"/>
      <c r="H43" s="2475"/>
      <c r="I43" s="2475"/>
      <c r="J43" s="2475"/>
      <c r="K43" s="1539"/>
      <c r="L43" s="2023"/>
      <c r="M43" s="2024"/>
      <c r="N43" s="2024"/>
      <c r="O43" s="2024"/>
      <c r="P43" s="3525" t="str">
        <f>A43</f>
        <v>估价对象XX用房的比较价格（楼面单价，元/平方米）</v>
      </c>
      <c r="Q43" s="3526"/>
      <c r="R43" s="3588" t="e">
        <f>IF(F1="售价",ROUND(IF(D42="简单平均",AVERAGE(R42:V42),R42*F42+T42*H42+V42*J42),0),ROUND(IF(D42="简单平均",AVERAGE(R42:V42),R42*F42+T42*H42+V42*J42),1))</f>
        <v>#DIV/0!</v>
      </c>
      <c r="S43" s="3588"/>
      <c r="T43" s="3588"/>
      <c r="U43" s="3588"/>
      <c r="V43" s="3588"/>
      <c r="W43" s="3588"/>
      <c r="X43" s="1494"/>
      <c r="Y43" s="1494"/>
      <c r="Z43" s="1494"/>
      <c r="AA43" s="1494"/>
      <c r="AB43" s="1494"/>
      <c r="AC43" s="1494"/>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7" customFormat="1" ht="13.5" customHeight="1">
      <c r="A48" s="3212"/>
      <c r="B48" s="3212"/>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7"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9" customFormat="1" ht="15">
      <c r="A52" s="636" t="s">
        <v>523</v>
      </c>
      <c r="B52" s="637"/>
      <c r="C52" s="2516" t="str">
        <f>YEAR(C7)&amp;"-"&amp;MONTH(C7)</f>
        <v>2021-2</v>
      </c>
      <c r="D52" s="2518">
        <f>EDATE(C52,-1)</f>
        <v>44197</v>
      </c>
      <c r="E52" s="2518">
        <f t="shared" ref="E52:O52" si="16">EDATE(D52,-1)</f>
        <v>44166</v>
      </c>
      <c r="F52" s="2518">
        <f t="shared" si="16"/>
        <v>44136</v>
      </c>
      <c r="G52" s="2518">
        <f t="shared" si="16"/>
        <v>44105</v>
      </c>
      <c r="H52" s="2518">
        <f t="shared" si="16"/>
        <v>44075</v>
      </c>
      <c r="I52" s="2518">
        <f t="shared" si="16"/>
        <v>44044</v>
      </c>
      <c r="J52" s="2518">
        <f t="shared" si="16"/>
        <v>44013</v>
      </c>
      <c r="K52" s="2518">
        <f t="shared" si="16"/>
        <v>43983</v>
      </c>
      <c r="L52" s="2518">
        <f t="shared" si="16"/>
        <v>43952</v>
      </c>
      <c r="M52" s="2518">
        <f t="shared" si="16"/>
        <v>43922</v>
      </c>
      <c r="N52" s="2518">
        <f t="shared" si="16"/>
        <v>43891</v>
      </c>
      <c r="O52" s="2518">
        <f t="shared" si="16"/>
        <v>43862</v>
      </c>
      <c r="P52" s="2038"/>
      <c r="Q52" s="2039"/>
      <c r="R52" s="2039"/>
      <c r="S52" s="2039"/>
      <c r="T52" s="2039"/>
      <c r="U52" s="2039"/>
      <c r="V52" s="2039"/>
      <c r="W52" s="2039"/>
      <c r="X52" s="2039"/>
      <c r="Y52" s="2039"/>
      <c r="Z52" s="2039"/>
      <c r="AA52" s="2039"/>
      <c r="AB52" s="2039"/>
      <c r="AC52" s="2039"/>
    </row>
    <row r="53" spans="1:29" s="1202" customFormat="1" ht="15">
      <c r="A53" s="638"/>
      <c r="B53" s="639"/>
      <c r="C53" s="640">
        <v>100</v>
      </c>
      <c r="D53" s="641"/>
      <c r="E53" s="641"/>
      <c r="F53" s="641"/>
      <c r="G53" s="641"/>
      <c r="H53" s="641"/>
      <c r="I53" s="641"/>
      <c r="J53" s="641"/>
      <c r="K53" s="641"/>
      <c r="L53" s="641"/>
      <c r="M53" s="642"/>
      <c r="N53" s="641"/>
      <c r="O53" s="643"/>
      <c r="P53" s="2036"/>
      <c r="Q53" s="1902"/>
      <c r="R53" s="1902"/>
      <c r="S53" s="1902"/>
      <c r="T53" s="1902"/>
      <c r="U53" s="1902"/>
      <c r="V53" s="1902"/>
      <c r="W53" s="1902"/>
      <c r="X53" s="1902"/>
      <c r="Y53" s="1902"/>
      <c r="Z53" s="1902"/>
      <c r="AA53" s="1902"/>
      <c r="AB53" s="1902"/>
      <c r="AC53" s="1902"/>
    </row>
    <row r="54" spans="1:29" s="1202" customFormat="1" ht="15.75" thickBot="1">
      <c r="A54" s="644" t="s">
        <v>569</v>
      </c>
      <c r="B54" s="645"/>
      <c r="C54" s="646"/>
      <c r="D54" s="647"/>
      <c r="E54" s="647"/>
      <c r="F54" s="647"/>
      <c r="G54" s="647"/>
      <c r="H54" s="647"/>
      <c r="I54" s="647"/>
      <c r="J54" s="647"/>
      <c r="K54" s="647"/>
      <c r="L54" s="647"/>
      <c r="M54" s="648"/>
      <c r="N54" s="647"/>
      <c r="O54" s="649"/>
      <c r="P54" s="2036"/>
      <c r="Q54" s="2036"/>
      <c r="R54" s="1902"/>
      <c r="S54" s="1902"/>
      <c r="T54" s="1902"/>
      <c r="U54" s="1902"/>
      <c r="V54" s="1902"/>
      <c r="W54" s="1902"/>
      <c r="X54" s="1902"/>
      <c r="Y54" s="1902"/>
      <c r="Z54" s="1902"/>
      <c r="AA54" s="1902"/>
      <c r="AB54" s="1902"/>
      <c r="AC54" s="1902"/>
    </row>
    <row r="55" spans="1:29" s="1202" customFormat="1" ht="15">
      <c r="A55" s="650" t="s">
        <v>525</v>
      </c>
      <c r="B55" s="639"/>
      <c r="C55" s="651" t="s">
        <v>570</v>
      </c>
      <c r="D55" s="652"/>
      <c r="E55" s="652"/>
      <c r="F55" s="652"/>
      <c r="G55" s="652"/>
      <c r="H55" s="652"/>
      <c r="I55" s="652"/>
      <c r="J55" s="652"/>
      <c r="K55" s="652"/>
      <c r="L55" s="653"/>
      <c r="M55" s="654"/>
      <c r="N55" s="2040"/>
      <c r="O55" s="2040"/>
      <c r="P55" s="2041"/>
      <c r="Q55" s="2036"/>
      <c r="R55" s="1902"/>
      <c r="S55" s="1902"/>
      <c r="T55" s="1902"/>
      <c r="U55" s="1902"/>
      <c r="V55" s="1902"/>
      <c r="W55" s="1902"/>
      <c r="X55" s="1902"/>
      <c r="Y55" s="1902"/>
      <c r="Z55" s="1902"/>
      <c r="AA55" s="1902"/>
      <c r="AB55" s="1902"/>
      <c r="AC55" s="1902"/>
    </row>
    <row r="56" spans="1:29" s="1202" customFormat="1" ht="15.75" thickBot="1">
      <c r="A56" s="650"/>
      <c r="B56" s="639"/>
      <c r="C56" s="640">
        <v>100</v>
      </c>
      <c r="D56" s="641"/>
      <c r="E56" s="641"/>
      <c r="F56" s="641"/>
      <c r="G56" s="641"/>
      <c r="H56" s="641"/>
      <c r="I56" s="641"/>
      <c r="J56" s="641"/>
      <c r="K56" s="641"/>
      <c r="L56" s="641"/>
      <c r="M56" s="643"/>
      <c r="N56" s="2040"/>
      <c r="O56" s="2040"/>
      <c r="P56" s="2036"/>
      <c r="Q56" s="2036"/>
      <c r="R56" s="1902"/>
      <c r="S56" s="1902"/>
      <c r="T56" s="1902"/>
      <c r="U56" s="1902"/>
      <c r="V56" s="1902"/>
      <c r="W56" s="1902"/>
      <c r="X56" s="1902"/>
      <c r="Y56" s="1902"/>
      <c r="Z56" s="1902"/>
      <c r="AA56" s="1902"/>
      <c r="AB56" s="1902"/>
      <c r="AC56" s="1902"/>
    </row>
    <row r="57" spans="1:29">
      <c r="A57" s="655" t="s">
        <v>571</v>
      </c>
      <c r="B57" s="656" t="s">
        <v>528</v>
      </c>
      <c r="C57" s="695">
        <f>C9</f>
        <v>0</v>
      </c>
      <c r="D57" s="591"/>
      <c r="E57" s="591"/>
      <c r="F57" s="591"/>
      <c r="G57" s="591"/>
      <c r="H57" s="591"/>
      <c r="I57" s="591"/>
      <c r="J57" s="591"/>
      <c r="K57" s="657"/>
      <c r="L57" s="658"/>
      <c r="M57" s="659"/>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62"/>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2"/>
      <c r="O59" s="2042"/>
      <c r="P59" s="2043"/>
      <c r="Q59" s="2036"/>
      <c r="R59" s="2024"/>
      <c r="S59" s="2024"/>
      <c r="T59" s="2024"/>
      <c r="U59" s="2024"/>
      <c r="V59" s="2024"/>
      <c r="W59" s="2024"/>
      <c r="X59" s="2024"/>
      <c r="Y59" s="2024"/>
      <c r="Z59" s="2024"/>
      <c r="AA59" s="2024"/>
      <c r="AB59" s="2024"/>
      <c r="AC59" s="2024"/>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4"/>
      <c r="O60" s="2044"/>
      <c r="P60" s="2043"/>
      <c r="Q60" s="2036"/>
      <c r="R60" s="2024"/>
      <c r="S60" s="2024"/>
      <c r="T60" s="2024"/>
      <c r="U60" s="2024"/>
      <c r="V60" s="2024"/>
      <c r="W60" s="2024"/>
      <c r="X60" s="2024"/>
      <c r="Y60" s="2024"/>
      <c r="Z60" s="2024"/>
      <c r="AA60" s="2024"/>
      <c r="AB60" s="2024"/>
      <c r="AC60" s="2024"/>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0"/>
      <c r="B62" s="674"/>
      <c r="C62" s="534"/>
      <c r="D62" s="534"/>
      <c r="E62" s="534"/>
      <c r="F62" s="534"/>
      <c r="G62" s="534"/>
      <c r="H62" s="534"/>
      <c r="I62" s="534"/>
      <c r="J62" s="534"/>
      <c r="K62" s="675"/>
      <c r="L62" s="676"/>
      <c r="M62" s="677"/>
      <c r="N62" s="2042"/>
      <c r="O62" s="2042"/>
      <c r="P62" s="2043"/>
      <c r="Q62" s="2036"/>
      <c r="R62" s="2024"/>
      <c r="S62" s="2024"/>
      <c r="T62" s="2024"/>
      <c r="U62" s="2024"/>
      <c r="V62" s="2024"/>
      <c r="W62" s="2024"/>
      <c r="X62" s="2024"/>
      <c r="Y62" s="2024"/>
      <c r="Z62" s="2024"/>
      <c r="AA62" s="2024"/>
      <c r="AB62" s="2024"/>
      <c r="AC62" s="2024"/>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4"/>
      <c r="O63" s="2044"/>
      <c r="P63" s="2043"/>
      <c r="Q63" s="2036"/>
      <c r="R63" s="2024"/>
      <c r="S63" s="2024"/>
      <c r="T63" s="2024"/>
      <c r="U63" s="2024"/>
      <c r="V63" s="2024"/>
      <c r="W63" s="2024"/>
      <c r="X63" s="2024"/>
      <c r="Y63" s="2024"/>
      <c r="Z63" s="2024"/>
      <c r="AA63" s="2024"/>
      <c r="AB63" s="2024"/>
      <c r="AC63" s="2024"/>
    </row>
    <row r="64" spans="1:29" s="1292" customFormat="1" ht="15.75" thickTop="1">
      <c r="A64" s="678"/>
      <c r="B64" s="664">
        <f>B12</f>
        <v>111</v>
      </c>
      <c r="C64" s="679"/>
      <c r="D64" s="679"/>
      <c r="E64" s="679"/>
      <c r="F64" s="679"/>
      <c r="G64" s="679"/>
      <c r="H64" s="680"/>
      <c r="I64" s="680"/>
      <c r="J64" s="680"/>
      <c r="K64" s="680"/>
      <c r="L64" s="681"/>
      <c r="M64" s="682"/>
      <c r="N64" s="2045"/>
      <c r="O64" s="2045"/>
      <c r="P64" s="2046"/>
      <c r="Q64" s="2047"/>
      <c r="R64" s="2048"/>
      <c r="S64" s="2048"/>
      <c r="T64" s="2048"/>
      <c r="U64" s="2048"/>
      <c r="V64" s="2048"/>
      <c r="W64" s="2048"/>
      <c r="X64" s="2048"/>
      <c r="Y64" s="2048"/>
      <c r="Z64" s="2048"/>
      <c r="AA64" s="2048"/>
      <c r="AB64" s="2048"/>
      <c r="AC64" s="2048"/>
    </row>
    <row r="65" spans="1:29" s="1292" customFormat="1" ht="15.75" thickBot="1">
      <c r="A65" s="678"/>
      <c r="B65" s="669"/>
      <c r="C65" s="683"/>
      <c r="D65" s="662"/>
      <c r="E65" s="662"/>
      <c r="F65" s="662"/>
      <c r="G65" s="662"/>
      <c r="H65" s="662"/>
      <c r="I65" s="662"/>
      <c r="J65" s="662"/>
      <c r="K65" s="662"/>
      <c r="L65" s="662"/>
      <c r="M65" s="663"/>
      <c r="N65" s="2044"/>
      <c r="O65" s="2044"/>
      <c r="P65" s="2046"/>
      <c r="Q65" s="2047"/>
      <c r="R65" s="2048"/>
      <c r="S65" s="2048"/>
      <c r="T65" s="2048"/>
      <c r="U65" s="2048"/>
      <c r="V65" s="2048"/>
      <c r="W65" s="2048"/>
      <c r="X65" s="2048"/>
      <c r="Y65" s="2048"/>
      <c r="Z65" s="2048"/>
      <c r="AA65" s="2048"/>
      <c r="AB65" s="2048"/>
      <c r="AC65" s="2048"/>
    </row>
    <row r="66" spans="1:29" s="1292" customFormat="1" ht="15.75" thickTop="1">
      <c r="A66" s="678"/>
      <c r="B66" s="664">
        <f>B13</f>
        <v>111</v>
      </c>
      <c r="C66" s="679"/>
      <c r="D66" s="679"/>
      <c r="E66" s="679"/>
      <c r="F66" s="679"/>
      <c r="G66" s="679"/>
      <c r="H66" s="680"/>
      <c r="I66" s="680"/>
      <c r="J66" s="680"/>
      <c r="K66" s="680"/>
      <c r="L66" s="681"/>
      <c r="M66" s="682"/>
      <c r="N66" s="2045"/>
      <c r="O66" s="2045"/>
      <c r="P66" s="2049"/>
      <c r="Q66" s="2050"/>
      <c r="R66" s="2048"/>
      <c r="S66" s="2048"/>
      <c r="T66" s="2048"/>
      <c r="U66" s="2048"/>
      <c r="V66" s="2048"/>
      <c r="W66" s="2048"/>
      <c r="X66" s="2048"/>
      <c r="Y66" s="2048"/>
      <c r="Z66" s="2048"/>
      <c r="AA66" s="2048"/>
      <c r="AB66" s="2048"/>
      <c r="AC66" s="2048"/>
    </row>
    <row r="67" spans="1:29" s="1292" customFormat="1" ht="15.75" thickBot="1">
      <c r="A67" s="678"/>
      <c r="B67" s="669"/>
      <c r="C67" s="683"/>
      <c r="D67" s="662"/>
      <c r="E67" s="662"/>
      <c r="F67" s="662"/>
      <c r="G67" s="683"/>
      <c r="H67" s="684"/>
      <c r="I67" s="684"/>
      <c r="J67" s="684"/>
      <c r="K67" s="684"/>
      <c r="L67" s="684"/>
      <c r="M67" s="685"/>
      <c r="N67" s="2045"/>
      <c r="O67" s="2045"/>
      <c r="P67" s="2046"/>
      <c r="Q67" s="2047"/>
      <c r="R67" s="2048"/>
      <c r="S67" s="2048"/>
      <c r="T67" s="2048"/>
      <c r="U67" s="2048"/>
      <c r="V67" s="2048"/>
      <c r="W67" s="2048"/>
      <c r="X67" s="2048"/>
      <c r="Y67" s="2048"/>
      <c r="Z67" s="2048"/>
      <c r="AA67" s="2048"/>
      <c r="AB67" s="2048"/>
      <c r="AC67" s="2048"/>
    </row>
    <row r="68" spans="1:29" s="1292" customFormat="1" ht="15.75" thickTop="1">
      <c r="A68" s="678"/>
      <c r="B68" s="672">
        <f>B14</f>
        <v>111</v>
      </c>
      <c r="C68" s="652"/>
      <c r="D68" s="652"/>
      <c r="E68" s="652"/>
      <c r="F68" s="652"/>
      <c r="G68" s="652"/>
      <c r="H68" s="686"/>
      <c r="I68" s="686"/>
      <c r="J68" s="686"/>
      <c r="K68" s="686"/>
      <c r="L68" s="687"/>
      <c r="M68" s="688"/>
      <c r="N68" s="2045"/>
      <c r="O68" s="2045"/>
      <c r="P68" s="2051"/>
      <c r="Q68" s="2047"/>
      <c r="R68" s="2048"/>
      <c r="S68" s="2048"/>
      <c r="T68" s="2048"/>
      <c r="U68" s="2048"/>
      <c r="V68" s="2048"/>
      <c r="W68" s="2048"/>
      <c r="X68" s="2048"/>
      <c r="Y68" s="2048"/>
      <c r="Z68" s="2048"/>
      <c r="AA68" s="2048"/>
      <c r="AB68" s="2048"/>
      <c r="AC68" s="2048"/>
    </row>
    <row r="69" spans="1:29" s="1292" customFormat="1" ht="15.75" thickBot="1">
      <c r="A69" s="689"/>
      <c r="B69" s="690"/>
      <c r="C69" s="691"/>
      <c r="D69" s="691"/>
      <c r="E69" s="691"/>
      <c r="F69" s="691"/>
      <c r="G69" s="691"/>
      <c r="H69" s="692"/>
      <c r="I69" s="692"/>
      <c r="J69" s="692"/>
      <c r="K69" s="692"/>
      <c r="L69" s="692"/>
      <c r="M69" s="693"/>
      <c r="N69" s="2045"/>
      <c r="O69" s="2045"/>
      <c r="P69" s="2046"/>
      <c r="Q69" s="2047"/>
      <c r="R69" s="2048"/>
      <c r="S69" s="2048"/>
      <c r="T69" s="2048"/>
      <c r="U69" s="2048"/>
      <c r="V69" s="2048"/>
      <c r="W69" s="2048"/>
      <c r="X69" s="2048"/>
      <c r="Y69" s="2048"/>
      <c r="Z69" s="2048"/>
      <c r="AA69" s="2048"/>
      <c r="AB69" s="2048"/>
      <c r="AC69" s="2048"/>
    </row>
    <row r="70" spans="1:29">
      <c r="A70" s="655" t="s">
        <v>533</v>
      </c>
      <c r="B70" s="656" t="s">
        <v>579</v>
      </c>
      <c r="C70" s="694" t="s">
        <v>573</v>
      </c>
      <c r="D70" s="694" t="s">
        <v>574</v>
      </c>
      <c r="E70" s="694" t="s">
        <v>575</v>
      </c>
      <c r="F70" s="694" t="s">
        <v>576</v>
      </c>
      <c r="G70" s="694" t="s">
        <v>577</v>
      </c>
      <c r="H70" s="695"/>
      <c r="I70" s="695"/>
      <c r="J70" s="695"/>
      <c r="K70" s="696"/>
      <c r="L70" s="697"/>
      <c r="M70" s="698"/>
      <c r="N70" s="2042"/>
      <c r="O70" s="2042"/>
      <c r="P70" s="2052"/>
      <c r="Q70" s="2036"/>
      <c r="R70" s="2024"/>
      <c r="S70" s="2024"/>
      <c r="T70" s="2024"/>
      <c r="U70" s="2024"/>
      <c r="V70" s="2024"/>
      <c r="W70" s="2024"/>
      <c r="X70" s="2024"/>
      <c r="Y70" s="2024"/>
      <c r="Z70" s="2024"/>
      <c r="AA70" s="2024"/>
      <c r="AB70" s="2024"/>
      <c r="AC70" s="2024"/>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4"/>
      <c r="O71" s="2044"/>
      <c r="P71" s="2043"/>
      <c r="Q71" s="2036"/>
      <c r="R71" s="2024"/>
      <c r="S71" s="2024"/>
      <c r="T71" s="2024"/>
      <c r="U71" s="2024"/>
      <c r="V71" s="2024"/>
      <c r="W71" s="2024"/>
      <c r="X71" s="2024"/>
      <c r="Y71" s="2024"/>
      <c r="Z71" s="2024"/>
      <c r="AA71" s="2024"/>
      <c r="AB71" s="2024"/>
      <c r="AC71" s="2024"/>
    </row>
    <row r="72" spans="1:29" ht="15.75" thickTop="1">
      <c r="A72" s="660"/>
      <c r="B72" s="664" t="s">
        <v>580</v>
      </c>
      <c r="C72" s="699" t="s">
        <v>573</v>
      </c>
      <c r="D72" s="699" t="s">
        <v>574</v>
      </c>
      <c r="E72" s="699" t="s">
        <v>575</v>
      </c>
      <c r="F72" s="699" t="s">
        <v>576</v>
      </c>
      <c r="G72" s="699" t="s">
        <v>577</v>
      </c>
      <c r="H72" s="665"/>
      <c r="I72" s="665"/>
      <c r="J72" s="665"/>
      <c r="K72" s="666"/>
      <c r="L72" s="667"/>
      <c r="M72" s="668"/>
      <c r="N72" s="2042"/>
      <c r="O72" s="2042"/>
      <c r="P72" s="2043"/>
      <c r="Q72" s="2036"/>
      <c r="R72" s="2024"/>
      <c r="S72" s="2024"/>
      <c r="T72" s="2024"/>
      <c r="U72" s="2024"/>
      <c r="V72" s="2024"/>
      <c r="W72" s="2024"/>
      <c r="X72" s="2024"/>
      <c r="Y72" s="2024"/>
      <c r="Z72" s="2024"/>
      <c r="AA72" s="2024"/>
      <c r="AB72" s="2024"/>
      <c r="AC72" s="2024"/>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4"/>
      <c r="O73" s="2044"/>
      <c r="P73" s="2043"/>
      <c r="Q73" s="2036"/>
      <c r="R73" s="2024"/>
      <c r="S73" s="2024"/>
      <c r="T73" s="2024"/>
      <c r="U73" s="2024"/>
      <c r="V73" s="2024"/>
      <c r="W73" s="2024"/>
      <c r="X73" s="2024"/>
      <c r="Y73" s="2024"/>
      <c r="Z73" s="2024"/>
      <c r="AA73" s="2024"/>
      <c r="AB73" s="2024"/>
      <c r="AC73" s="2024"/>
    </row>
    <row r="74" spans="1:29" ht="15.75" thickTop="1">
      <c r="A74" s="660"/>
      <c r="B74" s="1807" t="s">
        <v>2538</v>
      </c>
      <c r="C74" s="699" t="s">
        <v>573</v>
      </c>
      <c r="D74" s="699" t="s">
        <v>574</v>
      </c>
      <c r="E74" s="699" t="s">
        <v>575</v>
      </c>
      <c r="F74" s="699" t="s">
        <v>576</v>
      </c>
      <c r="G74" s="699" t="s">
        <v>577</v>
      </c>
      <c r="H74" s="665"/>
      <c r="I74" s="665"/>
      <c r="J74" s="665"/>
      <c r="K74" s="666"/>
      <c r="L74" s="667"/>
      <c r="M74" s="668"/>
      <c r="N74" s="2042"/>
      <c r="O74" s="2042"/>
      <c r="P74" s="2043"/>
      <c r="Q74" s="2036"/>
      <c r="R74" s="2024"/>
      <c r="S74" s="2024"/>
      <c r="T74" s="2024"/>
      <c r="U74" s="2024"/>
      <c r="V74" s="2024"/>
      <c r="W74" s="2024"/>
      <c r="X74" s="2024"/>
      <c r="Y74" s="2024"/>
      <c r="Z74" s="2024"/>
      <c r="AA74" s="2024"/>
      <c r="AB74" s="2024"/>
      <c r="AC74" s="2024"/>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4"/>
      <c r="O75" s="2044"/>
      <c r="P75" s="2043"/>
      <c r="Q75" s="2036"/>
      <c r="R75" s="2024"/>
      <c r="S75" s="2024"/>
      <c r="T75" s="2024"/>
      <c r="U75" s="2024"/>
      <c r="V75" s="2024"/>
      <c r="W75" s="2024"/>
      <c r="X75" s="2024"/>
      <c r="Y75" s="2024"/>
      <c r="Z75" s="2024"/>
      <c r="AA75" s="2024"/>
      <c r="AB75" s="2024"/>
      <c r="AC75" s="2024"/>
    </row>
    <row r="76" spans="1:29" ht="15.75" thickTop="1">
      <c r="A76" s="660"/>
      <c r="B76" s="2438" t="s">
        <v>2539</v>
      </c>
      <c r="C76" s="2439" t="s">
        <v>2540</v>
      </c>
      <c r="D76" s="2439" t="s">
        <v>2541</v>
      </c>
      <c r="E76" s="2439" t="s">
        <v>2542</v>
      </c>
      <c r="F76" s="2439" t="s">
        <v>2543</v>
      </c>
      <c r="G76" s="2439" t="s">
        <v>2544</v>
      </c>
      <c r="H76" s="923"/>
      <c r="I76" s="923"/>
      <c r="J76" s="923"/>
      <c r="K76" s="923"/>
      <c r="L76" s="923"/>
      <c r="M76" s="552"/>
      <c r="N76" s="2044"/>
      <c r="O76" s="2044"/>
      <c r="P76" s="2043"/>
      <c r="Q76" s="2036"/>
      <c r="R76" s="2024"/>
      <c r="S76" s="2024"/>
      <c r="T76" s="2024"/>
      <c r="U76" s="2024"/>
      <c r="V76" s="2024"/>
      <c r="W76" s="2024"/>
      <c r="X76" s="2024"/>
      <c r="Y76" s="2024"/>
      <c r="Z76" s="2024"/>
      <c r="AA76" s="2024"/>
      <c r="AB76" s="2024"/>
      <c r="AC76" s="2024"/>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778</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s="1202" customFormat="1" ht="15.75" thickTop="1">
      <c r="A80" s="700"/>
      <c r="B80" s="664">
        <f>B25</f>
        <v>111</v>
      </c>
      <c r="C80" s="679"/>
      <c r="D80" s="679"/>
      <c r="E80" s="679"/>
      <c r="F80" s="679"/>
      <c r="G80" s="679"/>
      <c r="H80" s="679"/>
      <c r="I80" s="679"/>
      <c r="J80" s="679"/>
      <c r="K80" s="679"/>
      <c r="L80" s="878"/>
      <c r="M80" s="879"/>
      <c r="N80" s="2040"/>
      <c r="O80" s="2040"/>
      <c r="P80" s="2043"/>
      <c r="Q80" s="2036"/>
      <c r="R80" s="1902"/>
      <c r="S80" s="1902"/>
      <c r="T80" s="1902"/>
      <c r="U80" s="1902"/>
      <c r="V80" s="1902"/>
      <c r="W80" s="1902"/>
      <c r="X80" s="1902"/>
      <c r="Y80" s="1902"/>
      <c r="Z80" s="1902"/>
      <c r="AA80" s="1902"/>
      <c r="AB80" s="1902"/>
      <c r="AC80" s="1902"/>
    </row>
    <row r="81" spans="1:29" s="1202" customFormat="1" ht="15.75" thickBot="1">
      <c r="A81" s="700"/>
      <c r="B81" s="669"/>
      <c r="C81" s="683"/>
      <c r="D81" s="662"/>
      <c r="E81" s="662"/>
      <c r="F81" s="662"/>
      <c r="G81" s="662"/>
      <c r="H81" s="662"/>
      <c r="I81" s="662"/>
      <c r="J81" s="662"/>
      <c r="K81" s="662"/>
      <c r="L81" s="662"/>
      <c r="M81" s="663"/>
      <c r="N81" s="2044"/>
      <c r="O81" s="2044"/>
      <c r="P81" s="2043"/>
      <c r="Q81" s="2036"/>
      <c r="R81" s="1902"/>
      <c r="S81" s="1902"/>
      <c r="T81" s="1902"/>
      <c r="U81" s="1902"/>
      <c r="V81" s="1902"/>
      <c r="W81" s="1902"/>
      <c r="X81" s="1902"/>
      <c r="Y81" s="1902"/>
      <c r="Z81" s="1902"/>
      <c r="AA81" s="1902"/>
      <c r="AB81" s="1902"/>
      <c r="AC81" s="1902"/>
    </row>
    <row r="82" spans="1:29" s="1202" customFormat="1" ht="15.75" thickTop="1">
      <c r="A82" s="700"/>
      <c r="B82" s="664">
        <f>B26</f>
        <v>111</v>
      </c>
      <c r="C82" s="679"/>
      <c r="D82" s="679"/>
      <c r="E82" s="679"/>
      <c r="F82" s="679"/>
      <c r="G82" s="679"/>
      <c r="H82" s="679"/>
      <c r="I82" s="679"/>
      <c r="J82" s="679"/>
      <c r="K82" s="679"/>
      <c r="L82" s="878"/>
      <c r="M82" s="879"/>
      <c r="N82" s="2040"/>
      <c r="O82" s="2040"/>
      <c r="P82" s="2043"/>
      <c r="Q82" s="2036"/>
      <c r="R82" s="1902"/>
      <c r="S82" s="1902"/>
      <c r="T82" s="1902"/>
      <c r="U82" s="1902"/>
      <c r="V82" s="1902"/>
      <c r="W82" s="1902"/>
      <c r="X82" s="1902"/>
      <c r="Y82" s="1902"/>
      <c r="Z82" s="1902"/>
      <c r="AA82" s="1902"/>
      <c r="AB82" s="1902"/>
      <c r="AC82" s="1902"/>
    </row>
    <row r="83" spans="1:29" s="1202" customFormat="1" ht="15.75" thickBot="1">
      <c r="A83" s="700"/>
      <c r="B83" s="669"/>
      <c r="C83" s="683"/>
      <c r="D83" s="662"/>
      <c r="E83" s="662"/>
      <c r="F83" s="662"/>
      <c r="G83" s="662"/>
      <c r="H83" s="662"/>
      <c r="I83" s="662"/>
      <c r="J83" s="662"/>
      <c r="K83" s="662"/>
      <c r="L83" s="662"/>
      <c r="M83" s="663"/>
      <c r="N83" s="2044"/>
      <c r="O83" s="2044"/>
      <c r="P83" s="2043"/>
      <c r="Q83" s="2036"/>
      <c r="R83" s="1902"/>
      <c r="S83" s="1902"/>
      <c r="T83" s="1902"/>
      <c r="U83" s="1902"/>
      <c r="V83" s="1902"/>
      <c r="W83" s="1902"/>
      <c r="X83" s="1902"/>
      <c r="Y83" s="1902"/>
      <c r="Z83" s="1902"/>
      <c r="AA83" s="1902"/>
      <c r="AB83" s="1902"/>
      <c r="AC83" s="1902"/>
    </row>
    <row r="84" spans="1:29" s="1292" customFormat="1" ht="15.75" thickTop="1">
      <c r="A84" s="678"/>
      <c r="B84" s="664">
        <f>B27</f>
        <v>111</v>
      </c>
      <c r="C84" s="679"/>
      <c r="D84" s="679"/>
      <c r="E84" s="679"/>
      <c r="F84" s="679"/>
      <c r="G84" s="679"/>
      <c r="H84" s="679"/>
      <c r="I84" s="679"/>
      <c r="J84" s="679"/>
      <c r="K84" s="679"/>
      <c r="L84" s="878"/>
      <c r="M84" s="879"/>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c r="D85" s="662"/>
      <c r="E85" s="662"/>
      <c r="F85" s="662"/>
      <c r="G85" s="662"/>
      <c r="H85" s="662"/>
      <c r="I85" s="662"/>
      <c r="J85" s="662"/>
      <c r="K85" s="662"/>
      <c r="L85" s="662"/>
      <c r="M85" s="663"/>
      <c r="N85" s="2045"/>
      <c r="O85" s="2045"/>
      <c r="P85" s="2046"/>
      <c r="Q85" s="2047"/>
      <c r="R85" s="2048"/>
      <c r="S85" s="2048"/>
      <c r="T85" s="2048"/>
      <c r="U85" s="2048"/>
      <c r="V85" s="2048"/>
      <c r="W85" s="2048"/>
      <c r="X85" s="2048"/>
      <c r="Y85" s="2048"/>
      <c r="Z85" s="2048"/>
      <c r="AA85" s="2048"/>
      <c r="AB85" s="2048"/>
      <c r="AC85" s="2048"/>
    </row>
    <row r="86" spans="1:29" ht="15.75" thickTop="1">
      <c r="A86" s="660"/>
      <c r="B86" s="672">
        <f>B28</f>
        <v>111</v>
      </c>
      <c r="C86" s="652"/>
      <c r="D86" s="652"/>
      <c r="E86" s="652"/>
      <c r="F86" s="652"/>
      <c r="G86" s="713"/>
      <c r="H86" s="713"/>
      <c r="I86" s="713"/>
      <c r="J86" s="713"/>
      <c r="K86" s="714"/>
      <c r="L86" s="715"/>
      <c r="M86" s="716"/>
      <c r="N86" s="2042"/>
      <c r="O86" s="2042"/>
      <c r="P86" s="2043"/>
      <c r="Q86" s="2036"/>
      <c r="R86" s="2024"/>
      <c r="S86" s="2024"/>
      <c r="T86" s="2024"/>
      <c r="U86" s="2024"/>
      <c r="V86" s="2024"/>
      <c r="W86" s="2024"/>
      <c r="X86" s="2024"/>
      <c r="Y86" s="2024"/>
      <c r="Z86" s="2024"/>
      <c r="AA86" s="2024"/>
      <c r="AB86" s="2024"/>
      <c r="AC86" s="2024"/>
    </row>
    <row r="87" spans="1:29" ht="15.75" thickBot="1">
      <c r="A87" s="881"/>
      <c r="B87" s="690"/>
      <c r="C87" s="691"/>
      <c r="D87" s="691"/>
      <c r="E87" s="691"/>
      <c r="F87" s="691"/>
      <c r="G87" s="717"/>
      <c r="H87" s="717"/>
      <c r="I87" s="717"/>
      <c r="J87" s="717"/>
      <c r="K87" s="717"/>
      <c r="L87" s="717"/>
      <c r="M87" s="718"/>
      <c r="N87" s="2044"/>
      <c r="O87" s="2044"/>
      <c r="P87" s="2043"/>
      <c r="Q87" s="2036"/>
      <c r="R87" s="2024"/>
      <c r="S87" s="2024"/>
      <c r="T87" s="2024"/>
      <c r="U87" s="2024"/>
      <c r="V87" s="2024"/>
      <c r="W87" s="2024"/>
      <c r="X87" s="2024"/>
      <c r="Y87" s="2024"/>
      <c r="Z87" s="2024"/>
      <c r="AA87" s="2024"/>
      <c r="AB87" s="2024"/>
      <c r="AC87" s="2024"/>
    </row>
    <row r="88" spans="1:29">
      <c r="A88" s="655" t="s">
        <v>545</v>
      </c>
      <c r="B88" s="656" t="s">
        <v>741</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0"/>
      <c r="O90" s="2040"/>
      <c r="P90" s="2043"/>
      <c r="Q90" s="2036"/>
      <c r="R90" s="2024"/>
      <c r="S90" s="2024"/>
      <c r="T90" s="2024"/>
      <c r="U90" s="2024"/>
      <c r="V90" s="2024"/>
      <c r="W90" s="2024"/>
      <c r="X90" s="2024"/>
      <c r="Y90" s="2024"/>
      <c r="Z90" s="2024"/>
      <c r="AA90" s="2024"/>
      <c r="AB90" s="2024"/>
      <c r="AC90" s="2024"/>
    </row>
    <row r="91" spans="1:29" s="1292" customFormat="1">
      <c r="A91" s="719"/>
      <c r="B91" s="720"/>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2" customFormat="1" ht="15.75" thickBot="1">
      <c r="A92" s="678"/>
      <c r="B92" s="669"/>
      <c r="C92" s="683"/>
      <c r="D92" s="662"/>
      <c r="E92" s="662"/>
      <c r="F92" s="662"/>
      <c r="G92" s="662"/>
      <c r="H92" s="662"/>
      <c r="I92" s="662"/>
      <c r="J92" s="662"/>
      <c r="K92" s="662"/>
      <c r="L92" s="662"/>
      <c r="M92" s="663"/>
      <c r="N92" s="2044"/>
      <c r="O92" s="2044"/>
      <c r="P92" s="2046"/>
      <c r="Q92" s="2047"/>
      <c r="R92" s="2048"/>
      <c r="S92" s="2048"/>
      <c r="T92" s="2048"/>
      <c r="U92" s="2048"/>
      <c r="V92" s="2048"/>
      <c r="W92" s="2048"/>
      <c r="X92" s="2048"/>
      <c r="Y92" s="2048"/>
      <c r="Z92" s="2048"/>
      <c r="AA92" s="2048"/>
      <c r="AB92" s="2048"/>
      <c r="AC92" s="2048"/>
    </row>
    <row r="93" spans="1:29" ht="15" thickTop="1">
      <c r="A93" s="726"/>
      <c r="B93" s="664" t="s">
        <v>743</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745</v>
      </c>
      <c r="C95" s="679"/>
      <c r="D95" s="679"/>
      <c r="E95" s="679"/>
      <c r="F95" s="709"/>
      <c r="G95" s="709"/>
      <c r="H95" s="709"/>
      <c r="I95" s="709"/>
      <c r="J95" s="709"/>
      <c r="K95" s="710"/>
      <c r="L95" s="711"/>
      <c r="M95" s="712"/>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2"/>
      <c r="O97" s="2042"/>
      <c r="P97" s="2043"/>
      <c r="Q97" s="2036"/>
      <c r="R97" s="2024"/>
      <c r="S97" s="2024"/>
      <c r="T97" s="2024"/>
      <c r="U97" s="2024"/>
      <c r="V97" s="2024"/>
      <c r="W97" s="2024"/>
      <c r="X97" s="2024"/>
      <c r="Y97" s="2024"/>
      <c r="Z97" s="2024"/>
      <c r="AA97" s="2024"/>
      <c r="AB97" s="2024"/>
      <c r="AC97" s="2024"/>
    </row>
    <row r="98" spans="1:29">
      <c r="A98" s="726"/>
      <c r="B98" s="672"/>
      <c r="C98" s="882">
        <v>0.5</v>
      </c>
      <c r="D98" s="882">
        <v>0.6</v>
      </c>
      <c r="E98" s="882">
        <v>0.7</v>
      </c>
      <c r="F98" s="882">
        <v>0.8</v>
      </c>
      <c r="G98" s="882">
        <v>0.9</v>
      </c>
      <c r="H98" s="882">
        <v>1.0001</v>
      </c>
      <c r="I98" s="893"/>
      <c r="J98" s="893"/>
      <c r="K98" s="894"/>
      <c r="L98" s="895"/>
      <c r="M98" s="896"/>
      <c r="N98" s="2042"/>
      <c r="O98" s="2042"/>
      <c r="P98" s="2043"/>
      <c r="Q98" s="2036"/>
      <c r="R98" s="2024"/>
      <c r="S98" s="2024"/>
      <c r="T98" s="2024"/>
      <c r="U98" s="2024"/>
      <c r="V98" s="2024"/>
      <c r="W98" s="2024"/>
      <c r="X98" s="2024"/>
      <c r="Y98" s="2024"/>
      <c r="Z98" s="2024"/>
      <c r="AA98" s="2024"/>
      <c r="AB98" s="2024"/>
      <c r="AC98" s="2024"/>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4"/>
      <c r="O99" s="2044"/>
      <c r="P99" s="2043"/>
      <c r="Q99" s="2036"/>
      <c r="R99" s="2024"/>
      <c r="S99" s="2024"/>
      <c r="T99" s="2024"/>
      <c r="U99" s="2024"/>
      <c r="V99" s="2024"/>
      <c r="W99" s="2024"/>
      <c r="X99" s="2024"/>
      <c r="Y99" s="2024"/>
      <c r="Z99" s="2024"/>
      <c r="AA99" s="2024"/>
      <c r="AB99" s="2024"/>
      <c r="AC99" s="2024"/>
    </row>
    <row r="100" spans="1:29" s="1292" customFormat="1" ht="15" thickTop="1">
      <c r="A100" s="719"/>
      <c r="B100" s="664" t="s">
        <v>747</v>
      </c>
      <c r="C100" s="679"/>
      <c r="D100" s="679"/>
      <c r="E100" s="679"/>
      <c r="F100" s="679"/>
      <c r="G100" s="679"/>
      <c r="H100" s="709"/>
      <c r="I100" s="709"/>
      <c r="J100" s="709"/>
      <c r="K100" s="710"/>
      <c r="L100" s="711"/>
      <c r="M100" s="712"/>
      <c r="N100" s="2045"/>
      <c r="O100" s="2045"/>
      <c r="P100" s="2046"/>
      <c r="Q100" s="2047"/>
      <c r="R100" s="2048"/>
      <c r="S100" s="2048"/>
      <c r="T100" s="2048"/>
      <c r="U100" s="2048"/>
      <c r="V100" s="2048"/>
      <c r="W100" s="2048"/>
      <c r="X100" s="2048"/>
      <c r="Y100" s="2048"/>
      <c r="Z100" s="2048"/>
      <c r="AA100" s="2048"/>
      <c r="AB100" s="2048"/>
      <c r="AC100" s="2048"/>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6"/>
      <c r="B102" s="1807" t="s">
        <v>2537</v>
      </c>
      <c r="C102" s="679"/>
      <c r="D102" s="679"/>
      <c r="E102" s="679"/>
      <c r="F102" s="679"/>
      <c r="G102" s="679"/>
      <c r="H102" s="709"/>
      <c r="I102" s="709"/>
      <c r="J102" s="709"/>
      <c r="K102" s="710"/>
      <c r="L102" s="711"/>
      <c r="M102" s="712"/>
      <c r="N102" s="2042"/>
      <c r="O102" s="2042"/>
      <c r="P102" s="2043"/>
      <c r="Q102" s="2036"/>
      <c r="R102" s="2024"/>
      <c r="S102" s="2024"/>
      <c r="T102" s="2024"/>
      <c r="U102" s="2024"/>
      <c r="V102" s="2024"/>
      <c r="W102" s="2024"/>
      <c r="X102" s="2024"/>
      <c r="Y102" s="2024"/>
      <c r="Z102" s="2024"/>
      <c r="AA102" s="2024"/>
      <c r="AB102" s="2024"/>
      <c r="AC102" s="2024"/>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6"/>
      <c r="B104" s="664" t="s">
        <v>749</v>
      </c>
      <c r="C104" s="679"/>
      <c r="D104" s="679"/>
      <c r="E104" s="679"/>
      <c r="F104" s="679"/>
      <c r="G104" s="679"/>
      <c r="H104" s="709"/>
      <c r="I104" s="709"/>
      <c r="J104" s="709"/>
      <c r="K104" s="710"/>
      <c r="L104" s="711"/>
      <c r="M104" s="712"/>
      <c r="N104" s="2042"/>
      <c r="O104" s="2042"/>
      <c r="P104" s="2043"/>
      <c r="Q104" s="2036"/>
      <c r="R104" s="2024"/>
      <c r="S104" s="2024"/>
      <c r="T104" s="2024"/>
      <c r="U104" s="2024"/>
      <c r="V104" s="2024"/>
      <c r="W104" s="2024"/>
      <c r="X104" s="2024"/>
      <c r="Y104" s="2024"/>
      <c r="Z104" s="2024"/>
      <c r="AA104" s="2024"/>
      <c r="AB104" s="2024"/>
      <c r="AC104" s="2024"/>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4"/>
      <c r="O105" s="2044"/>
      <c r="P105" s="2043"/>
      <c r="Q105" s="2036"/>
      <c r="R105" s="2024"/>
      <c r="S105" s="2024"/>
      <c r="T105" s="2024"/>
      <c r="U105" s="2024"/>
      <c r="V105" s="2024"/>
      <c r="W105" s="2024"/>
      <c r="X105" s="2024"/>
      <c r="Y105" s="2024"/>
      <c r="Z105" s="2024"/>
      <c r="AA105" s="2024"/>
      <c r="AB105" s="2024"/>
      <c r="AC105" s="2024"/>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4"/>
      <c r="O106" s="2044"/>
      <c r="P106" s="2083"/>
      <c r="Q106" s="2084"/>
      <c r="R106" s="2024"/>
      <c r="S106" s="2024"/>
      <c r="T106" s="2024"/>
      <c r="U106" s="2024"/>
      <c r="V106" s="2024"/>
      <c r="W106" s="2024"/>
      <c r="X106" s="2024"/>
      <c r="Y106" s="2024"/>
      <c r="Z106" s="2024"/>
      <c r="AA106" s="2024"/>
      <c r="AB106" s="2024"/>
      <c r="AC106" s="2024"/>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4"/>
      <c r="O107" s="2044"/>
      <c r="P107" s="2043"/>
      <c r="Q107" s="2036"/>
      <c r="R107" s="2024"/>
      <c r="S107" s="2024"/>
      <c r="T107" s="2024"/>
      <c r="U107" s="2024"/>
      <c r="V107" s="2024"/>
      <c r="W107" s="2024"/>
      <c r="X107" s="2024"/>
      <c r="Y107" s="2024"/>
      <c r="Z107" s="2024"/>
      <c r="AA107" s="2024"/>
      <c r="AB107" s="2024"/>
      <c r="AC107" s="2024"/>
    </row>
    <row r="108" spans="1:29" s="1292" customFormat="1" ht="15" thickTop="1">
      <c r="A108" s="719"/>
      <c r="B108" s="664">
        <f>B38</f>
        <v>111</v>
      </c>
      <c r="C108" s="679"/>
      <c r="D108" s="679"/>
      <c r="E108" s="679"/>
      <c r="F108" s="679"/>
      <c r="G108" s="679"/>
      <c r="H108" s="680"/>
      <c r="I108" s="680"/>
      <c r="J108" s="680"/>
      <c r="K108" s="680"/>
      <c r="L108" s="681"/>
      <c r="M108" s="682"/>
      <c r="N108" s="2045"/>
      <c r="O108" s="2045"/>
      <c r="P108" s="2046"/>
      <c r="Q108" s="2047"/>
      <c r="R108" s="2048"/>
      <c r="S108" s="2048"/>
      <c r="T108" s="2048"/>
      <c r="U108" s="2048"/>
      <c r="V108" s="2048"/>
      <c r="W108" s="2048"/>
      <c r="X108" s="2048"/>
      <c r="Y108" s="2048"/>
      <c r="Z108" s="2048"/>
      <c r="AA108" s="2048"/>
      <c r="AB108" s="2048"/>
      <c r="AC108" s="2048"/>
    </row>
    <row r="109" spans="1:29" s="1292" customFormat="1" ht="15.75" thickBot="1">
      <c r="A109" s="678"/>
      <c r="B109" s="661"/>
      <c r="C109" s="683"/>
      <c r="D109" s="662"/>
      <c r="E109" s="662"/>
      <c r="F109" s="662"/>
      <c r="G109" s="683"/>
      <c r="H109" s="684"/>
      <c r="I109" s="684"/>
      <c r="J109" s="684"/>
      <c r="K109" s="684"/>
      <c r="L109" s="684"/>
      <c r="M109" s="685"/>
      <c r="N109" s="2045"/>
      <c r="O109" s="2045"/>
      <c r="P109" s="2046"/>
      <c r="Q109" s="2047"/>
      <c r="R109" s="2048"/>
      <c r="S109" s="2048"/>
      <c r="T109" s="2048"/>
      <c r="U109" s="2048"/>
      <c r="V109" s="2048"/>
      <c r="W109" s="2048"/>
      <c r="X109" s="2048"/>
      <c r="Y109" s="2048"/>
      <c r="Z109" s="2048"/>
      <c r="AA109" s="2048"/>
      <c r="AB109" s="2048"/>
      <c r="AC109" s="2048"/>
    </row>
    <row r="110" spans="1:29" ht="15" thickTop="1">
      <c r="A110" s="726"/>
      <c r="B110" s="664">
        <f>B39</f>
        <v>111</v>
      </c>
      <c r="C110" s="679"/>
      <c r="D110" s="679"/>
      <c r="E110" s="679"/>
      <c r="F110" s="679"/>
      <c r="G110" s="679"/>
      <c r="H110" s="680"/>
      <c r="I110" s="680"/>
      <c r="J110" s="680"/>
      <c r="K110" s="680"/>
      <c r="L110" s="681"/>
      <c r="M110" s="68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83"/>
      <c r="D111" s="662"/>
      <c r="E111" s="662"/>
      <c r="F111" s="662"/>
      <c r="G111" s="683"/>
      <c r="H111" s="684"/>
      <c r="I111" s="684"/>
      <c r="J111" s="684"/>
      <c r="K111" s="684"/>
      <c r="L111" s="684"/>
      <c r="M111" s="685"/>
      <c r="N111" s="2044"/>
      <c r="O111" s="2044"/>
      <c r="P111" s="2043"/>
      <c r="Q111" s="2036"/>
      <c r="R111" s="2024"/>
      <c r="S111" s="2024"/>
      <c r="T111" s="2024"/>
      <c r="U111" s="2024"/>
      <c r="V111" s="2024"/>
      <c r="W111" s="2024"/>
      <c r="X111" s="2024"/>
      <c r="Y111" s="2024"/>
      <c r="Z111" s="2024"/>
      <c r="AA111" s="2024"/>
      <c r="AB111" s="2024"/>
      <c r="AC111" s="2024"/>
    </row>
    <row r="112" spans="1:29" ht="15" thickTop="1">
      <c r="A112" s="726"/>
      <c r="B112" s="672">
        <f>B40</f>
        <v>111</v>
      </c>
      <c r="C112" s="652"/>
      <c r="D112" s="652"/>
      <c r="E112" s="652"/>
      <c r="F112" s="652"/>
      <c r="G112" s="713"/>
      <c r="H112" s="713"/>
      <c r="I112" s="713"/>
      <c r="J112" s="713"/>
      <c r="K112" s="652"/>
      <c r="L112" s="653"/>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881"/>
      <c r="B113" s="690"/>
      <c r="C113" s="691"/>
      <c r="D113" s="691"/>
      <c r="E113" s="691"/>
      <c r="F113" s="691"/>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42">
    <cfRule type="expression" dxfId="72" priority="4">
      <formula>$D$42="简单平均"</formula>
    </cfRule>
  </conditionalFormatting>
  <conditionalFormatting sqref="H42">
    <cfRule type="expression" dxfId="71" priority="3">
      <formula>$D$42="简单平均"</formula>
    </cfRule>
  </conditionalFormatting>
  <conditionalFormatting sqref="J42">
    <cfRule type="expression" dxfId="70" priority="2">
      <formula>$D$42="简单平均"</formula>
    </cfRule>
  </conditionalFormatting>
  <conditionalFormatting sqref="F7:F40 H7:H40 J7:J40">
    <cfRule type="cellIs" dxfId="6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B2" sqref="B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t="s">
        <v>914</v>
      </c>
      <c r="C1" s="497" t="s">
        <v>786</v>
      </c>
      <c r="D1" s="837" t="s">
        <v>3050</v>
      </c>
      <c r="E1" s="499"/>
      <c r="F1" s="2521" t="s">
        <v>3082</v>
      </c>
      <c r="G1" s="1529" t="s">
        <v>787</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788</v>
      </c>
      <c r="B2" s="838"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789</v>
      </c>
      <c r="B3" s="503" t="e">
        <f>IF(B37="元/平方米",C39,ROUND(B2*10000/D3,0))</f>
        <v>#DIV/0!</v>
      </c>
      <c r="C3" s="840" t="s">
        <v>790</v>
      </c>
      <c r="D3" s="839">
        <f>SUMIF('数据-汇总表'!$C19:$C33,D1,'数据-汇总表'!$E19:$E33)</f>
        <v>27101</v>
      </c>
      <c r="E3" s="1759" t="s">
        <v>2064</v>
      </c>
      <c r="F3" s="839">
        <f>SUMIF('数据-取费表'!A5:A15,D1,'数据-取费表'!AH5:AH15)</f>
        <v>1011</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791</v>
      </c>
      <c r="B4" s="506"/>
      <c r="C4" s="3508" t="s">
        <v>792</v>
      </c>
      <c r="D4" s="3509"/>
      <c r="E4" s="3508" t="s">
        <v>793</v>
      </c>
      <c r="F4" s="3509"/>
      <c r="G4" s="3508" t="s">
        <v>794</v>
      </c>
      <c r="H4" s="3509"/>
      <c r="I4" s="3508" t="s">
        <v>795</v>
      </c>
      <c r="J4" s="3509"/>
      <c r="K4" s="507" t="s">
        <v>796</v>
      </c>
      <c r="L4" s="2012"/>
      <c r="M4" s="2013"/>
      <c r="N4" s="2013"/>
      <c r="O4" s="2013"/>
      <c r="P4" s="3510" t="s">
        <v>797</v>
      </c>
      <c r="Q4" s="3511"/>
      <c r="R4" s="3496" t="s">
        <v>793</v>
      </c>
      <c r="S4" s="3497"/>
      <c r="T4" s="3496" t="s">
        <v>794</v>
      </c>
      <c r="U4" s="3497"/>
      <c r="V4" s="3516" t="s">
        <v>795</v>
      </c>
      <c r="W4" s="3516"/>
      <c r="X4" s="1499"/>
      <c r="Y4" s="3496" t="s">
        <v>797</v>
      </c>
      <c r="Z4" s="3497"/>
      <c r="AA4" s="3491" t="s">
        <v>793</v>
      </c>
      <c r="AB4" s="3492" t="s">
        <v>794</v>
      </c>
      <c r="AC4" s="3491" t="s">
        <v>795</v>
      </c>
    </row>
    <row r="5" spans="1:29" ht="15">
      <c r="A5" s="508"/>
      <c r="B5" s="509"/>
      <c r="C5" s="3521" t="s">
        <v>2896</v>
      </c>
      <c r="D5" s="3520"/>
      <c r="E5" s="3521" t="s">
        <v>2897</v>
      </c>
      <c r="F5" s="3520"/>
      <c r="G5" s="3521" t="s">
        <v>2898</v>
      </c>
      <c r="H5" s="3520"/>
      <c r="I5" s="3521" t="s">
        <v>2899</v>
      </c>
      <c r="J5" s="3520"/>
      <c r="K5" s="507"/>
      <c r="L5" s="2012"/>
      <c r="M5" s="2013"/>
      <c r="N5" s="2013"/>
      <c r="O5" s="2013"/>
      <c r="P5" s="3512"/>
      <c r="Q5" s="3513"/>
      <c r="R5" s="3498"/>
      <c r="S5" s="3499"/>
      <c r="T5" s="3498"/>
      <c r="U5" s="3499"/>
      <c r="V5" s="3516"/>
      <c r="W5" s="3516"/>
      <c r="X5" s="1499"/>
      <c r="Y5" s="3498"/>
      <c r="Z5" s="3499"/>
      <c r="AA5" s="3492"/>
      <c r="AB5" s="3492"/>
      <c r="AC5" s="3492"/>
    </row>
    <row r="6" spans="1:29" ht="15.75" thickBot="1">
      <c r="A6" s="510"/>
      <c r="B6" s="511"/>
      <c r="C6" s="3539" t="s">
        <v>2900</v>
      </c>
      <c r="D6" s="3518"/>
      <c r="E6" s="3522" t="s">
        <v>2900</v>
      </c>
      <c r="F6" s="3523"/>
      <c r="G6" s="3539" t="s">
        <v>2900</v>
      </c>
      <c r="H6" s="3518"/>
      <c r="I6" s="3539" t="s">
        <v>2900</v>
      </c>
      <c r="J6" s="3518"/>
      <c r="K6" s="507" t="s">
        <v>522</v>
      </c>
      <c r="L6" s="2012"/>
      <c r="M6" s="2013"/>
      <c r="N6" s="2013"/>
      <c r="O6" s="2013"/>
      <c r="P6" s="35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514"/>
      <c r="F7" s="515">
        <f>SUMIF(48:48,YEAR(E7)&amp;"-"&amp;MONTH(E7),49:49)</f>
        <v>0</v>
      </c>
      <c r="G7" s="516"/>
      <c r="H7" s="513">
        <f>SUMIF(48:48,YEAR(G7)&amp;"-"&amp;MONTH(G7),49:49)</f>
        <v>0</v>
      </c>
      <c r="I7" s="516"/>
      <c r="J7" s="513">
        <f>SUMIF(48:48,YEAR(I7)&amp;"-"&amp;MONTH(I7),49:49)</f>
        <v>0</v>
      </c>
      <c r="K7" s="517"/>
      <c r="L7" s="2014"/>
      <c r="M7" s="2015"/>
      <c r="N7" s="2015"/>
      <c r="O7" s="2015"/>
      <c r="P7" s="3494" t="s">
        <v>524</v>
      </c>
      <c r="Q7" s="3503"/>
      <c r="R7" s="1500" t="s">
        <v>8</v>
      </c>
      <c r="S7" s="1501">
        <f t="shared" ref="S7:S14" si="0">F7</f>
        <v>0</v>
      </c>
      <c r="T7" s="1500" t="s">
        <v>8</v>
      </c>
      <c r="U7" s="1501">
        <f t="shared" ref="U7:U14" si="1">H7</f>
        <v>0</v>
      </c>
      <c r="V7" s="1500" t="s">
        <v>8</v>
      </c>
      <c r="W7" s="1501">
        <f t="shared" ref="W7:W14"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SUMIF(51:51,E8,52:52)-SUMIF(51:51,C8,52:52)+100</f>
        <v>0</v>
      </c>
      <c r="G8" s="518"/>
      <c r="H8" s="513">
        <f>SUMIF(51:51,G8,52:52)-SUMIF(51:51,C8,52:52)+100</f>
        <v>0</v>
      </c>
      <c r="I8" s="518"/>
      <c r="J8" s="513">
        <f>SUMIF(51:51,I8,52:52)-SUMIF(51:51,C8,52:52)+100</f>
        <v>0</v>
      </c>
      <c r="K8" s="517"/>
      <c r="L8" s="2014"/>
      <c r="M8" s="2015"/>
      <c r="N8" s="2015"/>
      <c r="O8" s="2015"/>
      <c r="P8" s="3494" t="s">
        <v>527</v>
      </c>
      <c r="Q8" s="3495"/>
      <c r="R8" s="1500" t="s">
        <v>8</v>
      </c>
      <c r="S8" s="1501">
        <f t="shared" si="0"/>
        <v>0</v>
      </c>
      <c r="T8" s="1500" t="s">
        <v>8</v>
      </c>
      <c r="U8" s="1501">
        <f t="shared" si="1"/>
        <v>0</v>
      </c>
      <c r="V8" s="1500" t="s">
        <v>8</v>
      </c>
      <c r="W8" s="1501">
        <f t="shared" si="2"/>
        <v>0</v>
      </c>
      <c r="X8" s="1502"/>
      <c r="Y8" s="3494" t="s">
        <v>527</v>
      </c>
      <c r="Z8" s="3495"/>
      <c r="AA8" s="1503" t="e">
        <f t="shared" ref="AA8:AA36" si="3">D8/F8</f>
        <v>#DIV/0!</v>
      </c>
      <c r="AB8" s="1503" t="e">
        <f t="shared" ref="AB8:AB36" si="4">D8/H8</f>
        <v>#DIV/0!</v>
      </c>
      <c r="AC8" s="1503" t="e">
        <f t="shared" ref="AC8:AC36" si="5">D8/J8</f>
        <v>#DIV/0!</v>
      </c>
    </row>
    <row r="9" spans="1:29" s="1202" customFormat="1" ht="15">
      <c r="A9" s="2628"/>
      <c r="B9" s="2635" t="s">
        <v>2736</v>
      </c>
      <c r="C9" s="845"/>
      <c r="D9" s="251">
        <v>100</v>
      </c>
      <c r="E9" s="848"/>
      <c r="F9" s="251">
        <f>SUMIF(53:53,E9,54:54)-SUMIF(53:53,C9,54:54)+100</f>
        <v>100</v>
      </c>
      <c r="G9" s="846"/>
      <c r="H9" s="251">
        <f>SUMIF(53:53,G9,54:54)-SUMIF(53:53,C9,54:54)+100</f>
        <v>100</v>
      </c>
      <c r="I9" s="846"/>
      <c r="J9" s="251">
        <f>SUMIF(53:53,I9,54:54)-SUMIF(53:53,C9,54:54)+100</f>
        <v>100</v>
      </c>
      <c r="K9" s="517"/>
      <c r="L9" s="2014"/>
      <c r="M9" s="2015"/>
      <c r="N9" s="2015"/>
      <c r="O9" s="2016"/>
      <c r="P9" s="3502" t="s">
        <v>529</v>
      </c>
      <c r="Q9" s="1133" t="str">
        <f t="shared" ref="Q9:Q14" si="6">B9</f>
        <v>用途</v>
      </c>
      <c r="R9" s="1500" t="s">
        <v>8</v>
      </c>
      <c r="S9" s="1501">
        <f t="shared" si="0"/>
        <v>100</v>
      </c>
      <c r="T9" s="1500" t="s">
        <v>8</v>
      </c>
      <c r="U9" s="1501">
        <f t="shared" si="1"/>
        <v>100</v>
      </c>
      <c r="V9" s="1500" t="s">
        <v>8</v>
      </c>
      <c r="W9" s="1501">
        <f t="shared" si="2"/>
        <v>100</v>
      </c>
      <c r="X9" s="1502"/>
      <c r="Y9" s="3453" t="s">
        <v>530</v>
      </c>
      <c r="Z9" s="1132" t="str">
        <f t="shared" ref="Z9:Z14" si="7">Q9</f>
        <v>用途</v>
      </c>
      <c r="AA9" s="1503">
        <f t="shared" si="3"/>
        <v>1</v>
      </c>
      <c r="AB9" s="1503">
        <f t="shared" si="4"/>
        <v>1</v>
      </c>
      <c r="AC9" s="1503">
        <f t="shared" si="5"/>
        <v>1</v>
      </c>
    </row>
    <row r="10" spans="1:29" s="1291" customFormat="1" ht="27">
      <c r="A10" s="2629"/>
      <c r="B10" s="2634" t="s">
        <v>2737</v>
      </c>
      <c r="C10" s="849"/>
      <c r="D10" s="252">
        <v>100</v>
      </c>
      <c r="E10" s="849"/>
      <c r="F10" s="252">
        <f>SUMIF(55:55,E10,56:56)-SUMIF(55:55,C10,56:56)+100</f>
        <v>100</v>
      </c>
      <c r="G10" s="850"/>
      <c r="H10" s="252">
        <f>SUMIF(55:55,G10,56:56)-SUMIF(55:55,C10,56:56)+100</f>
        <v>100</v>
      </c>
      <c r="I10" s="849"/>
      <c r="J10" s="252">
        <f>SUMIF(55:55,I10,56:56)-SUMIF(55:55,C10,56:56)+100</f>
        <v>100</v>
      </c>
      <c r="K10" s="577"/>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19"/>
      <c r="M11" s="2013"/>
      <c r="N11" s="2013"/>
      <c r="O11" s="2020"/>
      <c r="P11" s="3502"/>
      <c r="Q11" s="1133">
        <f t="shared" si="6"/>
        <v>111</v>
      </c>
      <c r="R11" s="1500" t="s">
        <v>8</v>
      </c>
      <c r="S11" s="1501">
        <f t="shared" si="0"/>
        <v>100</v>
      </c>
      <c r="T11" s="1500" t="s">
        <v>8</v>
      </c>
      <c r="U11" s="1501">
        <f t="shared" si="1"/>
        <v>100</v>
      </c>
      <c r="V11" s="1500" t="s">
        <v>8</v>
      </c>
      <c r="W11" s="1501">
        <f t="shared" si="2"/>
        <v>100</v>
      </c>
      <c r="X11" s="1502"/>
      <c r="Y11" s="3453"/>
      <c r="Z11" s="1132">
        <f t="shared" si="7"/>
        <v>111</v>
      </c>
      <c r="AA11" s="1503">
        <f t="shared" si="3"/>
        <v>1</v>
      </c>
      <c r="AB11" s="1503">
        <f t="shared" si="4"/>
        <v>1</v>
      </c>
      <c r="AC11" s="1503">
        <f t="shared" si="5"/>
        <v>1</v>
      </c>
    </row>
    <row r="12" spans="1:29" s="1202" customFormat="1" ht="15">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4"/>
      <c r="M12" s="2015"/>
      <c r="N12" s="2015"/>
      <c r="O12" s="2016"/>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75"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1"/>
      <c r="M13" s="2013"/>
      <c r="N13" s="2013"/>
      <c r="O13" s="2020"/>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85.5">
      <c r="A14" s="2624" t="s">
        <v>2734</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1"/>
      <c r="M14" s="2013"/>
      <c r="N14" s="2013"/>
      <c r="O14" s="2020"/>
      <c r="P14" s="3504" t="s">
        <v>534</v>
      </c>
      <c r="Q14" s="1504" t="str">
        <f t="shared" si="6"/>
        <v>交通便捷度</v>
      </c>
      <c r="R14" s="1505" t="s">
        <v>8</v>
      </c>
      <c r="S14" s="1506">
        <f t="shared" si="0"/>
        <v>100</v>
      </c>
      <c r="T14" s="1505" t="s">
        <v>8</v>
      </c>
      <c r="U14" s="1506">
        <f t="shared" si="1"/>
        <v>100</v>
      </c>
      <c r="V14" s="1505" t="s">
        <v>8</v>
      </c>
      <c r="W14" s="1506">
        <f t="shared" si="2"/>
        <v>100</v>
      </c>
      <c r="X14" s="1499"/>
      <c r="Y14" s="3504" t="s">
        <v>534</v>
      </c>
      <c r="Z14" s="1507" t="str">
        <f t="shared" si="7"/>
        <v>交通便捷度</v>
      </c>
      <c r="AA14" s="1508">
        <f t="shared" si="3"/>
        <v>1</v>
      </c>
      <c r="AB14" s="1508">
        <f t="shared" si="4"/>
        <v>1</v>
      </c>
      <c r="AC14" s="1508">
        <f t="shared" si="5"/>
        <v>1</v>
      </c>
    </row>
    <row r="15" spans="1:29" ht="15">
      <c r="A15" s="508"/>
      <c r="B15" s="912"/>
      <c r="C15" s="569"/>
      <c r="D15" s="548"/>
      <c r="E15" s="569"/>
      <c r="F15" s="550"/>
      <c r="G15" s="569"/>
      <c r="H15" s="552"/>
      <c r="I15" s="569"/>
      <c r="J15" s="548"/>
      <c r="K15" s="887"/>
      <c r="L15" s="2021"/>
      <c r="M15" s="2013"/>
      <c r="N15" s="2013"/>
      <c r="O15" s="2020"/>
      <c r="P15" s="3505"/>
      <c r="Q15" s="1504"/>
      <c r="R15" s="1505"/>
      <c r="S15" s="1506"/>
      <c r="T15" s="1505"/>
      <c r="U15" s="1506"/>
      <c r="V15" s="1505"/>
      <c r="W15" s="1506"/>
      <c r="X15" s="1499"/>
      <c r="Y15" s="3505"/>
      <c r="Z15" s="1507"/>
      <c r="AA15" s="1508">
        <v>1</v>
      </c>
      <c r="AB15" s="1508">
        <v>1</v>
      </c>
      <c r="AC15" s="1508">
        <v>1</v>
      </c>
    </row>
    <row r="16" spans="1:29" ht="42.75">
      <c r="A16" s="508"/>
      <c r="B16" s="2444"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1"/>
      <c r="M16" s="2013"/>
      <c r="N16" s="2013"/>
      <c r="O16" s="2020"/>
      <c r="P16" s="3505"/>
      <c r="Q16" s="1504" t="str">
        <f>B16</f>
        <v>公共配套设施</v>
      </c>
      <c r="R16" s="1505" t="s">
        <v>8</v>
      </c>
      <c r="S16" s="1506">
        <f>F16</f>
        <v>100</v>
      </c>
      <c r="T16" s="1505" t="s">
        <v>8</v>
      </c>
      <c r="U16" s="1506">
        <f>H16</f>
        <v>100</v>
      </c>
      <c r="V16" s="1505" t="s">
        <v>8</v>
      </c>
      <c r="W16" s="1506">
        <f>J16</f>
        <v>100</v>
      </c>
      <c r="X16" s="1499"/>
      <c r="Y16" s="3505"/>
      <c r="Z16" s="1507" t="str">
        <f>Q16</f>
        <v>公共配套设施</v>
      </c>
      <c r="AA16" s="1508">
        <f t="shared" si="3"/>
        <v>1</v>
      </c>
      <c r="AB16" s="1508">
        <f t="shared" si="4"/>
        <v>1</v>
      </c>
      <c r="AC16" s="1508">
        <f t="shared" si="5"/>
        <v>1</v>
      </c>
    </row>
    <row r="17" spans="1:29" ht="15">
      <c r="A17" s="508"/>
      <c r="B17" s="559"/>
      <c r="C17" s="861"/>
      <c r="D17" s="548"/>
      <c r="E17" s="569"/>
      <c r="F17" s="550"/>
      <c r="G17" s="569"/>
      <c r="H17" s="548"/>
      <c r="I17" s="569"/>
      <c r="J17" s="548"/>
      <c r="K17" s="887"/>
      <c r="L17" s="2021"/>
      <c r="M17" s="2013"/>
      <c r="N17" s="2013"/>
      <c r="O17" s="2020"/>
      <c r="P17" s="3505"/>
      <c r="Q17" s="1504"/>
      <c r="R17" s="1505"/>
      <c r="S17" s="1506"/>
      <c r="T17" s="1505"/>
      <c r="U17" s="1506"/>
      <c r="V17" s="1505"/>
      <c r="W17" s="1506"/>
      <c r="X17" s="1499"/>
      <c r="Y17" s="3505"/>
      <c r="Z17" s="1507"/>
      <c r="AA17" s="1508">
        <v>1</v>
      </c>
      <c r="AB17" s="1508">
        <v>1</v>
      </c>
      <c r="AC17" s="1508">
        <v>1</v>
      </c>
    </row>
    <row r="18" spans="1:29" ht="28.5">
      <c r="A18" s="508"/>
      <c r="B18" s="2432"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1"/>
      <c r="M18" s="2013"/>
      <c r="N18" s="2013"/>
      <c r="O18" s="2020"/>
      <c r="P18" s="3505"/>
      <c r="Q18" s="2426" t="str">
        <f>B18</f>
        <v>基础设施水平</v>
      </c>
      <c r="R18" s="1505" t="s">
        <v>8</v>
      </c>
      <c r="S18" s="1506">
        <f>F18</f>
        <v>100</v>
      </c>
      <c r="T18" s="1505" t="s">
        <v>8</v>
      </c>
      <c r="U18" s="1506">
        <f>H18</f>
        <v>100</v>
      </c>
      <c r="V18" s="1505" t="s">
        <v>8</v>
      </c>
      <c r="W18" s="1506">
        <f>J18</f>
        <v>100</v>
      </c>
      <c r="X18" s="2428"/>
      <c r="Y18" s="3505"/>
      <c r="Z18" s="2427" t="str">
        <f>Q18</f>
        <v>基础设施水平</v>
      </c>
      <c r="AA18" s="1508">
        <f t="shared" ref="AA18" si="8">D18/F18</f>
        <v>1</v>
      </c>
      <c r="AB18" s="1508">
        <f t="shared" ref="AB18" si="9">D18/H18</f>
        <v>1</v>
      </c>
      <c r="AC18" s="1508">
        <f t="shared" ref="AC18" si="10">D18/J18</f>
        <v>1</v>
      </c>
    </row>
    <row r="19" spans="1:29" ht="15">
      <c r="A19" s="508"/>
      <c r="B19" s="571"/>
      <c r="C19" s="861"/>
      <c r="D19" s="552"/>
      <c r="E19" s="569"/>
      <c r="F19" s="550"/>
      <c r="G19" s="569"/>
      <c r="H19" s="548"/>
      <c r="I19" s="569"/>
      <c r="J19" s="548"/>
      <c r="K19" s="2443"/>
      <c r="L19" s="2021"/>
      <c r="M19" s="2013"/>
      <c r="N19" s="2013"/>
      <c r="O19" s="2020"/>
      <c r="P19" s="3505"/>
      <c r="Q19" s="2426"/>
      <c r="R19" s="1505"/>
      <c r="S19" s="1506"/>
      <c r="T19" s="1505"/>
      <c r="U19" s="1506"/>
      <c r="V19" s="1505"/>
      <c r="W19" s="1506"/>
      <c r="X19" s="2428"/>
      <c r="Y19" s="3505"/>
      <c r="Z19" s="2427"/>
      <c r="AA19" s="1508">
        <v>1</v>
      </c>
      <c r="AB19" s="1508">
        <v>1</v>
      </c>
      <c r="AC19" s="1508">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1"/>
      <c r="M20" s="2013"/>
      <c r="N20" s="2013"/>
      <c r="O20" s="2020"/>
      <c r="P20" s="3505"/>
      <c r="Q20" s="1504" t="str">
        <f>B20</f>
        <v>自然及人文环境</v>
      </c>
      <c r="R20" s="1505" t="s">
        <v>8</v>
      </c>
      <c r="S20" s="1506">
        <f>F20</f>
        <v>100</v>
      </c>
      <c r="T20" s="1505" t="s">
        <v>8</v>
      </c>
      <c r="U20" s="1506">
        <f>H20</f>
        <v>100</v>
      </c>
      <c r="V20" s="1505" t="s">
        <v>8</v>
      </c>
      <c r="W20" s="1506">
        <f>J20</f>
        <v>100</v>
      </c>
      <c r="X20" s="1499"/>
      <c r="Y20" s="3505"/>
      <c r="Z20" s="1507" t="str">
        <f>Q20</f>
        <v>自然及人文环境</v>
      </c>
      <c r="AA20" s="1508">
        <f t="shared" si="3"/>
        <v>1</v>
      </c>
      <c r="AB20" s="1508">
        <f t="shared" si="4"/>
        <v>1</v>
      </c>
      <c r="AC20" s="1508">
        <f t="shared" si="5"/>
        <v>1</v>
      </c>
    </row>
    <row r="21" spans="1:29" ht="15">
      <c r="A21" s="508"/>
      <c r="B21" s="559"/>
      <c r="C21" s="569"/>
      <c r="D21" s="548"/>
      <c r="E21" s="569"/>
      <c r="F21" s="550"/>
      <c r="G21" s="569"/>
      <c r="H21" s="548"/>
      <c r="I21" s="569"/>
      <c r="J21" s="548"/>
      <c r="K21" s="887"/>
      <c r="L21" s="2021"/>
      <c r="M21" s="2013"/>
      <c r="N21" s="2013"/>
      <c r="O21" s="2020"/>
      <c r="P21" s="3505"/>
      <c r="Q21" s="1504"/>
      <c r="R21" s="1505"/>
      <c r="S21" s="1506"/>
      <c r="T21" s="1505"/>
      <c r="U21" s="1506"/>
      <c r="V21" s="1505"/>
      <c r="W21" s="1506"/>
      <c r="X21" s="1499"/>
      <c r="Y21" s="3505"/>
      <c r="Z21" s="1507"/>
      <c r="AA21" s="1508">
        <v>1</v>
      </c>
      <c r="AB21" s="1508">
        <v>1</v>
      </c>
      <c r="AC21" s="1508">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1"/>
      <c r="M22" s="2013"/>
      <c r="N22" s="2013"/>
      <c r="O22" s="2020"/>
      <c r="P22" s="3505"/>
      <c r="Q22" s="1504" t="str">
        <f>B22</f>
        <v>楼层</v>
      </c>
      <c r="R22" s="1505" t="s">
        <v>8</v>
      </c>
      <c r="S22" s="1506">
        <f>F22</f>
        <v>100</v>
      </c>
      <c r="T22" s="1505" t="s">
        <v>8</v>
      </c>
      <c r="U22" s="1506">
        <f>H22</f>
        <v>100</v>
      </c>
      <c r="V22" s="1505" t="s">
        <v>8</v>
      </c>
      <c r="W22" s="1506">
        <f>J22</f>
        <v>100</v>
      </c>
      <c r="X22" s="1499"/>
      <c r="Y22" s="3505"/>
      <c r="Z22" s="1507" t="str">
        <f>Q22</f>
        <v>楼层</v>
      </c>
      <c r="AA22" s="1508">
        <f t="shared" si="3"/>
        <v>1</v>
      </c>
      <c r="AB22" s="1508">
        <f t="shared" si="4"/>
        <v>1</v>
      </c>
      <c r="AC22" s="1508">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1"/>
      <c r="M23" s="2013"/>
      <c r="N23" s="2013"/>
      <c r="O23" s="2020"/>
      <c r="P23" s="3505"/>
      <c r="Q23" s="1504">
        <f>B23</f>
        <v>111</v>
      </c>
      <c r="R23" s="1505" t="s">
        <v>8</v>
      </c>
      <c r="S23" s="1506">
        <f>F23</f>
        <v>100</v>
      </c>
      <c r="T23" s="1505" t="s">
        <v>8</v>
      </c>
      <c r="U23" s="1506">
        <f>H23</f>
        <v>100</v>
      </c>
      <c r="V23" s="1505" t="s">
        <v>8</v>
      </c>
      <c r="W23" s="1506">
        <f>J23</f>
        <v>100</v>
      </c>
      <c r="X23" s="1499"/>
      <c r="Y23" s="3505"/>
      <c r="Z23" s="1507">
        <f>Q23</f>
        <v>111</v>
      </c>
      <c r="AA23" s="1508">
        <f t="shared" si="3"/>
        <v>1</v>
      </c>
      <c r="AB23" s="1508">
        <f t="shared" si="4"/>
        <v>1</v>
      </c>
      <c r="AC23" s="1508">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1"/>
      <c r="M24" s="2013"/>
      <c r="N24" s="2013"/>
      <c r="O24" s="2020"/>
      <c r="P24" s="3505"/>
      <c r="Q24" s="1504">
        <f t="shared" ref="Q24:Q36" si="11">B24</f>
        <v>111</v>
      </c>
      <c r="R24" s="1505" t="s">
        <v>8</v>
      </c>
      <c r="S24" s="1506">
        <f>F24</f>
        <v>100</v>
      </c>
      <c r="T24" s="1505" t="s">
        <v>8</v>
      </c>
      <c r="U24" s="1506">
        <f>H24</f>
        <v>100</v>
      </c>
      <c r="V24" s="1505" t="s">
        <v>8</v>
      </c>
      <c r="W24" s="1506">
        <f>J24</f>
        <v>100</v>
      </c>
      <c r="X24" s="1499"/>
      <c r="Y24" s="3505"/>
      <c r="Z24" s="1507">
        <f>Q24</f>
        <v>111</v>
      </c>
      <c r="AA24" s="1508">
        <f t="shared" si="3"/>
        <v>1</v>
      </c>
      <c r="AB24" s="1508">
        <f t="shared" si="4"/>
        <v>1</v>
      </c>
      <c r="AC24" s="1508">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4"/>
      <c r="M25" s="2015"/>
      <c r="N25" s="2015"/>
      <c r="O25" s="2016"/>
      <c r="P25" s="3505"/>
      <c r="Q25" s="1133">
        <f t="shared" si="11"/>
        <v>111</v>
      </c>
      <c r="R25" s="1500" t="s">
        <v>8</v>
      </c>
      <c r="S25" s="1501">
        <f>F25</f>
        <v>100</v>
      </c>
      <c r="T25" s="1500" t="s">
        <v>8</v>
      </c>
      <c r="U25" s="1501">
        <f>H25</f>
        <v>100</v>
      </c>
      <c r="V25" s="1500" t="s">
        <v>8</v>
      </c>
      <c r="W25" s="1501">
        <f>J25</f>
        <v>100</v>
      </c>
      <c r="X25" s="1502"/>
      <c r="Y25" s="3505"/>
      <c r="Z25" s="1132">
        <f>Q25</f>
        <v>111</v>
      </c>
      <c r="AA25" s="1508">
        <f>D25/F25</f>
        <v>1</v>
      </c>
      <c r="AB25" s="1508">
        <f>D25/H25</f>
        <v>1</v>
      </c>
      <c r="AC25" s="1508">
        <f>D25/J25</f>
        <v>1</v>
      </c>
    </row>
    <row r="26" spans="1:29" ht="15">
      <c r="A26" s="2621" t="s">
        <v>2735</v>
      </c>
      <c r="B26" s="168" t="s">
        <v>800</v>
      </c>
      <c r="C26" s="916" t="str">
        <f>B1</f>
        <v>住宅</v>
      </c>
      <c r="D26" s="548">
        <v>100</v>
      </c>
      <c r="E26" s="569"/>
      <c r="F26" s="550">
        <f>SUMIF(79:79,E26,80:80)-SUMIF(79:79,C26,80:80)+100</f>
        <v>0</v>
      </c>
      <c r="G26" s="569"/>
      <c r="H26" s="548">
        <f>SUMIF(79:79,G26,80:80)-SUMIF(79:79,C26,80:80)+100</f>
        <v>0</v>
      </c>
      <c r="I26" s="569"/>
      <c r="J26" s="548">
        <f>SUMIF(79:79,I26,80:80)-SUMIF(79:79,C26,80:80)+100</f>
        <v>0</v>
      </c>
      <c r="K26" s="577"/>
      <c r="L26" s="2021"/>
      <c r="M26" s="2013"/>
      <c r="N26" s="2013"/>
      <c r="O26" s="2020"/>
      <c r="P26" s="3506" t="s">
        <v>544</v>
      </c>
      <c r="Q26" s="1504" t="str">
        <f t="shared" si="11"/>
        <v>配套类型</v>
      </c>
      <c r="R26" s="1505" t="s">
        <v>8</v>
      </c>
      <c r="S26" s="1506">
        <f t="shared" ref="S26:S36" si="12">F26</f>
        <v>0</v>
      </c>
      <c r="T26" s="1505" t="s">
        <v>8</v>
      </c>
      <c r="U26" s="1506">
        <f t="shared" ref="U26:U36" si="13">H26</f>
        <v>0</v>
      </c>
      <c r="V26" s="1505" t="s">
        <v>8</v>
      </c>
      <c r="W26" s="1506">
        <f t="shared" ref="W26:W36" si="14">J26</f>
        <v>0</v>
      </c>
      <c r="X26" s="1499"/>
      <c r="Y26" s="3507" t="s">
        <v>544</v>
      </c>
      <c r="Z26" s="1507" t="str">
        <f t="shared" ref="Z26:Z36" si="15">Q26</f>
        <v>配套类型</v>
      </c>
      <c r="AA26" s="1508" t="e">
        <f t="shared" si="3"/>
        <v>#DIV/0!</v>
      </c>
      <c r="AB26" s="1508" t="e">
        <f t="shared" si="4"/>
        <v>#DIV/0!</v>
      </c>
      <c r="AC26" s="1508" t="e">
        <f t="shared" si="5"/>
        <v>#DIV/0!</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19"/>
      <c r="M27" s="2049"/>
      <c r="N27" s="2049"/>
      <c r="O27" s="2022"/>
      <c r="P27" s="3507"/>
      <c r="Q27" s="1533" t="str">
        <f t="shared" si="11"/>
        <v>项目停车位配比</v>
      </c>
      <c r="R27" s="1509" t="s">
        <v>8</v>
      </c>
      <c r="S27" s="1510">
        <f t="shared" si="12"/>
        <v>100</v>
      </c>
      <c r="T27" s="1509" t="s">
        <v>8</v>
      </c>
      <c r="U27" s="1510">
        <f t="shared" si="13"/>
        <v>100</v>
      </c>
      <c r="V27" s="1509" t="s">
        <v>8</v>
      </c>
      <c r="W27" s="1510">
        <f t="shared" si="14"/>
        <v>100</v>
      </c>
      <c r="X27" s="1511"/>
      <c r="Y27" s="3507"/>
      <c r="Z27" s="1512" t="str">
        <f t="shared" si="15"/>
        <v>项目停车位配比</v>
      </c>
      <c r="AA27" s="1508">
        <f t="shared" si="3"/>
        <v>1</v>
      </c>
      <c r="AB27" s="1508">
        <f t="shared" si="4"/>
        <v>1</v>
      </c>
      <c r="AC27" s="1508">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1"/>
      <c r="M28" s="2013"/>
      <c r="N28" s="2013"/>
      <c r="O28" s="2020"/>
      <c r="P28" s="3507"/>
      <c r="Q28" s="1504" t="str">
        <f t="shared" si="11"/>
        <v>公共部分装修</v>
      </c>
      <c r="R28" s="1505" t="s">
        <v>8</v>
      </c>
      <c r="S28" s="1506">
        <f t="shared" si="12"/>
        <v>100</v>
      </c>
      <c r="T28" s="1505" t="s">
        <v>8</v>
      </c>
      <c r="U28" s="1506">
        <f t="shared" si="13"/>
        <v>100</v>
      </c>
      <c r="V28" s="1505" t="s">
        <v>8</v>
      </c>
      <c r="W28" s="1506">
        <f t="shared" si="14"/>
        <v>100</v>
      </c>
      <c r="X28" s="1499"/>
      <c r="Y28" s="3507"/>
      <c r="Z28" s="1507" t="str">
        <f t="shared" si="15"/>
        <v>公共部分装修</v>
      </c>
      <c r="AA28" s="1508">
        <f t="shared" si="3"/>
        <v>1</v>
      </c>
      <c r="AB28" s="1508">
        <f t="shared" si="4"/>
        <v>1</v>
      </c>
      <c r="AC28" s="1508">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1"/>
      <c r="M29" s="2013"/>
      <c r="N29" s="2013"/>
      <c r="O29" s="2020"/>
      <c r="P29" s="3507"/>
      <c r="Q29" s="1504" t="str">
        <f t="shared" si="11"/>
        <v>成新率</v>
      </c>
      <c r="R29" s="1505" t="s">
        <v>8</v>
      </c>
      <c r="S29" s="1506" t="e">
        <f t="shared" si="12"/>
        <v>#N/A</v>
      </c>
      <c r="T29" s="1505" t="s">
        <v>8</v>
      </c>
      <c r="U29" s="1506" t="e">
        <f t="shared" si="13"/>
        <v>#N/A</v>
      </c>
      <c r="V29" s="1505" t="s">
        <v>8</v>
      </c>
      <c r="W29" s="1506" t="e">
        <f t="shared" si="14"/>
        <v>#N/A</v>
      </c>
      <c r="X29" s="1499"/>
      <c r="Y29" s="3507"/>
      <c r="Z29" s="1507" t="str">
        <f t="shared" si="15"/>
        <v>成新率</v>
      </c>
      <c r="AA29" s="1508" t="e">
        <f t="shared" si="3"/>
        <v>#N/A</v>
      </c>
      <c r="AB29" s="1508" t="e">
        <f t="shared" si="4"/>
        <v>#N/A</v>
      </c>
      <c r="AC29" s="1508"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1"/>
      <c r="M30" s="2013"/>
      <c r="N30" s="2013"/>
      <c r="O30" s="2020"/>
      <c r="P30" s="3507"/>
      <c r="Q30" s="1504" t="str">
        <f t="shared" si="11"/>
        <v>物业等级</v>
      </c>
      <c r="R30" s="1505" t="s">
        <v>8</v>
      </c>
      <c r="S30" s="1506">
        <f t="shared" si="12"/>
        <v>100</v>
      </c>
      <c r="T30" s="1505" t="s">
        <v>8</v>
      </c>
      <c r="U30" s="1506">
        <f t="shared" si="13"/>
        <v>100</v>
      </c>
      <c r="V30" s="1505" t="s">
        <v>8</v>
      </c>
      <c r="W30" s="1506">
        <f t="shared" si="14"/>
        <v>100</v>
      </c>
      <c r="X30" s="1499"/>
      <c r="Y30" s="3507"/>
      <c r="Z30" s="1507" t="str">
        <f t="shared" si="15"/>
        <v>物业等级</v>
      </c>
      <c r="AA30" s="1508">
        <f t="shared" si="3"/>
        <v>1</v>
      </c>
      <c r="AB30" s="1508">
        <f t="shared" si="4"/>
        <v>1</v>
      </c>
      <c r="AC30" s="1508">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4"/>
      <c r="M31" s="2015"/>
      <c r="N31" s="2015"/>
      <c r="O31" s="2016"/>
      <c r="P31" s="3507"/>
      <c r="Q31" s="1133" t="str">
        <f t="shared" si="11"/>
        <v>停车位面积</v>
      </c>
      <c r="R31" s="1500" t="s">
        <v>8</v>
      </c>
      <c r="S31" s="1501" t="e">
        <f t="shared" si="12"/>
        <v>#N/A</v>
      </c>
      <c r="T31" s="1500" t="s">
        <v>8</v>
      </c>
      <c r="U31" s="1501" t="e">
        <f t="shared" si="13"/>
        <v>#N/A</v>
      </c>
      <c r="V31" s="1500" t="s">
        <v>8</v>
      </c>
      <c r="W31" s="1501" t="e">
        <f t="shared" si="14"/>
        <v>#N/A</v>
      </c>
      <c r="X31" s="1502"/>
      <c r="Y31" s="3507"/>
      <c r="Z31" s="1132" t="str">
        <f t="shared" si="15"/>
        <v>停车位面积</v>
      </c>
      <c r="AA31" s="1503" t="e">
        <f t="shared" si="3"/>
        <v>#N/A</v>
      </c>
      <c r="AB31" s="1503" t="e">
        <f t="shared" si="4"/>
        <v>#N/A</v>
      </c>
      <c r="AC31" s="1503"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1"/>
      <c r="M32" s="2013"/>
      <c r="N32" s="2013"/>
      <c r="O32" s="2020"/>
      <c r="P32" s="3507" t="s">
        <v>544</v>
      </c>
      <c r="Q32" s="1504" t="str">
        <f t="shared" si="11"/>
        <v>车位类型</v>
      </c>
      <c r="R32" s="1505" t="s">
        <v>8</v>
      </c>
      <c r="S32" s="1506">
        <f t="shared" si="12"/>
        <v>100</v>
      </c>
      <c r="T32" s="1505" t="s">
        <v>8</v>
      </c>
      <c r="U32" s="1506">
        <f t="shared" si="13"/>
        <v>100</v>
      </c>
      <c r="V32" s="1505" t="s">
        <v>8</v>
      </c>
      <c r="W32" s="1506">
        <f t="shared" si="14"/>
        <v>100</v>
      </c>
      <c r="X32" s="1499"/>
      <c r="Y32" s="3507" t="s">
        <v>544</v>
      </c>
      <c r="Z32" s="1507" t="str">
        <f t="shared" si="15"/>
        <v>车位类型</v>
      </c>
      <c r="AA32" s="1508">
        <f t="shared" si="3"/>
        <v>1</v>
      </c>
      <c r="AB32" s="1508">
        <f t="shared" si="4"/>
        <v>1</v>
      </c>
      <c r="AC32" s="1508">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1"/>
      <c r="M33" s="2013"/>
      <c r="N33" s="2013"/>
      <c r="O33" s="2020"/>
      <c r="P33" s="3507"/>
      <c r="Q33" s="1504" t="str">
        <f t="shared" si="11"/>
        <v>是否直接入户</v>
      </c>
      <c r="R33" s="1505" t="s">
        <v>8</v>
      </c>
      <c r="S33" s="1506">
        <f t="shared" si="12"/>
        <v>100</v>
      </c>
      <c r="T33" s="1505" t="s">
        <v>8</v>
      </c>
      <c r="U33" s="1506">
        <f t="shared" si="13"/>
        <v>100</v>
      </c>
      <c r="V33" s="1505" t="s">
        <v>8</v>
      </c>
      <c r="W33" s="1506">
        <f t="shared" si="14"/>
        <v>100</v>
      </c>
      <c r="X33" s="1499"/>
      <c r="Y33" s="3507"/>
      <c r="Z33" s="1507" t="str">
        <f t="shared" si="15"/>
        <v>是否直接入户</v>
      </c>
      <c r="AA33" s="1508">
        <f t="shared" si="3"/>
        <v>1</v>
      </c>
      <c r="AB33" s="1508">
        <f t="shared" si="4"/>
        <v>1</v>
      </c>
      <c r="AC33" s="1508">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1"/>
      <c r="M34" s="2013"/>
      <c r="N34" s="2013"/>
      <c r="O34" s="2020"/>
      <c r="P34" s="3507"/>
      <c r="Q34" s="1504">
        <f t="shared" si="11"/>
        <v>111</v>
      </c>
      <c r="R34" s="1505" t="s">
        <v>8</v>
      </c>
      <c r="S34" s="1506">
        <f t="shared" si="12"/>
        <v>100</v>
      </c>
      <c r="T34" s="1505" t="s">
        <v>8</v>
      </c>
      <c r="U34" s="1506">
        <f t="shared" si="13"/>
        <v>100</v>
      </c>
      <c r="V34" s="1505" t="s">
        <v>8</v>
      </c>
      <c r="W34" s="1506">
        <f t="shared" si="14"/>
        <v>100</v>
      </c>
      <c r="X34" s="1499"/>
      <c r="Y34" s="3507"/>
      <c r="Z34" s="1507">
        <f t="shared" si="15"/>
        <v>111</v>
      </c>
      <c r="AA34" s="1508">
        <f t="shared" si="3"/>
        <v>1</v>
      </c>
      <c r="AB34" s="1508">
        <f t="shared" si="4"/>
        <v>1</v>
      </c>
      <c r="AC34" s="1508">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19"/>
      <c r="M35" s="2049"/>
      <c r="N35" s="2049"/>
      <c r="O35" s="2022"/>
      <c r="P35" s="3507"/>
      <c r="Q35" s="1533">
        <f t="shared" si="11"/>
        <v>111</v>
      </c>
      <c r="R35" s="1509" t="s">
        <v>8</v>
      </c>
      <c r="S35" s="1510">
        <f t="shared" si="12"/>
        <v>100</v>
      </c>
      <c r="T35" s="1509" t="s">
        <v>8</v>
      </c>
      <c r="U35" s="1510">
        <f t="shared" si="13"/>
        <v>100</v>
      </c>
      <c r="V35" s="1509" t="s">
        <v>8</v>
      </c>
      <c r="W35" s="1510">
        <f t="shared" si="14"/>
        <v>100</v>
      </c>
      <c r="X35" s="1511"/>
      <c r="Y35" s="3507"/>
      <c r="Z35" s="1512">
        <f t="shared" si="15"/>
        <v>111</v>
      </c>
      <c r="AA35" s="1508">
        <f t="shared" si="3"/>
        <v>1</v>
      </c>
      <c r="AB35" s="1508">
        <f t="shared" si="4"/>
        <v>1</v>
      </c>
      <c r="AC35" s="1508">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1"/>
      <c r="M36" s="2013"/>
      <c r="N36" s="2013"/>
      <c r="O36" s="2020"/>
      <c r="P36" s="3507"/>
      <c r="Q36" s="1504">
        <f t="shared" si="11"/>
        <v>111</v>
      </c>
      <c r="R36" s="1505" t="s">
        <v>8</v>
      </c>
      <c r="S36" s="1506">
        <f t="shared" si="12"/>
        <v>100</v>
      </c>
      <c r="T36" s="1505" t="s">
        <v>8</v>
      </c>
      <c r="U36" s="1506">
        <f t="shared" si="13"/>
        <v>100</v>
      </c>
      <c r="V36" s="1505" t="s">
        <v>8</v>
      </c>
      <c r="W36" s="1506">
        <f t="shared" si="14"/>
        <v>100</v>
      </c>
      <c r="X36" s="1499"/>
      <c r="Y36" s="3507"/>
      <c r="Z36" s="1507">
        <f t="shared" si="15"/>
        <v>111</v>
      </c>
      <c r="AA36" s="1508">
        <f t="shared" si="3"/>
        <v>1</v>
      </c>
      <c r="AB36" s="1508">
        <f t="shared" si="4"/>
        <v>1</v>
      </c>
      <c r="AC36" s="1508">
        <f t="shared" si="5"/>
        <v>1</v>
      </c>
    </row>
    <row r="37" spans="1:29" ht="15">
      <c r="A37" s="1757" t="s">
        <v>2065</v>
      </c>
      <c r="B37" s="1758" t="s">
        <v>3087</v>
      </c>
      <c r="C37" s="2467" t="s">
        <v>1</v>
      </c>
      <c r="D37" s="2468"/>
      <c r="E37" s="2469"/>
      <c r="F37" s="2470"/>
      <c r="G37" s="2471"/>
      <c r="H37" s="2472"/>
      <c r="I37" s="2469"/>
      <c r="J37" s="2472"/>
      <c r="K37" s="1538"/>
      <c r="L37" s="2023"/>
      <c r="M37" s="2024"/>
      <c r="N37" s="2013"/>
      <c r="O37" s="2024"/>
      <c r="P37" s="3502" t="str">
        <f>A37</f>
        <v>成交单价</v>
      </c>
      <c r="Q37" s="3502"/>
      <c r="R37" s="3589">
        <f>E37</f>
        <v>0</v>
      </c>
      <c r="S37" s="3589"/>
      <c r="T37" s="3589">
        <f>G37</f>
        <v>0</v>
      </c>
      <c r="U37" s="3589"/>
      <c r="V37" s="3589">
        <f>I37</f>
        <v>0</v>
      </c>
      <c r="W37" s="3589"/>
      <c r="X37" s="1494"/>
      <c r="Y37" s="1513"/>
      <c r="Z37" s="1494"/>
      <c r="AA37" s="1494"/>
      <c r="AB37" s="1494"/>
      <c r="AC37" s="1494"/>
    </row>
    <row r="38" spans="1:29" ht="15.75" thickBot="1">
      <c r="A38" s="608" t="s">
        <v>2740</v>
      </c>
      <c r="B38" s="876"/>
      <c r="C38" s="2473" t="e">
        <f>R39</f>
        <v>#DIV/0!</v>
      </c>
      <c r="D38" s="3011" t="s">
        <v>2970</v>
      </c>
      <c r="E38" s="2474" t="e">
        <f>R38</f>
        <v>#DIV/0!</v>
      </c>
      <c r="F38" s="3012"/>
      <c r="G38" s="2473" t="e">
        <f>T38</f>
        <v>#DIV/0!</v>
      </c>
      <c r="H38" s="3012"/>
      <c r="I38" s="2474" t="e">
        <f>V38</f>
        <v>#DIV/0!</v>
      </c>
      <c r="J38" s="3012"/>
      <c r="K38" s="3020">
        <f>F38+H38+J38</f>
        <v>0</v>
      </c>
      <c r="L38" s="2023"/>
      <c r="M38" s="2024"/>
      <c r="N38" s="2024"/>
      <c r="O38" s="2024"/>
      <c r="P38" s="3502" t="str">
        <f>A38</f>
        <v>比较价格（元/平方米）</v>
      </c>
      <c r="Q38" s="3502"/>
      <c r="R38" s="3589" t="e">
        <f>IF(F1="售价",ROUND(PRODUCT(R37,AA7:AA36),0),ROUND(PRODUCT(R37,AA7:AA36),1))</f>
        <v>#DIV/0!</v>
      </c>
      <c r="S38" s="3589"/>
      <c r="T38" s="3589" t="e">
        <f>IF(F1="售价",ROUND(PRODUCT(T37,AB7:AB36),0),ROUND(PRODUCT(T37,AB7:AB36),1))</f>
        <v>#DIV/0!</v>
      </c>
      <c r="U38" s="3589"/>
      <c r="V38" s="3589" t="e">
        <f>IF(F1="售价",ROUND(PRODUCT(V37,AC7:AC36),0),ROUND(PRODUCT(V37,AC7:AC36),1))</f>
        <v>#DIV/0!</v>
      </c>
      <c r="W38" s="3589"/>
      <c r="X38" s="1494"/>
      <c r="Y38" s="1494"/>
      <c r="Z38" s="1494"/>
      <c r="AA38" s="1494"/>
      <c r="AB38" s="1494"/>
      <c r="AC38" s="1494"/>
    </row>
    <row r="39" spans="1:29" ht="15.75" thickBot="1">
      <c r="A39" s="612" t="s">
        <v>2902</v>
      </c>
      <c r="B39" s="613"/>
      <c r="C39" s="2475" t="e">
        <f>R39</f>
        <v>#DIV/0!</v>
      </c>
      <c r="D39" s="2475"/>
      <c r="E39" s="2475"/>
      <c r="F39" s="2475"/>
      <c r="G39" s="2475"/>
      <c r="H39" s="2475"/>
      <c r="I39" s="2475"/>
      <c r="J39" s="2475"/>
      <c r="K39" s="1539"/>
      <c r="L39" s="2023"/>
      <c r="M39" s="2024"/>
      <c r="N39" s="2024"/>
      <c r="O39" s="2024"/>
      <c r="P39" s="3525" t="str">
        <f>A39</f>
        <v>估价对象XX用房的比较价格（楼面单价，元/平方米）</v>
      </c>
      <c r="Q39" s="3526"/>
      <c r="R39" s="3588" t="e">
        <f>IF(F1="售价",ROUND(IF(D38="简单平均",AVERAGE(R38:W38),R38*F38+T38*H38+V38*J38),0),ROUND(IF(D38="简单平均",AVERAGE(R38:V38),R38*F38+T38*H38+V38*J38),1))</f>
        <v>#DIV/0!</v>
      </c>
      <c r="S39" s="3588"/>
      <c r="T39" s="3588"/>
      <c r="U39" s="3588"/>
      <c r="V39" s="3588"/>
      <c r="W39" s="3588"/>
      <c r="X39" s="1494"/>
      <c r="Y39" s="1494"/>
      <c r="Z39" s="1494"/>
      <c r="AA39" s="1494"/>
      <c r="AB39" s="1494"/>
      <c r="AC39" s="1494"/>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7" customFormat="1" ht="13.5" customHeight="1">
      <c r="A44" s="3212"/>
      <c r="B44" s="3212"/>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7"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9" customFormat="1" ht="15">
      <c r="A48" s="636" t="s">
        <v>523</v>
      </c>
      <c r="B48" s="637"/>
      <c r="C48" s="2516" t="str">
        <f>YEAR(C7)&amp;"-"&amp;MONTH(C7)</f>
        <v>2021-2</v>
      </c>
      <c r="D48" s="2518">
        <f>EDATE(C48,-1)</f>
        <v>44197</v>
      </c>
      <c r="E48" s="2518">
        <f t="shared" ref="E48:O48" si="16">EDATE(D48,-1)</f>
        <v>44166</v>
      </c>
      <c r="F48" s="2518">
        <f t="shared" si="16"/>
        <v>44136</v>
      </c>
      <c r="G48" s="2518">
        <f t="shared" si="16"/>
        <v>44105</v>
      </c>
      <c r="H48" s="2518">
        <f t="shared" si="16"/>
        <v>44075</v>
      </c>
      <c r="I48" s="2518">
        <f t="shared" si="16"/>
        <v>44044</v>
      </c>
      <c r="J48" s="2518">
        <f t="shared" si="16"/>
        <v>44013</v>
      </c>
      <c r="K48" s="2518">
        <f t="shared" si="16"/>
        <v>43983</v>
      </c>
      <c r="L48" s="2518">
        <f t="shared" si="16"/>
        <v>43952</v>
      </c>
      <c r="M48" s="2518">
        <f t="shared" si="16"/>
        <v>43922</v>
      </c>
      <c r="N48" s="2518">
        <f t="shared" si="16"/>
        <v>43891</v>
      </c>
      <c r="O48" s="2518">
        <f t="shared" si="16"/>
        <v>43862</v>
      </c>
      <c r="P48" s="2038"/>
      <c r="Q48" s="2039"/>
      <c r="R48" s="2039"/>
      <c r="S48" s="2039"/>
      <c r="T48" s="2039"/>
      <c r="U48" s="2039"/>
      <c r="V48" s="2039"/>
      <c r="W48" s="2039"/>
      <c r="X48" s="2039"/>
      <c r="Y48" s="2039"/>
      <c r="Z48" s="2039"/>
      <c r="AA48" s="2039"/>
      <c r="AB48" s="2039"/>
      <c r="AC48" s="2039"/>
    </row>
    <row r="49" spans="1:29" s="1202" customFormat="1" ht="15">
      <c r="A49" s="638"/>
      <c r="B49" s="639"/>
      <c r="C49" s="2517">
        <v>100</v>
      </c>
      <c r="D49" s="641"/>
      <c r="E49" s="641"/>
      <c r="F49" s="641"/>
      <c r="G49" s="641"/>
      <c r="H49" s="641"/>
      <c r="I49" s="641"/>
      <c r="J49" s="641"/>
      <c r="K49" s="641"/>
      <c r="L49" s="641"/>
      <c r="M49" s="642"/>
      <c r="N49" s="641"/>
      <c r="O49" s="643"/>
      <c r="P49" s="2036"/>
      <c r="Q49" s="1902"/>
      <c r="R49" s="1902"/>
      <c r="S49" s="1902"/>
      <c r="T49" s="1902"/>
      <c r="U49" s="1902"/>
      <c r="V49" s="1902"/>
      <c r="W49" s="1902"/>
      <c r="X49" s="1902"/>
      <c r="Y49" s="1902"/>
      <c r="Z49" s="1902"/>
      <c r="AA49" s="1902"/>
      <c r="AB49" s="1902"/>
      <c r="AC49" s="1902"/>
    </row>
    <row r="50" spans="1:29" s="1202" customFormat="1" ht="15.75" thickBot="1">
      <c r="A50" s="644" t="s">
        <v>569</v>
      </c>
      <c r="B50" s="645"/>
      <c r="C50" s="646"/>
      <c r="D50" s="647"/>
      <c r="E50" s="647"/>
      <c r="F50" s="647"/>
      <c r="G50" s="647"/>
      <c r="H50" s="647"/>
      <c r="I50" s="647"/>
      <c r="J50" s="647"/>
      <c r="K50" s="647"/>
      <c r="L50" s="647"/>
      <c r="M50" s="648"/>
      <c r="N50" s="647"/>
      <c r="O50" s="649"/>
      <c r="P50" s="2036"/>
      <c r="Q50" s="2036"/>
      <c r="R50" s="1902"/>
      <c r="S50" s="1902"/>
      <c r="T50" s="1902"/>
      <c r="U50" s="1902"/>
      <c r="V50" s="1902"/>
      <c r="W50" s="1902"/>
      <c r="X50" s="1902"/>
      <c r="Y50" s="1902"/>
      <c r="Z50" s="1902"/>
      <c r="AA50" s="1902"/>
      <c r="AB50" s="1902"/>
      <c r="AC50" s="1902"/>
    </row>
    <row r="51" spans="1:29" s="1202" customFormat="1" ht="15">
      <c r="A51" s="650" t="s">
        <v>525</v>
      </c>
      <c r="B51" s="639"/>
      <c r="C51" s="651" t="s">
        <v>570</v>
      </c>
      <c r="D51" s="652"/>
      <c r="E51" s="652"/>
      <c r="F51" s="652"/>
      <c r="G51" s="652"/>
      <c r="H51" s="652"/>
      <c r="I51" s="652"/>
      <c r="J51" s="652"/>
      <c r="K51" s="652"/>
      <c r="L51" s="653"/>
      <c r="M51" s="654"/>
      <c r="N51" s="2040"/>
      <c r="O51" s="2040"/>
      <c r="P51" s="2041"/>
      <c r="Q51" s="2036"/>
      <c r="R51" s="1902"/>
      <c r="S51" s="1902"/>
      <c r="T51" s="1902"/>
      <c r="U51" s="1902"/>
      <c r="V51" s="1902"/>
      <c r="W51" s="1902"/>
      <c r="X51" s="1902"/>
      <c r="Y51" s="1902"/>
      <c r="Z51" s="1902"/>
      <c r="AA51" s="1902"/>
      <c r="AB51" s="1902"/>
      <c r="AC51" s="1902"/>
    </row>
    <row r="52" spans="1:29" s="1202" customFormat="1" ht="15.75" thickBot="1">
      <c r="A52" s="650"/>
      <c r="B52" s="639"/>
      <c r="C52" s="640">
        <v>100</v>
      </c>
      <c r="D52" s="641"/>
      <c r="E52" s="641"/>
      <c r="F52" s="641"/>
      <c r="G52" s="641"/>
      <c r="H52" s="641"/>
      <c r="I52" s="641"/>
      <c r="J52" s="641"/>
      <c r="K52" s="641"/>
      <c r="L52" s="641"/>
      <c r="M52" s="643"/>
      <c r="N52" s="2040"/>
      <c r="O52" s="2040"/>
      <c r="P52" s="2036"/>
      <c r="Q52" s="2036"/>
      <c r="R52" s="1902"/>
      <c r="S52" s="1902"/>
      <c r="T52" s="1902"/>
      <c r="U52" s="1902"/>
      <c r="V52" s="1902"/>
      <c r="W52" s="1902"/>
      <c r="X52" s="1902"/>
      <c r="Y52" s="1902"/>
      <c r="Z52" s="1902"/>
      <c r="AA52" s="1902"/>
      <c r="AB52" s="1902"/>
      <c r="AC52" s="1902"/>
    </row>
    <row r="53" spans="1:29">
      <c r="A53" s="655" t="s">
        <v>571</v>
      </c>
      <c r="B53" s="656" t="s">
        <v>528</v>
      </c>
      <c r="C53" s="695">
        <f>C9</f>
        <v>0</v>
      </c>
      <c r="D53" s="591"/>
      <c r="E53" s="591"/>
      <c r="F53" s="591"/>
      <c r="G53" s="591"/>
      <c r="H53" s="591"/>
      <c r="I53" s="591"/>
      <c r="J53" s="591"/>
      <c r="K53" s="657"/>
      <c r="L53" s="658"/>
      <c r="M53" s="659"/>
      <c r="N53" s="2042"/>
      <c r="O53" s="2042"/>
      <c r="P53" s="2043"/>
      <c r="Q53" s="2036"/>
      <c r="R53" s="2024"/>
      <c r="S53" s="2024"/>
      <c r="T53" s="2024"/>
      <c r="U53" s="2024"/>
      <c r="V53" s="2024"/>
      <c r="W53" s="2024"/>
      <c r="X53" s="2024"/>
      <c r="Y53" s="2024"/>
      <c r="Z53" s="2024"/>
      <c r="AA53" s="2024"/>
      <c r="AB53" s="2024"/>
      <c r="AC53" s="2024"/>
    </row>
    <row r="54" spans="1:29" ht="15.75" thickBot="1">
      <c r="A54" s="660"/>
      <c r="B54" s="661"/>
      <c r="C54" s="662"/>
      <c r="D54" s="662"/>
      <c r="E54" s="662"/>
      <c r="F54" s="662"/>
      <c r="G54" s="662"/>
      <c r="H54" s="662"/>
      <c r="I54" s="662"/>
      <c r="J54" s="662"/>
      <c r="K54" s="662"/>
      <c r="L54" s="662"/>
      <c r="M54" s="663"/>
      <c r="N54" s="2044"/>
      <c r="O54" s="2044"/>
      <c r="P54" s="2043"/>
      <c r="Q54" s="2036"/>
      <c r="R54" s="2024"/>
      <c r="S54" s="2024"/>
      <c r="T54" s="2024"/>
      <c r="U54" s="2024"/>
      <c r="V54" s="2024"/>
      <c r="W54" s="2024"/>
      <c r="X54" s="2024"/>
      <c r="Y54" s="2024"/>
      <c r="Z54" s="2024"/>
      <c r="AA54" s="2024"/>
      <c r="AB54" s="2024"/>
      <c r="AC54" s="2024"/>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2"/>
      <c r="O55" s="2042"/>
      <c r="P55" s="2043"/>
      <c r="Q55" s="2036"/>
      <c r="R55" s="2024"/>
      <c r="S55" s="2024"/>
      <c r="T55" s="2024"/>
      <c r="U55" s="2024"/>
      <c r="V55" s="2024"/>
      <c r="W55" s="2024"/>
      <c r="X55" s="2024"/>
      <c r="Y55" s="2024"/>
      <c r="Z55" s="2024"/>
      <c r="AA55" s="2024"/>
      <c r="AB55" s="2024"/>
      <c r="AC55" s="2024"/>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4"/>
      <c r="O56" s="2044"/>
      <c r="P56" s="2043"/>
      <c r="Q56" s="2036"/>
      <c r="R56" s="2024"/>
      <c r="S56" s="2024"/>
      <c r="T56" s="2024"/>
      <c r="U56" s="2024"/>
      <c r="V56" s="2024"/>
      <c r="W56" s="2024"/>
      <c r="X56" s="2024"/>
      <c r="Y56" s="2024"/>
      <c r="Z56" s="2024"/>
      <c r="AA56" s="2024"/>
      <c r="AB56" s="2024"/>
      <c r="AC56" s="2024"/>
    </row>
    <row r="57" spans="1:29" ht="15.75" thickTop="1">
      <c r="A57" s="660"/>
      <c r="B57" s="923">
        <f>B11</f>
        <v>111</v>
      </c>
      <c r="C57" s="534"/>
      <c r="D57" s="534"/>
      <c r="E57" s="534"/>
      <c r="F57" s="534"/>
      <c r="G57" s="534"/>
      <c r="H57" s="534"/>
      <c r="I57" s="534"/>
      <c r="J57" s="534"/>
      <c r="K57" s="675"/>
      <c r="L57" s="676"/>
      <c r="M57" s="677"/>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83"/>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s="1292" customFormat="1" ht="15.75" thickTop="1">
      <c r="A59" s="678"/>
      <c r="B59" s="664">
        <f>B12</f>
        <v>111</v>
      </c>
      <c r="C59" s="534"/>
      <c r="D59" s="534"/>
      <c r="E59" s="534"/>
      <c r="F59" s="534"/>
      <c r="G59" s="679"/>
      <c r="H59" s="680"/>
      <c r="I59" s="680"/>
      <c r="J59" s="680"/>
      <c r="K59" s="680"/>
      <c r="L59" s="681"/>
      <c r="M59" s="682"/>
      <c r="N59" s="2045"/>
      <c r="O59" s="2045"/>
      <c r="P59" s="2046"/>
      <c r="Q59" s="2047"/>
      <c r="R59" s="2048"/>
      <c r="S59" s="2048"/>
      <c r="T59" s="2048"/>
      <c r="U59" s="2048"/>
      <c r="V59" s="2048"/>
      <c r="W59" s="2048"/>
      <c r="X59" s="2048"/>
      <c r="Y59" s="2048"/>
      <c r="Z59" s="2048"/>
      <c r="AA59" s="2048"/>
      <c r="AB59" s="2048"/>
      <c r="AC59" s="2048"/>
    </row>
    <row r="60" spans="1:29" s="1292" customFormat="1" ht="15.75" thickBot="1">
      <c r="A60" s="678"/>
      <c r="B60" s="669"/>
      <c r="C60" s="683"/>
      <c r="D60" s="662"/>
      <c r="E60" s="662"/>
      <c r="F60" s="662"/>
      <c r="G60" s="662"/>
      <c r="H60" s="662"/>
      <c r="I60" s="662"/>
      <c r="J60" s="662"/>
      <c r="K60" s="662"/>
      <c r="L60" s="662"/>
      <c r="M60" s="663"/>
      <c r="N60" s="2044"/>
      <c r="O60" s="2044"/>
      <c r="P60" s="2046"/>
      <c r="Q60" s="2047"/>
      <c r="R60" s="2048"/>
      <c r="S60" s="2048"/>
      <c r="T60" s="2048"/>
      <c r="U60" s="2048"/>
      <c r="V60" s="2048"/>
      <c r="W60" s="2048"/>
      <c r="X60" s="2048"/>
      <c r="Y60" s="2048"/>
      <c r="Z60" s="2048"/>
      <c r="AA60" s="2048"/>
      <c r="AB60" s="2048"/>
      <c r="AC60" s="2048"/>
    </row>
    <row r="61" spans="1:29" s="1292" customFormat="1" ht="15.75" thickTop="1">
      <c r="A61" s="678"/>
      <c r="B61" s="664">
        <f>B13</f>
        <v>111</v>
      </c>
      <c r="C61" s="679"/>
      <c r="D61" s="679"/>
      <c r="E61" s="679"/>
      <c r="F61" s="679"/>
      <c r="G61" s="679"/>
      <c r="H61" s="680"/>
      <c r="I61" s="680"/>
      <c r="J61" s="680"/>
      <c r="K61" s="680"/>
      <c r="L61" s="681"/>
      <c r="M61" s="682"/>
      <c r="N61" s="2045"/>
      <c r="O61" s="2045"/>
      <c r="P61" s="2049"/>
      <c r="Q61" s="2050"/>
      <c r="R61" s="2048"/>
      <c r="S61" s="2048"/>
      <c r="T61" s="2048"/>
      <c r="U61" s="2048"/>
      <c r="V61" s="2048"/>
      <c r="W61" s="2048"/>
      <c r="X61" s="2048"/>
      <c r="Y61" s="2048"/>
      <c r="Z61" s="2048"/>
      <c r="AA61" s="2048"/>
      <c r="AB61" s="2048"/>
      <c r="AC61" s="2048"/>
    </row>
    <row r="62" spans="1:29" s="1292" customFormat="1" ht="15.75" thickBot="1">
      <c r="A62" s="678"/>
      <c r="B62" s="669"/>
      <c r="C62" s="683"/>
      <c r="D62" s="683"/>
      <c r="E62" s="683"/>
      <c r="F62" s="683"/>
      <c r="G62" s="683"/>
      <c r="H62" s="684"/>
      <c r="I62" s="684"/>
      <c r="J62" s="684"/>
      <c r="K62" s="684"/>
      <c r="L62" s="684"/>
      <c r="M62" s="685"/>
      <c r="N62" s="2045"/>
      <c r="O62" s="2045"/>
      <c r="P62" s="2046"/>
      <c r="Q62" s="2047"/>
      <c r="R62" s="2048"/>
      <c r="S62" s="2048"/>
      <c r="T62" s="2048"/>
      <c r="U62" s="2048"/>
      <c r="V62" s="2048"/>
      <c r="W62" s="2048"/>
      <c r="X62" s="2048"/>
      <c r="Y62" s="2048"/>
      <c r="Z62" s="2048"/>
      <c r="AA62" s="2048"/>
      <c r="AB62" s="2048"/>
      <c r="AC62" s="2048"/>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2"/>
      <c r="O63" s="2042"/>
      <c r="P63" s="2052"/>
      <c r="Q63" s="2036"/>
      <c r="R63" s="2024"/>
      <c r="S63" s="2024"/>
      <c r="T63" s="2024"/>
      <c r="U63" s="2024"/>
      <c r="V63" s="2024"/>
      <c r="W63" s="2024"/>
      <c r="X63" s="2024"/>
      <c r="Y63" s="2024"/>
      <c r="Z63" s="2024"/>
      <c r="AA63" s="2024"/>
      <c r="AB63" s="2024"/>
      <c r="AC63" s="2024"/>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1807" t="s">
        <v>2538</v>
      </c>
      <c r="C65" s="699" t="s">
        <v>573</v>
      </c>
      <c r="D65" s="699" t="s">
        <v>574</v>
      </c>
      <c r="E65" s="699" t="s">
        <v>575</v>
      </c>
      <c r="F65" s="699" t="s">
        <v>576</v>
      </c>
      <c r="G65" s="699" t="s">
        <v>577</v>
      </c>
      <c r="H65" s="665"/>
      <c r="I65" s="665"/>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2438" t="s">
        <v>2539</v>
      </c>
      <c r="C67" s="2439" t="s">
        <v>2540</v>
      </c>
      <c r="D67" s="2439" t="s">
        <v>2541</v>
      </c>
      <c r="E67" s="2439" t="s">
        <v>2542</v>
      </c>
      <c r="F67" s="2439" t="s">
        <v>2543</v>
      </c>
      <c r="G67" s="2439" t="s">
        <v>2544</v>
      </c>
      <c r="H67" s="665"/>
      <c r="I67" s="665"/>
      <c r="J67" s="665"/>
      <c r="K67" s="665"/>
      <c r="L67" s="665"/>
      <c r="M67" s="2442"/>
      <c r="N67" s="2044"/>
      <c r="O67" s="2044"/>
      <c r="P67" s="2043"/>
      <c r="Q67" s="2036"/>
      <c r="R67" s="2024"/>
      <c r="S67" s="2024"/>
      <c r="T67" s="2024"/>
      <c r="U67" s="2024"/>
      <c r="V67" s="2024"/>
      <c r="W67" s="2024"/>
      <c r="X67" s="2024"/>
      <c r="Y67" s="2024"/>
      <c r="Z67" s="2024"/>
      <c r="AA67" s="2024"/>
      <c r="AB67" s="2024"/>
      <c r="AC67" s="2024"/>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738</v>
      </c>
      <c r="C69" s="699" t="s">
        <v>573</v>
      </c>
      <c r="D69" s="699" t="s">
        <v>574</v>
      </c>
      <c r="E69" s="699" t="s">
        <v>575</v>
      </c>
      <c r="F69" s="699" t="s">
        <v>576</v>
      </c>
      <c r="G69" s="699" t="s">
        <v>577</v>
      </c>
      <c r="H69" s="665"/>
      <c r="I69" s="665"/>
      <c r="J69" s="665"/>
      <c r="K69" s="666"/>
      <c r="L69" s="667"/>
      <c r="M69" s="668"/>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ht="15.75" thickTop="1">
      <c r="A71" s="660"/>
      <c r="B71" s="664" t="s">
        <v>739</v>
      </c>
      <c r="C71" s="679"/>
      <c r="D71" s="679"/>
      <c r="E71" s="679"/>
      <c r="F71" s="679"/>
      <c r="G71" s="679"/>
      <c r="H71" s="709"/>
      <c r="I71" s="709"/>
      <c r="J71" s="709"/>
      <c r="K71" s="710"/>
      <c r="L71" s="711"/>
      <c r="M71" s="712"/>
      <c r="N71" s="2042"/>
      <c r="O71" s="2042"/>
      <c r="P71" s="2043"/>
      <c r="Q71" s="2036"/>
      <c r="R71" s="2024"/>
      <c r="S71" s="2024"/>
      <c r="T71" s="2024"/>
      <c r="U71" s="2024"/>
      <c r="V71" s="2024"/>
      <c r="W71" s="2024"/>
      <c r="X71" s="2024"/>
      <c r="Y71" s="2024"/>
      <c r="Z71" s="2024"/>
      <c r="AA71" s="2024"/>
      <c r="AB71" s="2024"/>
      <c r="AC71" s="2024"/>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4"/>
      <c r="O72" s="2044"/>
      <c r="P72" s="2043"/>
      <c r="Q72" s="2036"/>
      <c r="R72" s="2024"/>
      <c r="S72" s="2024"/>
      <c r="T72" s="2024"/>
      <c r="U72" s="2024"/>
      <c r="V72" s="2024"/>
      <c r="W72" s="2024"/>
      <c r="X72" s="2024"/>
      <c r="Y72" s="2024"/>
      <c r="Z72" s="2024"/>
      <c r="AA72" s="2024"/>
      <c r="AB72" s="2024"/>
      <c r="AC72" s="2024"/>
    </row>
    <row r="73" spans="1:29" s="1202" customFormat="1" ht="15.75" thickTop="1">
      <c r="A73" s="700"/>
      <c r="B73" s="664">
        <f>B23</f>
        <v>111</v>
      </c>
      <c r="C73" s="534"/>
      <c r="D73" s="534"/>
      <c r="E73" s="534"/>
      <c r="F73" s="534"/>
      <c r="G73" s="679"/>
      <c r="H73" s="679"/>
      <c r="I73" s="679"/>
      <c r="J73" s="679"/>
      <c r="K73" s="679"/>
      <c r="L73" s="878"/>
      <c r="M73" s="879"/>
      <c r="N73" s="2040"/>
      <c r="O73" s="2040"/>
      <c r="P73" s="2043"/>
      <c r="Q73" s="2036"/>
      <c r="R73" s="1902"/>
      <c r="S73" s="1902"/>
      <c r="T73" s="1902"/>
      <c r="U73" s="1902"/>
      <c r="V73" s="1902"/>
      <c r="W73" s="1902"/>
      <c r="X73" s="1902"/>
      <c r="Y73" s="1902"/>
      <c r="Z73" s="1902"/>
      <c r="AA73" s="1902"/>
      <c r="AB73" s="1902"/>
      <c r="AC73" s="1902"/>
    </row>
    <row r="74" spans="1:29" s="1202"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02" customFormat="1" ht="15.75" thickTop="1">
      <c r="A75" s="700"/>
      <c r="B75" s="664">
        <f>B24</f>
        <v>111</v>
      </c>
      <c r="C75" s="534"/>
      <c r="D75" s="534"/>
      <c r="E75" s="534"/>
      <c r="F75" s="534"/>
      <c r="G75" s="679"/>
      <c r="H75" s="679"/>
      <c r="I75" s="679"/>
      <c r="J75" s="679"/>
      <c r="K75" s="679"/>
      <c r="L75" s="679"/>
      <c r="M75" s="879"/>
      <c r="N75" s="2040"/>
      <c r="O75" s="2040"/>
      <c r="P75" s="2043"/>
      <c r="Q75" s="2036"/>
      <c r="R75" s="1902"/>
      <c r="S75" s="1902"/>
      <c r="T75" s="1902"/>
      <c r="U75" s="1902"/>
      <c r="V75" s="1902"/>
      <c r="W75" s="1902"/>
      <c r="X75" s="1902"/>
      <c r="Y75" s="1902"/>
      <c r="Z75" s="1902"/>
      <c r="AA75" s="1902"/>
      <c r="AB75" s="1902"/>
      <c r="AC75" s="1902"/>
    </row>
    <row r="76" spans="1:29" s="1202" customFormat="1" ht="15.75" thickBot="1">
      <c r="A76" s="700"/>
      <c r="B76" s="669"/>
      <c r="C76" s="683"/>
      <c r="D76" s="662"/>
      <c r="E76" s="662"/>
      <c r="F76" s="662"/>
      <c r="G76" s="662"/>
      <c r="H76" s="662"/>
      <c r="I76" s="662"/>
      <c r="J76" s="662"/>
      <c r="K76" s="662"/>
      <c r="L76" s="662"/>
      <c r="M76" s="663"/>
      <c r="N76" s="2044"/>
      <c r="O76" s="2044"/>
      <c r="P76" s="2043"/>
      <c r="Q76" s="2036"/>
      <c r="R76" s="1902"/>
      <c r="S76" s="1902"/>
      <c r="T76" s="1902"/>
      <c r="U76" s="1902"/>
      <c r="V76" s="1902"/>
      <c r="W76" s="1902"/>
      <c r="X76" s="1902"/>
      <c r="Y76" s="1902"/>
      <c r="Z76" s="1902"/>
      <c r="AA76" s="1902"/>
      <c r="AB76" s="1902"/>
      <c r="AC76" s="1902"/>
    </row>
    <row r="77" spans="1:29" s="1292" customFormat="1" ht="15.75" thickTop="1">
      <c r="A77" s="678"/>
      <c r="B77" s="664">
        <f>B25</f>
        <v>111</v>
      </c>
      <c r="C77" s="679"/>
      <c r="D77" s="679"/>
      <c r="E77" s="679"/>
      <c r="F77" s="679"/>
      <c r="G77" s="679"/>
      <c r="H77" s="680"/>
      <c r="I77" s="680"/>
      <c r="J77" s="680"/>
      <c r="K77" s="680"/>
      <c r="L77" s="681"/>
      <c r="M77" s="682"/>
      <c r="N77" s="2045"/>
      <c r="O77" s="2045"/>
      <c r="P77" s="2046"/>
      <c r="Q77" s="2047"/>
      <c r="R77" s="2048"/>
      <c r="S77" s="2048"/>
      <c r="T77" s="2048"/>
      <c r="U77" s="2048"/>
      <c r="V77" s="2048"/>
      <c r="W77" s="2048"/>
      <c r="X77" s="2048"/>
      <c r="Y77" s="2048"/>
      <c r="Z77" s="2048"/>
      <c r="AA77" s="2048"/>
      <c r="AB77" s="2048"/>
      <c r="AC77" s="2048"/>
    </row>
    <row r="78" spans="1:29" s="1292" customFormat="1" ht="15.75" thickBot="1">
      <c r="A78" s="678"/>
      <c r="B78" s="669"/>
      <c r="C78" s="683"/>
      <c r="D78" s="683"/>
      <c r="E78" s="683"/>
      <c r="F78" s="683"/>
      <c r="G78" s="662"/>
      <c r="H78" s="662"/>
      <c r="I78" s="662"/>
      <c r="J78" s="662"/>
      <c r="K78" s="662"/>
      <c r="L78" s="662"/>
      <c r="M78" s="663"/>
      <c r="N78" s="2045"/>
      <c r="O78" s="2045"/>
      <c r="P78" s="2046"/>
      <c r="Q78" s="2047"/>
      <c r="R78" s="2048"/>
      <c r="S78" s="2048"/>
      <c r="T78" s="2048"/>
      <c r="U78" s="2048"/>
      <c r="V78" s="2048"/>
      <c r="W78" s="2048"/>
      <c r="X78" s="2048"/>
      <c r="Y78" s="2048"/>
      <c r="Z78" s="2048"/>
      <c r="AA78" s="2048"/>
      <c r="AB78" s="2048"/>
      <c r="AC78" s="2048"/>
    </row>
    <row r="79" spans="1:29" ht="27.75" thickTop="1">
      <c r="A79" s="655" t="s">
        <v>545</v>
      </c>
      <c r="B79" s="656" t="s">
        <v>808</v>
      </c>
      <c r="C79" s="695" t="str">
        <f>C26</f>
        <v>住宅</v>
      </c>
      <c r="D79" s="591"/>
      <c r="E79" s="591"/>
      <c r="F79" s="591"/>
      <c r="G79" s="591"/>
      <c r="H79" s="591"/>
      <c r="I79" s="591"/>
      <c r="J79" s="591"/>
      <c r="K79" s="657"/>
      <c r="L79" s="658"/>
      <c r="M79" s="659"/>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60"/>
      <c r="B81" s="664" t="s">
        <v>809</v>
      </c>
      <c r="C81" s="924"/>
      <c r="D81" s="924"/>
      <c r="E81" s="924"/>
      <c r="F81" s="924"/>
      <c r="G81" s="924"/>
      <c r="H81" s="924"/>
      <c r="I81" s="924"/>
      <c r="J81" s="924"/>
      <c r="K81" s="925"/>
      <c r="L81" s="926"/>
      <c r="M81" s="927"/>
      <c r="N81" s="2040"/>
      <c r="O81" s="2040"/>
      <c r="P81" s="2043"/>
      <c r="Q81" s="2036"/>
      <c r="R81" s="2024"/>
      <c r="S81" s="2024"/>
      <c r="T81" s="2024"/>
      <c r="U81" s="2024"/>
      <c r="V81" s="2024"/>
      <c r="W81" s="2024"/>
      <c r="X81" s="2024"/>
      <c r="Y81" s="2024"/>
      <c r="Z81" s="2024"/>
      <c r="AA81" s="2024"/>
      <c r="AB81" s="2024"/>
      <c r="AC81" s="2024"/>
    </row>
    <row r="82" spans="1:29" s="1292" customFormat="1" ht="15.75" thickBot="1">
      <c r="A82" s="678"/>
      <c r="B82" s="669"/>
      <c r="C82" s="683"/>
      <c r="D82" s="662"/>
      <c r="E82" s="662"/>
      <c r="F82" s="662"/>
      <c r="G82" s="662"/>
      <c r="H82" s="662"/>
      <c r="I82" s="662"/>
      <c r="J82" s="662"/>
      <c r="K82" s="662"/>
      <c r="L82" s="662"/>
      <c r="M82" s="663"/>
      <c r="N82" s="2044"/>
      <c r="O82" s="2044"/>
      <c r="P82" s="2046"/>
      <c r="Q82" s="2047"/>
      <c r="R82" s="2048"/>
      <c r="S82" s="2048"/>
      <c r="T82" s="2048"/>
      <c r="U82" s="2048"/>
      <c r="V82" s="2048"/>
      <c r="W82" s="2048"/>
      <c r="X82" s="2048"/>
      <c r="Y82" s="2048"/>
      <c r="Z82" s="2048"/>
      <c r="AA82" s="2048"/>
      <c r="AB82" s="2048"/>
      <c r="AC82" s="2048"/>
    </row>
    <row r="83" spans="1:29" ht="15" thickTop="1">
      <c r="A83" s="726"/>
      <c r="B83" s="664" t="s">
        <v>745</v>
      </c>
      <c r="C83" s="679"/>
      <c r="D83" s="679"/>
      <c r="E83" s="709"/>
      <c r="F83" s="709"/>
      <c r="G83" s="709"/>
      <c r="H83" s="709"/>
      <c r="I83" s="709"/>
      <c r="J83" s="709"/>
      <c r="K83" s="710"/>
      <c r="L83" s="711"/>
      <c r="M83" s="712"/>
      <c r="N83" s="2042"/>
      <c r="O83" s="2042"/>
      <c r="P83" s="2043"/>
      <c r="Q83" s="2036"/>
      <c r="R83" s="2024"/>
      <c r="S83" s="2024"/>
      <c r="T83" s="2024"/>
      <c r="U83" s="2024"/>
      <c r="V83" s="2024"/>
      <c r="W83" s="2024"/>
      <c r="X83" s="2024"/>
      <c r="Y83" s="2024"/>
      <c r="Z83" s="2024"/>
      <c r="AA83" s="2024"/>
      <c r="AB83" s="2024"/>
      <c r="AC83" s="2024"/>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2"/>
      <c r="O85" s="2042"/>
      <c r="P85" s="2043"/>
      <c r="Q85" s="2036"/>
      <c r="R85" s="2024"/>
      <c r="S85" s="2024"/>
      <c r="T85" s="2024"/>
      <c r="U85" s="2024"/>
      <c r="V85" s="2024"/>
      <c r="W85" s="2024"/>
      <c r="X85" s="2024"/>
      <c r="Y85" s="2024"/>
      <c r="Z85" s="2024"/>
      <c r="AA85" s="2024"/>
      <c r="AB85" s="2024"/>
      <c r="AC85" s="2024"/>
    </row>
    <row r="86" spans="1:29">
      <c r="A86" s="726"/>
      <c r="B86" s="672"/>
      <c r="C86" s="882">
        <v>0.5</v>
      </c>
      <c r="D86" s="882">
        <v>0.6</v>
      </c>
      <c r="E86" s="882">
        <v>0.7</v>
      </c>
      <c r="F86" s="882">
        <v>0.8</v>
      </c>
      <c r="G86" s="882">
        <v>0.9</v>
      </c>
      <c r="H86" s="882">
        <v>1.0001</v>
      </c>
      <c r="I86" s="893"/>
      <c r="J86" s="893"/>
      <c r="K86" s="894"/>
      <c r="L86" s="895"/>
      <c r="M86" s="896"/>
      <c r="N86" s="2042"/>
      <c r="O86" s="2042"/>
      <c r="P86" s="2043"/>
      <c r="Q86" s="2036"/>
      <c r="R86" s="2024"/>
      <c r="S86" s="2024"/>
      <c r="T86" s="2024"/>
      <c r="U86" s="2024"/>
      <c r="V86" s="2024"/>
      <c r="W86" s="2024"/>
      <c r="X86" s="2024"/>
      <c r="Y86" s="2024"/>
      <c r="Z86" s="2024"/>
      <c r="AA86" s="2024"/>
      <c r="AB86" s="2024"/>
      <c r="AC86" s="2024"/>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6"/>
      <c r="B88" s="672" t="s">
        <v>811</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4"/>
      <c r="O89" s="2044"/>
      <c r="P89" s="2043"/>
      <c r="Q89" s="2036"/>
      <c r="R89" s="2024"/>
      <c r="S89" s="2024"/>
      <c r="T89" s="2024"/>
      <c r="U89" s="2024"/>
      <c r="V89" s="2024"/>
      <c r="W89" s="2024"/>
      <c r="X89" s="2024"/>
      <c r="Y89" s="2024"/>
      <c r="Z89" s="2024"/>
      <c r="AA89" s="2024"/>
      <c r="AB89" s="2024"/>
      <c r="AC89" s="2024"/>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5"/>
      <c r="O90" s="2045"/>
      <c r="P90" s="2046"/>
      <c r="Q90" s="2047"/>
      <c r="R90" s="2048"/>
      <c r="S90" s="2048"/>
      <c r="T90" s="2048"/>
      <c r="U90" s="2048"/>
      <c r="V90" s="2048"/>
      <c r="W90" s="2048"/>
      <c r="X90" s="2048"/>
      <c r="Y90" s="2048"/>
      <c r="Z90" s="2048"/>
      <c r="AA90" s="2048"/>
      <c r="AB90" s="2048"/>
      <c r="AC90" s="2048"/>
    </row>
    <row r="91" spans="1:29" s="1292" customFormat="1">
      <c r="A91" s="719"/>
      <c r="B91" s="672"/>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2" customFormat="1" ht="15.75" thickBot="1">
      <c r="A92" s="678"/>
      <c r="B92" s="669"/>
      <c r="C92" s="683"/>
      <c r="D92" s="662"/>
      <c r="E92" s="662"/>
      <c r="F92" s="662"/>
      <c r="G92" s="662"/>
      <c r="H92" s="662"/>
      <c r="I92" s="662"/>
      <c r="J92" s="662"/>
      <c r="K92" s="662"/>
      <c r="L92" s="662"/>
      <c r="M92" s="663"/>
      <c r="N92" s="2045"/>
      <c r="O92" s="2045"/>
      <c r="P92" s="2046"/>
      <c r="Q92" s="2047"/>
      <c r="R92" s="2048"/>
      <c r="S92" s="2048"/>
      <c r="T92" s="2048"/>
      <c r="U92" s="2048"/>
      <c r="V92" s="2048"/>
      <c r="W92" s="2048"/>
      <c r="X92" s="2048"/>
      <c r="Y92" s="2048"/>
      <c r="Z92" s="2048"/>
      <c r="AA92" s="2048"/>
      <c r="AB92" s="2048"/>
      <c r="AC92" s="2048"/>
    </row>
    <row r="93" spans="1:29" ht="15" thickTop="1">
      <c r="A93" s="726"/>
      <c r="B93" s="664" t="s">
        <v>813</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814</v>
      </c>
      <c r="C95" s="591"/>
      <c r="D95" s="591"/>
      <c r="E95" s="591"/>
      <c r="F95" s="591"/>
      <c r="G95" s="591"/>
      <c r="H95" s="591"/>
      <c r="I95" s="591"/>
      <c r="J95" s="591"/>
      <c r="K95" s="657"/>
      <c r="L95" s="658"/>
      <c r="M95" s="659"/>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4"/>
      <c r="O96" s="2044"/>
      <c r="P96" s="2043"/>
      <c r="Q96" s="2036"/>
      <c r="R96" s="2024"/>
      <c r="S96" s="2024"/>
      <c r="T96" s="2024"/>
      <c r="U96" s="2024"/>
      <c r="V96" s="2024"/>
      <c r="W96" s="2024"/>
      <c r="X96" s="2024"/>
      <c r="Y96" s="2024"/>
      <c r="Z96" s="2024"/>
      <c r="AA96" s="2024"/>
      <c r="AB96" s="2024"/>
      <c r="AC96" s="2024"/>
    </row>
    <row r="97" spans="1:29" ht="15" thickTop="1">
      <c r="A97" s="726"/>
      <c r="B97" s="905">
        <f>B34</f>
        <v>111</v>
      </c>
      <c r="C97" s="534"/>
      <c r="D97" s="534"/>
      <c r="E97" s="534"/>
      <c r="F97" s="534"/>
      <c r="G97" s="679"/>
      <c r="H97" s="680"/>
      <c r="I97" s="680"/>
      <c r="J97" s="680"/>
      <c r="K97" s="680"/>
      <c r="L97" s="681"/>
      <c r="M97" s="682"/>
      <c r="N97" s="2044"/>
      <c r="O97" s="2044"/>
      <c r="P97" s="2083"/>
      <c r="Q97" s="2084"/>
      <c r="R97" s="2024"/>
      <c r="S97" s="2024"/>
      <c r="T97" s="2024"/>
      <c r="U97" s="2024"/>
      <c r="V97" s="2024"/>
      <c r="W97" s="2024"/>
      <c r="X97" s="2024"/>
      <c r="Y97" s="2024"/>
      <c r="Z97" s="2024"/>
      <c r="AA97" s="2024"/>
      <c r="AB97" s="2024"/>
      <c r="AC97" s="2024"/>
    </row>
    <row r="98" spans="1:29" ht="15.75" thickBot="1">
      <c r="A98" s="660"/>
      <c r="B98" s="669"/>
      <c r="C98" s="683"/>
      <c r="D98" s="662"/>
      <c r="E98" s="662"/>
      <c r="F98" s="662"/>
      <c r="G98" s="683"/>
      <c r="H98" s="684"/>
      <c r="I98" s="684"/>
      <c r="J98" s="684"/>
      <c r="K98" s="684"/>
      <c r="L98" s="684"/>
      <c r="M98" s="685"/>
      <c r="N98" s="2044"/>
      <c r="O98" s="2044"/>
      <c r="P98" s="2043"/>
      <c r="Q98" s="2036"/>
      <c r="R98" s="2024"/>
      <c r="S98" s="2024"/>
      <c r="T98" s="2024"/>
      <c r="U98" s="2024"/>
      <c r="V98" s="2024"/>
      <c r="W98" s="2024"/>
      <c r="X98" s="2024"/>
      <c r="Y98" s="2024"/>
      <c r="Z98" s="2024"/>
      <c r="AA98" s="2024"/>
      <c r="AB98" s="2024"/>
      <c r="AC98" s="2024"/>
    </row>
    <row r="99" spans="1:29" s="1292" customFormat="1" ht="15" thickTop="1">
      <c r="A99" s="719"/>
      <c r="B99" s="664">
        <f>B35</f>
        <v>111</v>
      </c>
      <c r="C99" s="534"/>
      <c r="D99" s="534"/>
      <c r="E99" s="534"/>
      <c r="F99" s="534"/>
      <c r="G99" s="679"/>
      <c r="H99" s="680"/>
      <c r="I99" s="680"/>
      <c r="J99" s="680"/>
      <c r="K99" s="680"/>
      <c r="L99" s="681"/>
      <c r="M99" s="682"/>
      <c r="N99" s="2045"/>
      <c r="O99" s="2045"/>
      <c r="P99" s="2046"/>
      <c r="Q99" s="2047"/>
      <c r="R99" s="2048"/>
      <c r="S99" s="2048"/>
      <c r="T99" s="2048"/>
      <c r="U99" s="2048"/>
      <c r="V99" s="2048"/>
      <c r="W99" s="2048"/>
      <c r="X99" s="2048"/>
      <c r="Y99" s="2048"/>
      <c r="Z99" s="2048"/>
      <c r="AA99" s="2048"/>
      <c r="AB99" s="2048"/>
      <c r="AC99" s="2048"/>
    </row>
    <row r="100" spans="1:29" s="1292" customFormat="1" ht="15.75" thickBot="1">
      <c r="A100" s="678"/>
      <c r="B100" s="661"/>
      <c r="C100" s="683"/>
      <c r="D100" s="662"/>
      <c r="E100" s="662"/>
      <c r="F100" s="662"/>
      <c r="G100" s="683"/>
      <c r="H100" s="684"/>
      <c r="I100" s="684"/>
      <c r="J100" s="684"/>
      <c r="K100" s="684"/>
      <c r="L100" s="684"/>
      <c r="M100" s="685"/>
      <c r="N100" s="2045"/>
      <c r="O100" s="2045"/>
      <c r="P100" s="2046"/>
      <c r="Q100" s="2047"/>
      <c r="R100" s="2048"/>
      <c r="S100" s="2048"/>
      <c r="T100" s="2048"/>
      <c r="U100" s="2048"/>
      <c r="V100" s="2048"/>
      <c r="W100" s="2048"/>
      <c r="X100" s="2048"/>
      <c r="Y100" s="2048"/>
      <c r="Z100" s="2048"/>
      <c r="AA100" s="2048"/>
      <c r="AB100" s="2048"/>
      <c r="AC100" s="2048"/>
    </row>
    <row r="101" spans="1:29" ht="15" thickTop="1">
      <c r="A101" s="726"/>
      <c r="B101" s="664">
        <f>B36</f>
        <v>111</v>
      </c>
      <c r="C101" s="679"/>
      <c r="D101" s="679"/>
      <c r="E101" s="679"/>
      <c r="F101" s="679"/>
      <c r="G101" s="679"/>
      <c r="H101" s="680"/>
      <c r="I101" s="680"/>
      <c r="J101" s="680"/>
      <c r="K101" s="680"/>
      <c r="L101" s="681"/>
      <c r="M101" s="682"/>
      <c r="N101" s="204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83"/>
      <c r="D102" s="683"/>
      <c r="E102" s="683"/>
      <c r="F102" s="683"/>
      <c r="G102" s="683"/>
      <c r="H102" s="684"/>
      <c r="I102" s="684"/>
      <c r="J102" s="684"/>
      <c r="K102" s="684"/>
      <c r="L102" s="684"/>
      <c r="M102" s="685"/>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33" sqref="D33"/>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1716</v>
      </c>
      <c r="B1" s="729"/>
      <c r="C1" s="762" t="s">
        <v>3050</v>
      </c>
      <c r="D1" s="2795" t="s">
        <v>3083</v>
      </c>
      <c r="E1" s="2239" t="s">
        <v>862</v>
      </c>
      <c r="F1" s="2240">
        <f ca="1">J53</f>
        <v>47.82</v>
      </c>
      <c r="G1" s="3256">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461</v>
      </c>
      <c r="B2" s="764">
        <f ca="1">C40+J29+L46</f>
        <v>3400</v>
      </c>
      <c r="C2" s="3261"/>
      <c r="D2" s="3262"/>
      <c r="E2" s="3263"/>
      <c r="F2" s="3263"/>
      <c r="G2" s="3257"/>
      <c r="H2" s="1937"/>
      <c r="I2" s="1937"/>
      <c r="J2" s="1937"/>
      <c r="K2" s="1938"/>
      <c r="L2" s="1937"/>
      <c r="M2" s="1937"/>
    </row>
    <row r="3" spans="1:33" ht="18" customHeight="1" thickBot="1">
      <c r="A3" s="821" t="s">
        <v>789</v>
      </c>
      <c r="B3" s="822">
        <f ca="1">IF(ISERROR(B2*10000/F43),0,ROUND(B2*10000/F43,0))</f>
        <v>1255</v>
      </c>
      <c r="C3" s="3261"/>
      <c r="D3" s="3262"/>
      <c r="E3" s="3263"/>
      <c r="F3" s="3263"/>
      <c r="G3" s="3257"/>
      <c r="H3" s="765" t="s">
        <v>689</v>
      </c>
      <c r="I3" s="1315"/>
      <c r="J3" s="1315"/>
      <c r="K3" s="1523"/>
      <c r="L3" s="1315"/>
      <c r="M3" s="1315"/>
    </row>
    <row r="4" spans="1:33" ht="18" customHeight="1">
      <c r="A4" s="766" t="s">
        <v>1719</v>
      </c>
      <c r="B4" s="767" t="s">
        <v>625</v>
      </c>
      <c r="C4" s="767" t="s">
        <v>1721</v>
      </c>
      <c r="D4" s="767" t="s">
        <v>627</v>
      </c>
      <c r="E4" s="768" t="s">
        <v>628</v>
      </c>
      <c r="F4" s="769"/>
      <c r="G4" s="1942"/>
      <c r="H4" s="766" t="s">
        <v>1719</v>
      </c>
      <c r="I4" s="767" t="s">
        <v>625</v>
      </c>
      <c r="J4" s="767" t="s">
        <v>1721</v>
      </c>
      <c r="K4" s="767" t="s">
        <v>1726</v>
      </c>
      <c r="L4" s="768" t="s">
        <v>628</v>
      </c>
      <c r="M4" s="769"/>
    </row>
    <row r="5" spans="1:33" ht="18" customHeight="1">
      <c r="A5" s="770">
        <v>1</v>
      </c>
      <c r="B5" s="771" t="s">
        <v>2439</v>
      </c>
      <c r="C5" s="55">
        <f ca="1">C6+C10+C12</f>
        <v>382</v>
      </c>
      <c r="D5" s="2346" t="s">
        <v>2442</v>
      </c>
      <c r="E5" s="2340"/>
      <c r="F5" s="2341"/>
      <c r="G5" s="1942"/>
      <c r="H5" s="770">
        <v>1</v>
      </c>
      <c r="I5" s="771" t="s">
        <v>2439</v>
      </c>
      <c r="J5" s="55">
        <f ca="1">J6+J10+J12</f>
        <v>0</v>
      </c>
      <c r="K5" s="2346" t="s">
        <v>2442</v>
      </c>
      <c r="L5" s="2340"/>
      <c r="M5" s="2341"/>
    </row>
    <row r="6" spans="1:33" ht="18" customHeight="1">
      <c r="A6" s="1743" t="s">
        <v>1815</v>
      </c>
      <c r="B6" s="3580" t="s">
        <v>2444</v>
      </c>
      <c r="C6" s="772">
        <f ca="1">ROUND(F6*F8*F7*(1-F9)/10000,0)</f>
        <v>382</v>
      </c>
      <c r="D6" s="2347" t="s">
        <v>2443</v>
      </c>
      <c r="E6" s="773" t="s">
        <v>631</v>
      </c>
      <c r="F6" s="774">
        <f ca="1">INDIRECT("'数据-取费表'!u"&amp;$G$1)</f>
        <v>350</v>
      </c>
      <c r="G6" s="1942"/>
      <c r="H6" s="2354" t="s">
        <v>1815</v>
      </c>
      <c r="I6" s="3580" t="s">
        <v>2444</v>
      </c>
      <c r="J6" s="772">
        <f ca="1">ROUND(M6*M8*M7*(1-M9)/10000,0)</f>
        <v>0</v>
      </c>
      <c r="K6" s="338" t="s">
        <v>1728</v>
      </c>
      <c r="L6" s="773" t="s">
        <v>631</v>
      </c>
      <c r="M6" s="774">
        <f ca="1">INDIRECT("'数据-取费表'!z"&amp;$G$1)</f>
        <v>0</v>
      </c>
    </row>
    <row r="7" spans="1:33" ht="18" customHeight="1">
      <c r="A7" s="2350"/>
      <c r="B7" s="3581"/>
      <c r="C7" s="777"/>
      <c r="D7" s="778"/>
      <c r="E7" s="773" t="s">
        <v>1730</v>
      </c>
      <c r="F7" s="774">
        <f ca="1">IF(INDIRECT("'数据-取费表'!ah"&amp;$G$1)="",INDIRECT("'数据-取费表'!k"&amp;$G$1),INDIRECT("'数据-取费表'!ah"&amp;$G$1))</f>
        <v>1011</v>
      </c>
      <c r="G7" s="1942"/>
      <c r="H7" s="2339"/>
      <c r="I7" s="3581"/>
      <c r="J7" s="777"/>
      <c r="K7" s="778"/>
      <c r="L7" s="773" t="s">
        <v>1730</v>
      </c>
      <c r="M7" s="774">
        <f ca="1">F7</f>
        <v>1011</v>
      </c>
    </row>
    <row r="8" spans="1:33" ht="18" customHeight="1">
      <c r="A8" s="2343"/>
      <c r="B8" s="3582"/>
      <c r="C8" s="777"/>
      <c r="D8" s="778"/>
      <c r="E8" s="773" t="s">
        <v>633</v>
      </c>
      <c r="F8" s="774">
        <f ca="1">INDIRECT("'数据-取费表'!ai"&amp;$G$1)</f>
        <v>12</v>
      </c>
      <c r="G8" s="1942"/>
      <c r="H8" s="2339"/>
      <c r="I8" s="3582"/>
      <c r="J8" s="777"/>
      <c r="K8" s="778"/>
      <c r="L8" s="773" t="s">
        <v>633</v>
      </c>
      <c r="M8" s="774">
        <f ca="1">INDIRECT("'数据-取费表'!ai"&amp;$G$1)</f>
        <v>12</v>
      </c>
    </row>
    <row r="9" spans="1:33" ht="18" customHeight="1">
      <c r="A9" s="775"/>
      <c r="B9" s="3583"/>
      <c r="C9" s="777"/>
      <c r="D9" s="778"/>
      <c r="E9" s="773" t="s">
        <v>1732</v>
      </c>
      <c r="F9" s="783">
        <f ca="1">INDIRECT("'数据-取费表'!w"&amp;$G$1)</f>
        <v>0.1</v>
      </c>
      <c r="G9" s="1942"/>
      <c r="H9" s="2355"/>
      <c r="I9" s="3582"/>
      <c r="J9" s="777"/>
      <c r="K9" s="778"/>
      <c r="L9" s="784" t="s">
        <v>1732</v>
      </c>
      <c r="M9" s="785">
        <f ca="1">INDIRECT("'数据-取费表'!ab"&amp;$G$1)</f>
        <v>0</v>
      </c>
    </row>
    <row r="10" spans="1:33" ht="18" customHeight="1">
      <c r="A10" s="1743" t="s">
        <v>1816</v>
      </c>
      <c r="B10" s="2344" t="s">
        <v>2440</v>
      </c>
      <c r="C10" s="788">
        <f ca="1">ROUND(IF(F10="押一",C6/12*F11,IF(F10="押二",C6/12*2*F11,IF(F10="押三",C6/12*3*F11,C11*F11))),0)</f>
        <v>0</v>
      </c>
      <c r="D10" s="2351" t="s">
        <v>2937</v>
      </c>
      <c r="E10" s="2348" t="s">
        <v>2445</v>
      </c>
      <c r="F10" s="2462" t="s">
        <v>3149</v>
      </c>
      <c r="G10" s="1942"/>
      <c r="H10" s="2411" t="s">
        <v>1816</v>
      </c>
      <c r="I10" s="2416" t="s">
        <v>2440</v>
      </c>
      <c r="J10" s="772">
        <f ca="1">ROUND(IF(M10="押一",J6/12*M11,IF(M10="押二",J6/12*2*M11,IF(M10="押三",J6/12*3*M11,J11*M11))),0)</f>
        <v>0</v>
      </c>
      <c r="K10" s="2351" t="s">
        <v>2937</v>
      </c>
      <c r="L10" s="2348" t="s">
        <v>2445</v>
      </c>
      <c r="M10" s="2462"/>
    </row>
    <row r="11" spans="1:33" ht="18" customHeight="1">
      <c r="A11" s="779"/>
      <c r="B11" s="2345" t="s">
        <v>2554</v>
      </c>
      <c r="C11" s="2349"/>
      <c r="D11" s="778"/>
      <c r="E11" s="2348" t="s">
        <v>2437</v>
      </c>
      <c r="F11" s="785">
        <f ca="1">'数据-取费表'!B39</f>
        <v>1.4999999999999999E-2</v>
      </c>
      <c r="G11" s="1942"/>
      <c r="H11" s="2412"/>
      <c r="I11" s="2345" t="s">
        <v>2554</v>
      </c>
      <c r="J11" s="2349"/>
      <c r="K11" s="2413"/>
      <c r="L11" s="2348" t="s">
        <v>2437</v>
      </c>
      <c r="M11" s="2342">
        <f ca="1">'数据-取费表'!B39</f>
        <v>1.4999999999999999E-2</v>
      </c>
    </row>
    <row r="12" spans="1:33" ht="18" customHeight="1" thickBot="1">
      <c r="A12" s="2387" t="s">
        <v>2448</v>
      </c>
      <c r="B12" s="2388" t="s">
        <v>2441</v>
      </c>
      <c r="C12" s="2389"/>
      <c r="D12" s="2390"/>
      <c r="E12" s="2391"/>
      <c r="F12" s="2392"/>
      <c r="G12" s="1942"/>
      <c r="H12" s="2401" t="s">
        <v>2448</v>
      </c>
      <c r="I12" s="2414" t="s">
        <v>2441</v>
      </c>
      <c r="J12" s="2415"/>
      <c r="K12" s="2390"/>
      <c r="L12" s="2391"/>
      <c r="M12" s="2404"/>
    </row>
    <row r="13" spans="1:33" ht="18" customHeight="1" thickTop="1">
      <c r="A13" s="1742">
        <v>2</v>
      </c>
      <c r="B13" s="1740" t="s">
        <v>1733</v>
      </c>
      <c r="C13" s="781">
        <f ca="1">ROUND(C29*F13,0)</f>
        <v>9227</v>
      </c>
      <c r="D13" s="1747" t="s">
        <v>2284</v>
      </c>
      <c r="E13" s="1747" t="s">
        <v>637</v>
      </c>
      <c r="F13" s="2386">
        <f ca="1">INDIRECT("'数据-取费表'!y"&amp;$G$1)</f>
        <v>1</v>
      </c>
      <c r="G13" s="1942"/>
      <c r="H13" s="1742">
        <v>2</v>
      </c>
      <c r="I13" s="1740" t="s">
        <v>1733</v>
      </c>
      <c r="J13" s="1732">
        <f ca="1">ROUND(J14*J15,0)</f>
        <v>0</v>
      </c>
      <c r="K13" s="1734" t="s">
        <v>1734</v>
      </c>
      <c r="L13" s="2402"/>
      <c r="M13" s="2403"/>
    </row>
    <row r="14" spans="1:33" ht="18" customHeight="1">
      <c r="A14" s="1574" t="s">
        <v>1822</v>
      </c>
      <c r="B14" s="773" t="s">
        <v>639</v>
      </c>
      <c r="C14" s="793">
        <f ca="1">INDIRECT("'数据-取费表'!m"&amp;$G$1)+INDIRECT("'数据-取费表'!t"&amp;$G$1)</f>
        <v>6775</v>
      </c>
      <c r="D14" s="3284" t="s">
        <v>640</v>
      </c>
      <c r="E14" s="3285"/>
      <c r="F14" s="794"/>
      <c r="G14" s="1942"/>
      <c r="H14" s="1575" t="s">
        <v>1815</v>
      </c>
      <c r="I14" s="2108" t="s">
        <v>2804</v>
      </c>
      <c r="J14" s="53">
        <f ca="1">C29</f>
        <v>9227</v>
      </c>
      <c r="K14" s="26"/>
      <c r="L14" s="790"/>
      <c r="M14" s="791"/>
    </row>
    <row r="15" spans="1:33" s="1944" customFormat="1" ht="18" customHeight="1" thickBot="1">
      <c r="A15" s="1574" t="s">
        <v>1823</v>
      </c>
      <c r="B15" s="773" t="s">
        <v>641</v>
      </c>
      <c r="C15" s="53">
        <f ca="1">ROUND(C14*F15,0)</f>
        <v>203</v>
      </c>
      <c r="D15" s="795" t="s">
        <v>1737</v>
      </c>
      <c r="E15" s="795" t="s">
        <v>643</v>
      </c>
      <c r="F15" s="796">
        <f>'数据-取费表'!B33</f>
        <v>0.03</v>
      </c>
      <c r="G15" s="3258"/>
      <c r="H15" s="2401" t="s">
        <v>1880</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1824</v>
      </c>
      <c r="B16" s="773" t="s">
        <v>644</v>
      </c>
      <c r="C16" s="53">
        <f ca="1">ROUND(INDIRECT("'数据-取费表'!m"&amp;$G$1)*F16,0)</f>
        <v>0</v>
      </c>
      <c r="D16" s="773" t="s">
        <v>1737</v>
      </c>
      <c r="E16" s="773" t="s">
        <v>643</v>
      </c>
      <c r="F16" s="798">
        <f ca="1">IF(INDIRECT("'数据-取费表'!c"&amp;$G$1)="住宅",'数据-取费表'!B34,0)</f>
        <v>0</v>
      </c>
      <c r="G16" s="1942"/>
      <c r="H16" s="1742" t="s">
        <v>1739</v>
      </c>
      <c r="I16" s="1740" t="s">
        <v>645</v>
      </c>
      <c r="J16" s="781">
        <f ca="1">ROUND(J17+J22+J23+J24,0)</f>
        <v>939</v>
      </c>
      <c r="K16" s="1734" t="s">
        <v>1741</v>
      </c>
      <c r="L16" s="3286"/>
      <c r="M16" s="2341"/>
    </row>
    <row r="17" spans="1:33" s="1944" customFormat="1" ht="18" customHeight="1">
      <c r="A17" s="1574" t="s">
        <v>1878</v>
      </c>
      <c r="B17" s="773" t="s">
        <v>647</v>
      </c>
      <c r="C17" s="53">
        <f ca="1">ROUND(F17*(F43+INDIRECT("'数据-取费表'!S"&amp;$G$1))/10000,0)</f>
        <v>542</v>
      </c>
      <c r="D17" s="773" t="s">
        <v>648</v>
      </c>
      <c r="E17" s="773" t="s">
        <v>649</v>
      </c>
      <c r="F17" s="56">
        <f>'数据-取费表'!B35</f>
        <v>200</v>
      </c>
      <c r="G17" s="3258"/>
      <c r="H17" s="1575" t="s">
        <v>1815</v>
      </c>
      <c r="I17" s="773" t="s">
        <v>650</v>
      </c>
      <c r="J17" s="3016">
        <f ca="1">ROUND(IF(AND(项目基本情况!B11="自然人",项目基本情况!B10="北京市"),J6*M17/(1+'数据-取费表'!C42),J18+J19+J20),0)</f>
        <v>801</v>
      </c>
      <c r="K17" s="3284" t="s">
        <v>651</v>
      </c>
      <c r="L17" s="3283" t="s">
        <v>1745</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3" t="s">
        <v>653</v>
      </c>
      <c r="C18" s="53">
        <f ca="1">ROUND(C14*F18,0)</f>
        <v>102</v>
      </c>
      <c r="D18" s="773" t="s">
        <v>1737</v>
      </c>
      <c r="E18" s="773" t="s">
        <v>643</v>
      </c>
      <c r="F18" s="798">
        <f>'数据-取费表'!B36</f>
        <v>1.4999999999999999E-2</v>
      </c>
      <c r="G18" s="3258"/>
      <c r="H18" s="1574" t="s">
        <v>1822</v>
      </c>
      <c r="I18" s="773" t="s">
        <v>654</v>
      </c>
      <c r="J18" s="53">
        <f ca="1">ROUND(J6*M18/(1+'数据-取费表'!C42),1)</f>
        <v>0</v>
      </c>
      <c r="K18" s="3283" t="s">
        <v>1747</v>
      </c>
      <c r="L18" s="773" t="s">
        <v>643</v>
      </c>
      <c r="M18" s="798">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1815</v>
      </c>
      <c r="B19" s="773" t="s">
        <v>656</v>
      </c>
      <c r="C19" s="53">
        <f ca="1">SUM(C14:C18)</f>
        <v>7622</v>
      </c>
      <c r="D19" s="258" t="s">
        <v>657</v>
      </c>
      <c r="E19" s="3288"/>
      <c r="F19" s="56"/>
      <c r="G19" s="1942"/>
      <c r="H19" s="1574" t="s">
        <v>1823</v>
      </c>
      <c r="I19" s="773" t="s">
        <v>1749</v>
      </c>
      <c r="J19" s="53">
        <f ca="1">IF(K19="按租金收入计税",ROUND(J6*M19/(1+'数据-取费表'!C42),1),ROUND(C29*F33*0.7,1))</f>
        <v>775.1</v>
      </c>
      <c r="K19" s="799" t="s">
        <v>659</v>
      </c>
      <c r="L19" s="773" t="s">
        <v>643</v>
      </c>
      <c r="M19" s="798">
        <f>IF(K19="按租金收入计税",'数据-取费表'!B51,'数据-取费表'!B50)</f>
        <v>1.2E-2</v>
      </c>
    </row>
    <row r="20" spans="1:33" s="1944" customFormat="1" ht="18" customHeight="1">
      <c r="A20" s="1575" t="s">
        <v>1880</v>
      </c>
      <c r="B20" s="773" t="s">
        <v>660</v>
      </c>
      <c r="C20" s="53">
        <f ca="1">ROUND(C19*F20,0)</f>
        <v>152</v>
      </c>
      <c r="D20" s="800" t="s">
        <v>1750</v>
      </c>
      <c r="E20" s="773" t="s">
        <v>643</v>
      </c>
      <c r="F20" s="798">
        <f>'数据-取费表'!B37</f>
        <v>0.02</v>
      </c>
      <c r="G20" s="3258"/>
      <c r="H20" s="1577" t="s">
        <v>1824</v>
      </c>
      <c r="I20" s="338" t="s">
        <v>662</v>
      </c>
      <c r="J20" s="54">
        <f ca="1">ROUND(M20*M21/10000,0)</f>
        <v>26</v>
      </c>
      <c r="K20" s="802" t="s">
        <v>1752</v>
      </c>
      <c r="L20" s="773" t="s">
        <v>664</v>
      </c>
      <c r="M20" s="631">
        <f>'数据-取费表'!B52</f>
        <v>30</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3" t="s">
        <v>1754</v>
      </c>
      <c r="C21" s="53" t="s">
        <v>1755</v>
      </c>
      <c r="D21" s="800" t="s">
        <v>2285</v>
      </c>
      <c r="E21" s="773" t="s">
        <v>667</v>
      </c>
      <c r="F21" s="798">
        <f>'数据-取费表'!B38</f>
        <v>0.02</v>
      </c>
      <c r="G21" s="3258"/>
      <c r="H21" s="2356"/>
      <c r="I21" s="782"/>
      <c r="J21" s="69"/>
      <c r="K21" s="804"/>
      <c r="L21" s="773" t="s">
        <v>1757</v>
      </c>
      <c r="M21" s="774">
        <f ca="1">INDIRECT("'数据-取费表'!r"&amp;$G$1)</f>
        <v>8620.02</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3" t="s">
        <v>1758</v>
      </c>
      <c r="C22" s="53"/>
      <c r="D22" s="2421" t="str">
        <f>IF(F23&lt;=1,"单利计息。","复利计息。")&amp;"建造成本、管理费用、销售费用产生的利息。"</f>
        <v>复利计息。建造成本、管理费用、销售费用产生的利息。</v>
      </c>
      <c r="E22" s="3288"/>
      <c r="F22" s="56"/>
      <c r="G22" s="1942"/>
      <c r="H22" s="1575" t="s">
        <v>1880</v>
      </c>
      <c r="I22" s="773" t="s">
        <v>1759</v>
      </c>
      <c r="J22" s="53">
        <f ca="1">ROUND(J14*M22,0)</f>
        <v>138</v>
      </c>
      <c r="K22" s="3283" t="s">
        <v>1760</v>
      </c>
      <c r="L22" s="773" t="s">
        <v>643</v>
      </c>
      <c r="M22" s="805">
        <f ca="1">INDIRECT("'数据-取费表'!Ak"&amp;$G$1)</f>
        <v>1.4999999999999999E-2</v>
      </c>
    </row>
    <row r="23" spans="1:33" s="1944" customFormat="1" ht="18" customHeight="1">
      <c r="A23" s="1574" t="s">
        <v>1822</v>
      </c>
      <c r="B23" s="773" t="s">
        <v>2420</v>
      </c>
      <c r="C23" s="53">
        <f ca="1">ROUND(IF('数据-取费表'!B22&lt;=1,(C19+C20)*F24*F23/2,(C19+C20)*(POWER((1+F24),F23/2)-1)),0)</f>
        <v>369</v>
      </c>
      <c r="D23" s="2420" t="str">
        <f>IF(F23&lt;=1,"(建造成本+管理费用)×利率×(建设周期÷2)","(建造成本+管理费用)×((1+利率)^(建设周期÷2)-1)")</f>
        <v>(建造成本+管理费用)×((1+利率)^(建设周期÷2)-1)</v>
      </c>
      <c r="E23" s="773" t="s">
        <v>1761</v>
      </c>
      <c r="F23" s="631">
        <f>'数据-取费表'!B20</f>
        <v>2</v>
      </c>
      <c r="G23" s="3258"/>
      <c r="H23" s="1575" t="s">
        <v>1881</v>
      </c>
      <c r="I23" s="773" t="s">
        <v>673</v>
      </c>
      <c r="J23" s="53">
        <f ca="1">ROUND(J13*M23,0)</f>
        <v>0</v>
      </c>
      <c r="K23" s="3283" t="s">
        <v>1762</v>
      </c>
      <c r="L23" s="773" t="s">
        <v>643</v>
      </c>
      <c r="M23" s="806">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3" t="s">
        <v>675</v>
      </c>
      <c r="C24" s="53">
        <f ca="1">ROUND(IF('数据-取费表'!B22&lt;=1,F21*F24*F23/2,F21*(POWER((1+F24),F23/2)-1)),4)</f>
        <v>1E-3</v>
      </c>
      <c r="D24" s="2420" t="str">
        <f>IF(F23&lt;=1,"销售费用×利率×(建设周期÷2)","销售费用×((1+利率)^(建设周期÷2)-1)")</f>
        <v>销售费用×((1+利率)^(建设周期÷2)-1)</v>
      </c>
      <c r="E24" s="773" t="s">
        <v>676</v>
      </c>
      <c r="F24" s="807">
        <f ca="1">'数据-取费表'!B40</f>
        <v>4.7500000000000001E-2</v>
      </c>
      <c r="G24" s="3258"/>
      <c r="H24" s="2401" t="s">
        <v>1882</v>
      </c>
      <c r="I24" s="2396" t="s">
        <v>660</v>
      </c>
      <c r="J24" s="2394">
        <f ca="1">ROUND(J5*M24,0)</f>
        <v>0</v>
      </c>
      <c r="K24" s="2395" t="s">
        <v>677</v>
      </c>
      <c r="L24" s="2396" t="s">
        <v>643</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3" t="s">
        <v>678</v>
      </c>
      <c r="C25" s="53"/>
      <c r="D25" s="258" t="s">
        <v>1766</v>
      </c>
      <c r="E25" s="3288"/>
      <c r="F25" s="56"/>
      <c r="G25" s="1942"/>
      <c r="H25" s="1742" t="s">
        <v>1767</v>
      </c>
      <c r="I25" s="2720" t="s">
        <v>2801</v>
      </c>
      <c r="J25" s="781">
        <f ca="1">J5-J16</f>
        <v>-939</v>
      </c>
      <c r="K25" s="2398" t="s">
        <v>1768</v>
      </c>
      <c r="L25" s="2399"/>
      <c r="M25" s="2400"/>
    </row>
    <row r="26" spans="1:33" ht="18" customHeight="1">
      <c r="A26" s="1574" t="s">
        <v>1822</v>
      </c>
      <c r="B26" s="773" t="s">
        <v>2421</v>
      </c>
      <c r="C26" s="53">
        <f ca="1">ROUND((C19+C20)*F26,0)</f>
        <v>389</v>
      </c>
      <c r="D26" s="800" t="s">
        <v>695</v>
      </c>
      <c r="E26" s="784" t="s">
        <v>1770</v>
      </c>
      <c r="F26" s="783">
        <f ca="1">INDIRECT("'数据-取费表'!q"&amp;$G$1)</f>
        <v>0.05</v>
      </c>
      <c r="G26" s="1942"/>
      <c r="H26" s="2352" t="s">
        <v>1771</v>
      </c>
      <c r="I26" s="2109" t="s">
        <v>2806</v>
      </c>
      <c r="J26" s="772">
        <f ca="1">IF(J5&lt;&gt;0,ROUND(J25*(1-((1+M28)/(1+M26))^M27)/(M26-M28),0),0)</f>
        <v>0</v>
      </c>
      <c r="K26" s="802" t="s">
        <v>1772</v>
      </c>
      <c r="L26" s="773" t="s">
        <v>2403</v>
      </c>
      <c r="M26" s="783">
        <f ca="1">INDIRECT("'数据-取费表'!I"&amp;$G$1)</f>
        <v>0.05</v>
      </c>
    </row>
    <row r="27" spans="1:33" ht="18" customHeight="1">
      <c r="A27" s="1574" t="s">
        <v>1823</v>
      </c>
      <c r="B27" s="773" t="s">
        <v>680</v>
      </c>
      <c r="C27" s="53">
        <f ca="1">ROUND(F21*F26,4)</f>
        <v>1E-3</v>
      </c>
      <c r="D27" s="800" t="s">
        <v>700</v>
      </c>
      <c r="E27" s="795"/>
      <c r="F27" s="796"/>
      <c r="G27" s="1942"/>
      <c r="H27" s="2353"/>
      <c r="I27" s="776"/>
      <c r="J27" s="777"/>
      <c r="K27" s="809" t="s">
        <v>701</v>
      </c>
      <c r="L27" s="773" t="s">
        <v>1775</v>
      </c>
      <c r="M27" s="810">
        <f ca="1">INDIRECT("'数据-取费表'!ag"&amp;$G$1)</f>
        <v>0</v>
      </c>
    </row>
    <row r="28" spans="1:33" s="1944" customFormat="1" ht="18" customHeight="1">
      <c r="A28" s="1576" t="s">
        <v>1832</v>
      </c>
      <c r="B28" s="773" t="s">
        <v>681</v>
      </c>
      <c r="C28" s="53">
        <f>ROUND(F28/(1+'数据-取费表'!C42),4)</f>
        <v>5.33E-2</v>
      </c>
      <c r="D28" s="800" t="s">
        <v>2286</v>
      </c>
      <c r="E28" s="773" t="s">
        <v>643</v>
      </c>
      <c r="F28" s="798">
        <f>'数据-取费表'!B41</f>
        <v>5.6000000000000001E-2</v>
      </c>
      <c r="G28" s="3258"/>
      <c r="H28" s="1742"/>
      <c r="I28" s="780"/>
      <c r="J28" s="781"/>
      <c r="K28" s="804"/>
      <c r="L28" s="773" t="s">
        <v>1777</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2287</v>
      </c>
      <c r="C29" s="2394">
        <f ca="1">ROUND((C19+C20+C23+C26)/(1-F21-C24-C27-C28),0)</f>
        <v>9227</v>
      </c>
      <c r="D29" s="2395"/>
      <c r="E29" s="2396"/>
      <c r="F29" s="2397"/>
      <c r="G29" s="3258"/>
      <c r="H29" s="811" t="s">
        <v>1778</v>
      </c>
      <c r="I29" s="812" t="s">
        <v>1779</v>
      </c>
      <c r="J29" s="813">
        <f ca="1">ROUND(J26/(1+F40)^F41,0)</f>
        <v>0</v>
      </c>
      <c r="K29" s="814" t="s">
        <v>1780</v>
      </c>
      <c r="L29" s="815"/>
      <c r="M29" s="816">
        <f ca="1">INDIRECT("'数据-取费表'!k"&amp;$G$1)</f>
        <v>27101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2" t="s">
        <v>1739</v>
      </c>
      <c r="B30" s="1740" t="s">
        <v>645</v>
      </c>
      <c r="C30" s="781">
        <f ca="1">ROUND(C31+C36+C37+C38,0)</f>
        <v>246</v>
      </c>
      <c r="D30" s="1734" t="s">
        <v>1741</v>
      </c>
      <c r="E30" s="3286"/>
      <c r="F30" s="2341"/>
      <c r="G30" s="1942"/>
      <c r="H30" s="1945"/>
      <c r="I30" s="1946"/>
      <c r="J30" s="1947"/>
      <c r="K30" s="1948"/>
      <c r="L30" s="1949"/>
      <c r="M30" s="1950"/>
    </row>
    <row r="31" spans="1:33" ht="18" customHeight="1">
      <c r="A31" s="1575" t="s">
        <v>1815</v>
      </c>
      <c r="B31" s="773" t="s">
        <v>650</v>
      </c>
      <c r="C31" s="3016">
        <f ca="1">ROUND(IF(AND(项目基本情况!B11="自然人",项目基本情况!B10="北京市"),C6*F31/(1+'数据-取费表'!C42),C32+C33+C34),0)</f>
        <v>90</v>
      </c>
      <c r="D31" s="3284" t="s">
        <v>651</v>
      </c>
      <c r="E31" s="3283" t="s">
        <v>1784</v>
      </c>
      <c r="F31" s="3015" t="str">
        <f>IF(项目基本情况!B11="企业","——",IF('数据-取费表'!B10="住宅",IF(F6*F7*F8/12/(1+'数据-取费表'!F30)&gt;100000,4%,2.5%),IF(F6*F7*F8/12/(1+'数据-取费表'!F30)&gt;100000,12%,7%)))</f>
        <v>——</v>
      </c>
      <c r="G31" s="1942"/>
      <c r="H31" s="3255" t="s">
        <v>2995</v>
      </c>
      <c r="I31" s="1946"/>
      <c r="J31" s="1947"/>
      <c r="K31" s="1948"/>
      <c r="L31" s="1949"/>
      <c r="M31" s="1950"/>
    </row>
    <row r="32" spans="1:33" ht="18" customHeight="1">
      <c r="A32" s="1574" t="s">
        <v>1822</v>
      </c>
      <c r="B32" s="773" t="s">
        <v>654</v>
      </c>
      <c r="C32" s="53">
        <f ca="1">ROUND(C6*F32/(1+'数据-取费表'!C42),1)</f>
        <v>20.399999999999999</v>
      </c>
      <c r="D32" s="3283" t="s">
        <v>1747</v>
      </c>
      <c r="E32" s="773" t="s">
        <v>643</v>
      </c>
      <c r="F32" s="798">
        <f>'数据-取费表'!B41</f>
        <v>5.6000000000000001E-2</v>
      </c>
      <c r="G32" s="1942"/>
      <c r="H32" s="1951"/>
      <c r="I32" s="1952"/>
      <c r="J32" s="1953"/>
      <c r="K32" s="1954"/>
      <c r="L32" s="1955"/>
      <c r="M32" s="1956"/>
    </row>
    <row r="33" spans="1:18" ht="18" customHeight="1">
      <c r="A33" s="1574" t="s">
        <v>1823</v>
      </c>
      <c r="B33" s="773" t="s">
        <v>1749</v>
      </c>
      <c r="C33" s="53">
        <f ca="1">IF(D33="按租金收入计税",ROUND(C6*F33/(1+'数据-取费表'!C42),1),IF(D33="按房产原值计税",ROUND(C29*F33*0.7,1),INDIRECT("'数据-取费表'!Aj"&amp;$G$1)))</f>
        <v>43.7</v>
      </c>
      <c r="D33" s="799" t="s">
        <v>3085</v>
      </c>
      <c r="E33" s="773" t="s">
        <v>643</v>
      </c>
      <c r="F33" s="798">
        <f>IF(D33="按租金收入计税",'数据-取费表'!B51,'数据-取费表'!B50)</f>
        <v>0.12</v>
      </c>
      <c r="G33" s="1942"/>
      <c r="H33" s="1957"/>
      <c r="I33" s="1957"/>
      <c r="J33" s="1957"/>
      <c r="K33" s="1958"/>
      <c r="L33" s="1957"/>
      <c r="M33" s="1957"/>
    </row>
    <row r="34" spans="1:18" ht="18" customHeight="1">
      <c r="A34" s="1577" t="s">
        <v>1824</v>
      </c>
      <c r="B34" s="338" t="s">
        <v>662</v>
      </c>
      <c r="C34" s="54">
        <f ca="1">ROUND(F34*F35/10000,1)</f>
        <v>25.9</v>
      </c>
      <c r="D34" s="802" t="s">
        <v>1752</v>
      </c>
      <c r="E34" s="773" t="s">
        <v>664</v>
      </c>
      <c r="F34" s="631">
        <f>'数据-取费表'!B52</f>
        <v>30</v>
      </c>
      <c r="G34" s="1942"/>
      <c r="H34" s="1945"/>
      <c r="I34" s="823" t="s">
        <v>1804</v>
      </c>
      <c r="J34" s="824"/>
      <c r="K34" s="1960"/>
      <c r="L34" s="1959"/>
      <c r="M34" s="1959"/>
    </row>
    <row r="35" spans="1:18" ht="18" customHeight="1">
      <c r="A35" s="803"/>
      <c r="B35" s="782"/>
      <c r="C35" s="69"/>
      <c r="D35" s="804"/>
      <c r="E35" s="773" t="s">
        <v>1757</v>
      </c>
      <c r="F35" s="774">
        <f ca="1">INDIRECT("'数据-取费表'!r"&amp;$G$1)</f>
        <v>8620.02</v>
      </c>
      <c r="G35" s="1942"/>
      <c r="H35" s="1945"/>
      <c r="I35" s="825" t="s">
        <v>1805</v>
      </c>
      <c r="J35" s="826">
        <f ca="1">ROUND(C13*J36,0)</f>
        <v>784</v>
      </c>
      <c r="K35" s="1958"/>
      <c r="L35" s="1957"/>
      <c r="M35" s="1957"/>
    </row>
    <row r="36" spans="1:18" ht="18" customHeight="1">
      <c r="A36" s="1575" t="s">
        <v>1880</v>
      </c>
      <c r="B36" s="773" t="s">
        <v>1759</v>
      </c>
      <c r="C36" s="53">
        <f ca="1">ROUND(C29*F36,1)</f>
        <v>138.4</v>
      </c>
      <c r="D36" s="3283" t="s">
        <v>685</v>
      </c>
      <c r="E36" s="773" t="s">
        <v>643</v>
      </c>
      <c r="F36" s="805">
        <f ca="1">INDIRECT("'数据-取费表'!Ak"&amp;$G$1)</f>
        <v>1.4999999999999999E-2</v>
      </c>
      <c r="G36" s="1942"/>
      <c r="H36" s="1957"/>
      <c r="I36" s="827" t="s">
        <v>1806</v>
      </c>
      <c r="J36" s="828">
        <f ca="1">INDIRECT("'数据-取费表'!j"&amp;$G$1)</f>
        <v>8.5000000000000006E-2</v>
      </c>
      <c r="K36" s="1961"/>
      <c r="L36" s="1957"/>
      <c r="M36" s="1957"/>
    </row>
    <row r="37" spans="1:18" ht="18" customHeight="1">
      <c r="A37" s="1575" t="s">
        <v>1881</v>
      </c>
      <c r="B37" s="773" t="s">
        <v>673</v>
      </c>
      <c r="C37" s="53">
        <f ca="1">ROUND(C13*F37,1)</f>
        <v>13.8</v>
      </c>
      <c r="D37" s="3283" t="s">
        <v>1762</v>
      </c>
      <c r="E37" s="773" t="s">
        <v>643</v>
      </c>
      <c r="F37" s="806">
        <f ca="1">INDIRECT("'数据-取费表'!Al"&amp;$G$1)</f>
        <v>1.5E-3</v>
      </c>
      <c r="G37" s="1942"/>
      <c r="H37" s="1957"/>
      <c r="I37" s="829" t="s">
        <v>1807</v>
      </c>
      <c r="J37" s="830"/>
      <c r="K37" s="1961"/>
      <c r="L37" s="1957"/>
      <c r="M37" s="1957"/>
    </row>
    <row r="38" spans="1:18" ht="18" customHeight="1" thickBot="1">
      <c r="A38" s="2401" t="s">
        <v>1882</v>
      </c>
      <c r="B38" s="2396" t="s">
        <v>660</v>
      </c>
      <c r="C38" s="2394">
        <f ca="1">ROUND(C5*F38,1)</f>
        <v>3.8</v>
      </c>
      <c r="D38" s="2395" t="s">
        <v>677</v>
      </c>
      <c r="E38" s="2396" t="s">
        <v>643</v>
      </c>
      <c r="F38" s="2392">
        <f ca="1">INDIRECT("'数据-取费表'!Am"&amp;$G$1)</f>
        <v>0.01</v>
      </c>
      <c r="G38" s="1942"/>
      <c r="H38" s="1957"/>
      <c r="I38" s="831" t="s">
        <v>1808</v>
      </c>
      <c r="J38" s="832"/>
      <c r="K38" s="1962"/>
      <c r="L38" s="1957"/>
      <c r="M38" s="1957"/>
    </row>
    <row r="39" spans="1:18" ht="24.6" customHeight="1" thickTop="1">
      <c r="A39" s="1742" t="s">
        <v>1767</v>
      </c>
      <c r="B39" s="2720" t="s">
        <v>2801</v>
      </c>
      <c r="C39" s="781">
        <f ca="1">C5-C30</f>
        <v>136</v>
      </c>
      <c r="D39" s="2398" t="s">
        <v>1768</v>
      </c>
      <c r="E39" s="2399"/>
      <c r="F39" s="2400"/>
      <c r="G39" s="1942"/>
      <c r="H39" s="1957"/>
      <c r="I39" s="825" t="s">
        <v>1809</v>
      </c>
      <c r="J39" s="833">
        <f ca="1">ROUND(J35/C39,3)</f>
        <v>5.7649999999999997</v>
      </c>
      <c r="K39" s="1962"/>
      <c r="L39" s="1957"/>
      <c r="M39" s="1957"/>
    </row>
    <row r="40" spans="1:18" ht="18" customHeight="1">
      <c r="A40" s="770" t="s">
        <v>1771</v>
      </c>
      <c r="B40" s="2109" t="s">
        <v>2288</v>
      </c>
      <c r="C40" s="772">
        <f ca="1">ROUND(C39*(1-((1+F42)/(1+F40))^F41)/(F40-F42),0)</f>
        <v>3400</v>
      </c>
      <c r="D40" s="802" t="s">
        <v>1772</v>
      </c>
      <c r="E40" s="773" t="s">
        <v>2403</v>
      </c>
      <c r="F40" s="783">
        <f ca="1">INDIRECT("'数据-取费表'!I"&amp;$G$1)</f>
        <v>0.05</v>
      </c>
      <c r="G40" s="1942"/>
      <c r="H40" s="1942"/>
      <c r="I40" s="825" t="s">
        <v>1810</v>
      </c>
      <c r="J40" s="833">
        <f ca="1">1-J39</f>
        <v>-4.7649999999999997</v>
      </c>
      <c r="K40" s="1962"/>
      <c r="L40" s="1942"/>
      <c r="M40" s="1942"/>
    </row>
    <row r="41" spans="1:18" ht="18" customHeight="1">
      <c r="A41" s="775"/>
      <c r="B41" s="776"/>
      <c r="C41" s="777"/>
      <c r="D41" s="809" t="s">
        <v>1799</v>
      </c>
      <c r="E41" s="773" t="s">
        <v>1775</v>
      </c>
      <c r="F41" s="810">
        <f ca="1">IF(INDIRECT("'数据-取费表'!af"&amp;$G$1)=0,INDIRECT("'数据-取费表'!ae"&amp;$G$1),INDIRECT("'数据-取费表'!af"&amp;$G$1))</f>
        <v>47.82</v>
      </c>
      <c r="G41" s="1942"/>
      <c r="H41" s="1897"/>
      <c r="I41" s="831" t="s">
        <v>1811</v>
      </c>
      <c r="J41" s="834"/>
      <c r="K41" s="1961"/>
      <c r="L41" s="1897"/>
      <c r="M41" s="1897"/>
    </row>
    <row r="42" spans="1:18" ht="18" customHeight="1">
      <c r="A42" s="779"/>
      <c r="B42" s="780"/>
      <c r="C42" s="781"/>
      <c r="D42" s="804"/>
      <c r="E42" s="773" t="s">
        <v>1777</v>
      </c>
      <c r="F42" s="783">
        <f ca="1">INDIRECT("'数据-取费表'!v"&amp;$G$1)</f>
        <v>0.02</v>
      </c>
      <c r="G42" s="1942"/>
      <c r="H42" s="1897"/>
      <c r="I42" s="835" t="s">
        <v>1812</v>
      </c>
      <c r="J42" s="833">
        <f ca="1">ROUND(C13/C40,3)</f>
        <v>2.714</v>
      </c>
      <c r="K42" s="1961"/>
      <c r="L42" s="1897"/>
      <c r="M42" s="1897"/>
    </row>
    <row r="43" spans="1:18" ht="18" customHeight="1" thickBot="1">
      <c r="A43" s="811" t="s">
        <v>1778</v>
      </c>
      <c r="B43" s="812" t="s">
        <v>1801</v>
      </c>
      <c r="C43" s="813">
        <f ca="1">ROUND(C40*10000/F43,0)</f>
        <v>1255</v>
      </c>
      <c r="D43" s="814" t="s">
        <v>1802</v>
      </c>
      <c r="E43" s="815" t="s">
        <v>1803</v>
      </c>
      <c r="F43" s="816">
        <f ca="1">INDIRECT("'数据-取费表'!k"&amp;$G$1)</f>
        <v>27101</v>
      </c>
      <c r="G43" s="1942"/>
      <c r="H43" s="1897"/>
      <c r="I43" s="835" t="s">
        <v>1813</v>
      </c>
      <c r="J43" s="836">
        <f ca="1">1-J42</f>
        <v>-1.714</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2282</v>
      </c>
      <c r="B46" s="1964"/>
      <c r="C46" s="2423">
        <f ca="1">C67-C40</f>
        <v>-6615</v>
      </c>
      <c r="D46" s="3259"/>
      <c r="E46" s="3259"/>
      <c r="F46" s="3259"/>
      <c r="I46" s="2230" t="s">
        <v>2327</v>
      </c>
      <c r="J46" s="2231"/>
      <c r="K46" s="2232"/>
      <c r="L46" s="2808">
        <f>IF(OR(M47="住宅",D1="土地（套用方法）"),0,IF(L48&gt;J51,L60,J60))</f>
        <v>0</v>
      </c>
      <c r="M46" s="3260"/>
      <c r="O46" s="2246" t="s">
        <v>2394</v>
      </c>
      <c r="P46" s="1524"/>
      <c r="Q46" s="1532"/>
      <c r="R46" s="1524"/>
    </row>
    <row r="47" spans="1:18" s="1939" customFormat="1" ht="18" customHeight="1" thickBot="1">
      <c r="A47" s="2224">
        <v>1</v>
      </c>
      <c r="B47" s="2225" t="s">
        <v>629</v>
      </c>
      <c r="C47" s="2423">
        <f ca="1">C48+C52+C54</f>
        <v>0</v>
      </c>
      <c r="D47" s="3259"/>
      <c r="E47" s="3259"/>
      <c r="F47" s="3259"/>
      <c r="I47" s="2799" t="s">
        <v>2328</v>
      </c>
      <c r="J47" s="2233" t="s">
        <v>3086</v>
      </c>
      <c r="K47" s="2805" t="s">
        <v>2333</v>
      </c>
      <c r="L47" s="2809">
        <f ca="1">INDIRECT("'数据-取费表'!d"&amp;$G$1)</f>
        <v>50</v>
      </c>
      <c r="M47" s="1532" t="str">
        <f>IF(ISNUMBER(FIND("住宅",C1)),"住宅","非住宅")</f>
        <v>非住宅</v>
      </c>
      <c r="O47" s="2247" t="s">
        <v>2359</v>
      </c>
      <c r="P47" s="2248" t="s">
        <v>2360</v>
      </c>
      <c r="Q47" s="2249" t="s">
        <v>2361</v>
      </c>
      <c r="R47" s="2248" t="s">
        <v>2362</v>
      </c>
    </row>
    <row r="48" spans="1:18" s="1939" customFormat="1" ht="18" customHeight="1" thickBot="1">
      <c r="A48" s="2481" t="s">
        <v>1861</v>
      </c>
      <c r="B48" s="2482" t="s">
        <v>2519</v>
      </c>
      <c r="C48" s="2226">
        <f ca="1">ROUND(F48*F50*F49*(1-F51)/10000,0)</f>
        <v>0</v>
      </c>
      <c r="D48" s="2227" t="s">
        <v>630</v>
      </c>
      <c r="E48" s="2228" t="s">
        <v>2283</v>
      </c>
      <c r="F48" s="2229"/>
      <c r="G48" s="1969"/>
      <c r="I48" s="2796" t="s">
        <v>2329</v>
      </c>
      <c r="J48" s="2234" t="s">
        <v>2334</v>
      </c>
      <c r="K48" s="2806" t="s">
        <v>2335</v>
      </c>
      <c r="L48" s="1819">
        <f ca="1">INDIRECT("'数据-取费表'!f"&amp;$G$1)</f>
        <v>49.82</v>
      </c>
      <c r="M48" s="3260"/>
      <c r="O48" s="2250" t="s">
        <v>2363</v>
      </c>
      <c r="P48" s="2251" t="s">
        <v>2389</v>
      </c>
      <c r="Q48" s="2252">
        <f ca="1">C40+J29</f>
        <v>3400</v>
      </c>
      <c r="R48" s="2251" t="s">
        <v>2364</v>
      </c>
    </row>
    <row r="49" spans="1:18" s="1939" customFormat="1" ht="18" customHeight="1" thickBot="1">
      <c r="A49" s="775"/>
      <c r="B49" s="776"/>
      <c r="C49" s="777"/>
      <c r="D49" s="778"/>
      <c r="E49" s="773" t="s">
        <v>1730</v>
      </c>
      <c r="F49" s="774">
        <f ca="1">F7</f>
        <v>1011</v>
      </c>
      <c r="G49" s="1969"/>
      <c r="H49" s="1972"/>
      <c r="I49" s="2796" t="s">
        <v>2330</v>
      </c>
      <c r="J49" s="2235"/>
      <c r="K49" s="2807" t="s">
        <v>2336</v>
      </c>
      <c r="L49" s="2236"/>
      <c r="M49" s="3260"/>
      <c r="O49" s="2250" t="s">
        <v>2365</v>
      </c>
      <c r="P49" s="2251" t="s">
        <v>2390</v>
      </c>
      <c r="Q49" s="2252" t="str">
        <f ca="1">J60</f>
        <v>0</v>
      </c>
      <c r="R49" s="2251" t="s">
        <v>2366</v>
      </c>
    </row>
    <row r="50" spans="1:18" s="1939" customFormat="1" ht="18" customHeight="1" thickBot="1">
      <c r="A50" s="775"/>
      <c r="B50" s="776"/>
      <c r="C50" s="777"/>
      <c r="D50" s="778"/>
      <c r="E50" s="773" t="s">
        <v>633</v>
      </c>
      <c r="F50" s="774">
        <f ca="1">F8</f>
        <v>12</v>
      </c>
      <c r="G50" s="1974"/>
      <c r="H50" s="1972"/>
      <c r="I50" s="2796" t="s">
        <v>2331</v>
      </c>
      <c r="J50" s="2803">
        <f>SUMPRODUCT((I63:I65=J47)*(J62:L62=J48)*(J63:L65))</f>
        <v>60</v>
      </c>
      <c r="K50" s="2807" t="s">
        <v>2337</v>
      </c>
      <c r="L50" s="2236"/>
      <c r="M50" s="3260"/>
      <c r="O50" s="2253" t="s">
        <v>2367</v>
      </c>
      <c r="P50" s="2251" t="s">
        <v>2391</v>
      </c>
      <c r="Q50" s="2252">
        <f ca="1">C29</f>
        <v>9227</v>
      </c>
      <c r="R50" s="2251" t="s">
        <v>2364</v>
      </c>
    </row>
    <row r="51" spans="1:18" s="1939" customFormat="1" ht="18" customHeight="1" thickBot="1">
      <c r="A51" s="775"/>
      <c r="B51" s="776"/>
      <c r="C51" s="777"/>
      <c r="D51" s="778"/>
      <c r="E51" s="773" t="s">
        <v>634</v>
      </c>
      <c r="F51" s="2223">
        <v>0.1</v>
      </c>
      <c r="H51" s="1972"/>
      <c r="I51" s="2800" t="s">
        <v>2332</v>
      </c>
      <c r="J51" s="2804">
        <f>IF(J49="",J50,J49+J50-YEAR('数据-取费表'!B2))</f>
        <v>60</v>
      </c>
      <c r="K51" s="2796" t="s">
        <v>2338</v>
      </c>
      <c r="L51" s="2810">
        <f ca="1">ROUND(-PV(INDIRECT("'数据-取费表'!h"&amp;$G$1),J51,(C39-C13*J36),0),0)</f>
        <v>-13380</v>
      </c>
      <c r="M51" s="3260"/>
      <c r="O51" s="2253" t="s">
        <v>2368</v>
      </c>
      <c r="P51" s="2251" t="s">
        <v>2369</v>
      </c>
      <c r="Q51" s="2254" t="e">
        <f ca="1">J58</f>
        <v>#VALUE!</v>
      </c>
      <c r="R51" s="2255"/>
    </row>
    <row r="52" spans="1:18" s="1939" customFormat="1" ht="18" customHeight="1" thickBot="1">
      <c r="A52" s="770" t="s">
        <v>2517</v>
      </c>
      <c r="B52" s="2344" t="s">
        <v>2440</v>
      </c>
      <c r="C52" s="788">
        <f ca="1">ROUND(IF(F52="押一",C48/12*F11,IF(F52="押二",C48/12*2*F11,IF(F52="押三",C48/12*3*F11,C53*F11))),0)</f>
        <v>0</v>
      </c>
      <c r="D52" s="2351" t="s">
        <v>2937</v>
      </c>
      <c r="E52" s="2348" t="s">
        <v>2445</v>
      </c>
      <c r="F52" s="2462" t="s">
        <v>3084</v>
      </c>
      <c r="I52" s="2801" t="s">
        <v>2405</v>
      </c>
      <c r="J52" s="2237"/>
      <c r="K52" s="2801" t="s">
        <v>2404</v>
      </c>
      <c r="L52" s="2237"/>
      <c r="M52" s="3260"/>
      <c r="O52" s="2253" t="s">
        <v>2370</v>
      </c>
      <c r="P52" s="2251" t="s">
        <v>2371</v>
      </c>
      <c r="Q52" s="2254">
        <f>J52</f>
        <v>0</v>
      </c>
      <c r="R52" s="2255"/>
    </row>
    <row r="53" spans="1:18" s="1939" customFormat="1" ht="39.75" customHeight="1" thickBot="1">
      <c r="A53" s="775"/>
      <c r="B53" s="2345" t="s">
        <v>2554</v>
      </c>
      <c r="C53" s="2349"/>
      <c r="D53" s="2351"/>
      <c r="E53" s="2348"/>
      <c r="F53" s="789"/>
      <c r="I53" s="2802" t="s">
        <v>2941</v>
      </c>
      <c r="J53" s="2855">
        <f ca="1">IF(M47="住宅",IF(D1="——",MAX(J51,L48),MAX(J51,L48-'数据-取费表'!B20)),IF(D1="——",MIN(J51,L48),MIN(J51,L48-'数据-取费表'!B20)))</f>
        <v>47.82</v>
      </c>
      <c r="K53" s="3616" t="s">
        <v>2930</v>
      </c>
      <c r="L53" s="3617"/>
      <c r="M53" s="3260"/>
      <c r="O53" s="2253" t="s">
        <v>2372</v>
      </c>
      <c r="P53" s="2251" t="s">
        <v>2373</v>
      </c>
      <c r="Q53" s="2252">
        <f ca="1">J53</f>
        <v>47.82</v>
      </c>
      <c r="R53" s="2251" t="s">
        <v>2374</v>
      </c>
    </row>
    <row r="54" spans="1:18" s="1939" customFormat="1" ht="18" customHeight="1" thickBot="1">
      <c r="A54" s="2387" t="s">
        <v>2448</v>
      </c>
      <c r="B54" s="2388" t="s">
        <v>2441</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2375</v>
      </c>
      <c r="P54" s="2251" t="s">
        <v>2392</v>
      </c>
      <c r="Q54" s="2252">
        <f ca="1">Q48+Q49</f>
        <v>3400</v>
      </c>
      <c r="R54" s="2255" t="s">
        <v>2376</v>
      </c>
    </row>
    <row r="55" spans="1:18" s="1939" customFormat="1" ht="18" customHeight="1" thickTop="1" thickBot="1">
      <c r="A55" s="786">
        <v>2</v>
      </c>
      <c r="B55" s="787" t="s">
        <v>638</v>
      </c>
      <c r="C55" s="788">
        <f ca="1">C13</f>
        <v>9227</v>
      </c>
      <c r="D55" s="784"/>
      <c r="E55" s="784"/>
      <c r="F55" s="789"/>
      <c r="I55" s="2813" t="s">
        <v>2339</v>
      </c>
      <c r="J55" s="2785" t="e">
        <f ca="1">ROUND(IF(J47="钢混",J57/J50,1-(1-2%)*(J50-J57)/J50),3)</f>
        <v>#VALUE!</v>
      </c>
      <c r="K55" s="2814" t="s">
        <v>2340</v>
      </c>
      <c r="L55" s="2238"/>
      <c r="M55" s="3260"/>
      <c r="O55" s="2256" t="s">
        <v>2395</v>
      </c>
      <c r="P55" s="1524"/>
      <c r="Q55" s="1532"/>
      <c r="R55" s="1524"/>
    </row>
    <row r="56" spans="1:18" s="1939" customFormat="1" ht="42.75" customHeight="1" thickBot="1">
      <c r="A56" s="1576"/>
      <c r="B56" s="2108" t="s">
        <v>2287</v>
      </c>
      <c r="C56" s="53">
        <f ca="1">C29</f>
        <v>9227</v>
      </c>
      <c r="D56" s="3283"/>
      <c r="E56" s="773"/>
      <c r="F56" s="798"/>
      <c r="I56" s="2815" t="s">
        <v>2341</v>
      </c>
      <c r="J56" s="2825" t="s">
        <v>1669</v>
      </c>
      <c r="K56" s="2796" t="s">
        <v>2346</v>
      </c>
      <c r="L56" s="1819" t="str">
        <f ca="1">IF(L48&lt;J51,"——",L48-J51)</f>
        <v>——</v>
      </c>
      <c r="M56" s="3260"/>
      <c r="O56" s="2247" t="s">
        <v>2359</v>
      </c>
      <c r="P56" s="2248" t="s">
        <v>2360</v>
      </c>
      <c r="Q56" s="2249" t="s">
        <v>2361</v>
      </c>
      <c r="R56" s="2248" t="s">
        <v>2362</v>
      </c>
    </row>
    <row r="57" spans="1:18" s="1939" customFormat="1" ht="28.5" customHeight="1" thickBot="1">
      <c r="A57" s="786" t="s">
        <v>1739</v>
      </c>
      <c r="B57" s="787" t="s">
        <v>645</v>
      </c>
      <c r="C57" s="788">
        <f ca="1">ROUND(C58+C63+C64+C65,0)</f>
        <v>178</v>
      </c>
      <c r="D57" s="26" t="s">
        <v>1741</v>
      </c>
      <c r="E57" s="3288"/>
      <c r="F57" s="56"/>
      <c r="I57" s="2816" t="s">
        <v>2342</v>
      </c>
      <c r="J57" s="2817" t="str">
        <f ca="1">IF(OR(M47="住宅",J51&lt;L48,J56="是"),"——",J51-L48)</f>
        <v>——</v>
      </c>
      <c r="K57" s="2796" t="s">
        <v>2347</v>
      </c>
      <c r="L57" s="1819" t="str">
        <f ca="1">IF(L48&lt;J51,"——",IF(L55="比较法",L49,IF(L55="基准地价",L50,L51)))</f>
        <v>——</v>
      </c>
      <c r="M57" s="3260"/>
      <c r="O57" s="2250" t="s">
        <v>2363</v>
      </c>
      <c r="P57" s="2251" t="s">
        <v>2389</v>
      </c>
      <c r="Q57" s="2252">
        <f ca="1">C40+J29</f>
        <v>3400</v>
      </c>
      <c r="R57" s="2251" t="s">
        <v>2364</v>
      </c>
    </row>
    <row r="58" spans="1:18" s="1939" customFormat="1" ht="28.5" customHeight="1" thickBot="1">
      <c r="A58" s="1575" t="s">
        <v>1815</v>
      </c>
      <c r="B58" s="773" t="s">
        <v>650</v>
      </c>
      <c r="C58" s="3016">
        <f ca="1">ROUND(IF(AND(项目基本情况!B11="自然人",项目基本情况!B10="北京市"),C48*F58/(1+'数据-取费表'!C42),C59+C60+C61),0)</f>
        <v>26</v>
      </c>
      <c r="D58" s="3284" t="s">
        <v>651</v>
      </c>
      <c r="E58" s="3283"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19" t="e">
        <f ca="1">ROUND(POWER(1+L52,L47-L48)*(POWER(1+L52,L48)-1)/(POWER(1+L52,L47)-1),4)</f>
        <v>#DIV/0!</v>
      </c>
      <c r="M58" s="3260"/>
      <c r="O58" s="2250" t="s">
        <v>2365</v>
      </c>
      <c r="P58" s="2251" t="s">
        <v>2396</v>
      </c>
      <c r="Q58" s="2252">
        <f ca="1">L60</f>
        <v>0</v>
      </c>
      <c r="R58" s="2255" t="s">
        <v>2398</v>
      </c>
    </row>
    <row r="59" spans="1:18" s="1939" customFormat="1" ht="28.5" customHeight="1" thickBot="1">
      <c r="A59" s="1574" t="s">
        <v>1822</v>
      </c>
      <c r="B59" s="773" t="s">
        <v>654</v>
      </c>
      <c r="C59" s="53">
        <f ca="1">ROUND(C47*F59/1.05,1)</f>
        <v>0</v>
      </c>
      <c r="D59" s="3283" t="s">
        <v>1747</v>
      </c>
      <c r="E59" s="773" t="s">
        <v>643</v>
      </c>
      <c r="F59" s="798">
        <f t="shared" ref="F59:F65" si="0">F32</f>
        <v>5.6000000000000001E-2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2367</v>
      </c>
      <c r="P59" s="2251" t="s">
        <v>2397</v>
      </c>
      <c r="Q59" s="2252">
        <f>IF(L55="比较法",L49,IF(L55="基准地价",L50,0))</f>
        <v>0</v>
      </c>
      <c r="R59" s="2251" t="s">
        <v>2364</v>
      </c>
    </row>
    <row r="60" spans="1:18" s="1939" customFormat="1" ht="18" customHeight="1" thickBot="1">
      <c r="A60" s="1574" t="s">
        <v>1823</v>
      </c>
      <c r="B60" s="773" t="s">
        <v>1749</v>
      </c>
      <c r="C60" s="53">
        <f ca="1">IF(D60="按租金收入计税",ROUND(C47*F60,1),IF(D60="按房产原值计税",ROUND(C56*F60*0.7,1),INDIRECT("'数据-取费表'!Aj"&amp;$G$1)))</f>
        <v>0</v>
      </c>
      <c r="D60" s="3283" t="str">
        <f>D33</f>
        <v>按租金收入计税</v>
      </c>
      <c r="E60" s="773" t="s">
        <v>643</v>
      </c>
      <c r="F60" s="798">
        <f t="shared" si="0"/>
        <v>0.12</v>
      </c>
      <c r="I60" s="2818" t="s">
        <v>2345</v>
      </c>
      <c r="J60" s="2819" t="str">
        <f ca="1">IF(OR(M47="住宅",J51&lt;L48,J56="是"),"0",ROUND(J59/(1+J52)^J53,0))</f>
        <v>0</v>
      </c>
      <c r="K60" s="2820" t="s">
        <v>2350</v>
      </c>
      <c r="L60" s="2819">
        <f ca="1">IF(OR(M47="住宅",L48&lt;J51),0,ROUND(L57*(L58/L59-1),0))</f>
        <v>0</v>
      </c>
      <c r="M60" s="3260"/>
      <c r="O60" s="2253" t="s">
        <v>2368</v>
      </c>
      <c r="P60" s="2251" t="s">
        <v>2377</v>
      </c>
      <c r="Q60" s="2254">
        <f>L52</f>
        <v>0</v>
      </c>
      <c r="R60" s="2255"/>
    </row>
    <row r="61" spans="1:18" s="1939" customFormat="1" ht="18" customHeight="1" thickBot="1">
      <c r="A61" s="1577" t="s">
        <v>1824</v>
      </c>
      <c r="B61" s="338" t="s">
        <v>662</v>
      </c>
      <c r="C61" s="54">
        <f ca="1">ROUND(F61*F62/10000,1)</f>
        <v>25.9</v>
      </c>
      <c r="D61" s="802" t="s">
        <v>663</v>
      </c>
      <c r="E61" s="773" t="s">
        <v>664</v>
      </c>
      <c r="F61" s="631">
        <f t="shared" si="0"/>
        <v>30</v>
      </c>
      <c r="K61" s="1965"/>
      <c r="O61" s="2253" t="s">
        <v>2370</v>
      </c>
      <c r="P61" s="2251" t="s">
        <v>2378</v>
      </c>
      <c r="Q61" s="2252" t="e">
        <f ca="1">L58</f>
        <v>#DIV/0!</v>
      </c>
      <c r="R61" s="2255" t="s">
        <v>2379</v>
      </c>
    </row>
    <row r="62" spans="1:18" s="1939" customFormat="1" ht="15.75" thickBot="1">
      <c r="A62" s="803"/>
      <c r="B62" s="782"/>
      <c r="C62" s="69"/>
      <c r="D62" s="804"/>
      <c r="E62" s="773" t="s">
        <v>668</v>
      </c>
      <c r="F62" s="774">
        <f t="shared" ca="1" si="0"/>
        <v>8620.02</v>
      </c>
      <c r="I62" s="2821" t="s">
        <v>2351</v>
      </c>
      <c r="J62" s="2822" t="s">
        <v>2352</v>
      </c>
      <c r="K62" s="2822" t="s">
        <v>2353</v>
      </c>
      <c r="L62" s="2822" t="s">
        <v>2334</v>
      </c>
      <c r="M62" s="2823" t="s">
        <v>2909</v>
      </c>
      <c r="O62" s="2253" t="s">
        <v>2372</v>
      </c>
      <c r="P62" s="2251" t="str">
        <f>K59</f>
        <v>建设期及建筑物耐用年限下的土地年期修正系数Kn</v>
      </c>
      <c r="Q62" s="2252" t="e">
        <f ca="1">L59</f>
        <v>#DIV/0!</v>
      </c>
      <c r="R62" s="2255" t="s">
        <v>2381</v>
      </c>
    </row>
    <row r="63" spans="1:18" s="1939" customFormat="1" ht="15.75" thickBot="1">
      <c r="A63" s="1575" t="s">
        <v>1880</v>
      </c>
      <c r="B63" s="773" t="s">
        <v>670</v>
      </c>
      <c r="C63" s="53">
        <f ca="1">ROUND(C56*F63,1)</f>
        <v>138.4</v>
      </c>
      <c r="D63" s="3283" t="s">
        <v>685</v>
      </c>
      <c r="E63" s="773" t="s">
        <v>643</v>
      </c>
      <c r="F63" s="805">
        <f t="shared" ca="1" si="0"/>
        <v>1.4999999999999999E-2</v>
      </c>
      <c r="I63" s="2821" t="s">
        <v>2354</v>
      </c>
      <c r="J63" s="2822">
        <v>70</v>
      </c>
      <c r="K63" s="2822">
        <v>50</v>
      </c>
      <c r="L63" s="2822">
        <v>80</v>
      </c>
      <c r="M63" s="2824">
        <v>0.02</v>
      </c>
      <c r="O63" s="2250" t="s">
        <v>2375</v>
      </c>
      <c r="P63" s="2251" t="s">
        <v>2392</v>
      </c>
      <c r="Q63" s="2252">
        <f ca="1">Q57+Q58</f>
        <v>3400</v>
      </c>
      <c r="R63" s="2255" t="s">
        <v>2376</v>
      </c>
    </row>
    <row r="64" spans="1:18" s="1939" customFormat="1" ht="16.5" thickBot="1">
      <c r="A64" s="1575" t="s">
        <v>1881</v>
      </c>
      <c r="B64" s="773" t="s">
        <v>673</v>
      </c>
      <c r="C64" s="53">
        <f ca="1">ROUND(C55*F64,1)</f>
        <v>13.8</v>
      </c>
      <c r="D64" s="3283" t="s">
        <v>674</v>
      </c>
      <c r="E64" s="773" t="s">
        <v>643</v>
      </c>
      <c r="F64" s="806">
        <f t="shared" ca="1" si="0"/>
        <v>1.5E-3</v>
      </c>
      <c r="I64" s="2821" t="s">
        <v>2355</v>
      </c>
      <c r="J64" s="2822">
        <v>50</v>
      </c>
      <c r="K64" s="2822">
        <v>35</v>
      </c>
      <c r="L64" s="2822">
        <v>60</v>
      </c>
      <c r="M64" s="834">
        <v>0</v>
      </c>
      <c r="O64" s="2256" t="s">
        <v>2399</v>
      </c>
      <c r="P64" s="1524"/>
      <c r="Q64" s="1532"/>
      <c r="R64" s="1524"/>
    </row>
    <row r="65" spans="1:18" s="1939" customFormat="1" ht="15.75" thickBot="1">
      <c r="A65" s="1575" t="s">
        <v>1882</v>
      </c>
      <c r="B65" s="773" t="s">
        <v>660</v>
      </c>
      <c r="C65" s="53">
        <f ca="1">ROUND(C47*F65,1)</f>
        <v>0</v>
      </c>
      <c r="D65" s="3283" t="s">
        <v>677</v>
      </c>
      <c r="E65" s="773" t="s">
        <v>643</v>
      </c>
      <c r="F65" s="783">
        <f t="shared" ca="1" si="0"/>
        <v>0.01</v>
      </c>
      <c r="I65" s="2821" t="s">
        <v>2356</v>
      </c>
      <c r="J65" s="2822">
        <v>40</v>
      </c>
      <c r="K65" s="2822">
        <v>30</v>
      </c>
      <c r="L65" s="2822">
        <v>50</v>
      </c>
      <c r="M65" s="2824">
        <v>0.02</v>
      </c>
      <c r="O65" s="2247" t="s">
        <v>2359</v>
      </c>
      <c r="P65" s="2248" t="s">
        <v>2360</v>
      </c>
      <c r="Q65" s="2249" t="s">
        <v>2361</v>
      </c>
      <c r="R65" s="2248" t="s">
        <v>2362</v>
      </c>
    </row>
    <row r="66" spans="1:18" s="1939" customFormat="1" ht="24.75" thickBot="1">
      <c r="A66" s="786" t="s">
        <v>1767</v>
      </c>
      <c r="B66" s="2721" t="s">
        <v>2801</v>
      </c>
      <c r="C66" s="788">
        <f ca="1">C47-C57</f>
        <v>-178</v>
      </c>
      <c r="D66" s="3284" t="s">
        <v>694</v>
      </c>
      <c r="E66" s="3287"/>
      <c r="F66" s="808"/>
      <c r="K66" s="1965"/>
      <c r="O66" s="2250" t="s">
        <v>2363</v>
      </c>
      <c r="P66" s="2251" t="s">
        <v>2389</v>
      </c>
      <c r="Q66" s="2252">
        <f ca="1">C40+J29</f>
        <v>3400</v>
      </c>
      <c r="R66" s="2251" t="s">
        <v>2364</v>
      </c>
    </row>
    <row r="67" spans="1:18" s="1939" customFormat="1" ht="20.25" thickBot="1">
      <c r="A67" s="770" t="s">
        <v>1771</v>
      </c>
      <c r="B67" s="2109" t="s">
        <v>2288</v>
      </c>
      <c r="C67" s="772">
        <f ca="1">ROUND(C66*(1-((1+F69)/(1+F67))^F68)/(F67-F69),0)</f>
        <v>-3215</v>
      </c>
      <c r="D67" s="802" t="s">
        <v>698</v>
      </c>
      <c r="E67" s="773" t="s">
        <v>699</v>
      </c>
      <c r="F67" s="783">
        <f ca="1">F40</f>
        <v>0.05</v>
      </c>
      <c r="K67" s="1965"/>
      <c r="O67" s="2250" t="s">
        <v>2365</v>
      </c>
      <c r="P67" s="2251" t="s">
        <v>2396</v>
      </c>
      <c r="Q67" s="2252">
        <f ca="1">L60</f>
        <v>0</v>
      </c>
      <c r="R67" s="2255" t="s">
        <v>2398</v>
      </c>
    </row>
    <row r="68" spans="1:18" ht="21.75" thickBot="1">
      <c r="A68" s="775"/>
      <c r="B68" s="776"/>
      <c r="C68" s="777"/>
      <c r="D68" s="809" t="s">
        <v>1799</v>
      </c>
      <c r="E68" s="773" t="s">
        <v>1775</v>
      </c>
      <c r="F68" s="810">
        <f ca="1">F41</f>
        <v>47.82</v>
      </c>
      <c r="O68" s="2253" t="s">
        <v>2367</v>
      </c>
      <c r="P68" s="2251" t="s">
        <v>2397</v>
      </c>
      <c r="Q68" s="2257">
        <f ca="1">L51</f>
        <v>-13380</v>
      </c>
      <c r="R68" s="2258" t="s">
        <v>2400</v>
      </c>
    </row>
    <row r="69" spans="1:18" ht="20.25" thickBot="1">
      <c r="A69" s="779"/>
      <c r="B69" s="780"/>
      <c r="C69" s="781"/>
      <c r="D69" s="804"/>
      <c r="E69" s="773" t="s">
        <v>704</v>
      </c>
      <c r="F69" s="2223"/>
      <c r="O69" s="2253" t="s">
        <v>2368</v>
      </c>
      <c r="P69" s="2259" t="s">
        <v>2382</v>
      </c>
      <c r="Q69" s="2252">
        <f ca="1">ROUND(Q70-Q71*Q72,0)</f>
        <v>-648</v>
      </c>
      <c r="R69" s="2255"/>
    </row>
    <row r="70" spans="1:18" ht="15.75" thickBot="1">
      <c r="A70" s="811" t="s">
        <v>1778</v>
      </c>
      <c r="B70" s="812" t="s">
        <v>1801</v>
      </c>
      <c r="C70" s="813">
        <f ca="1">ROUND(C67*10000/F70,0)</f>
        <v>-1186</v>
      </c>
      <c r="D70" s="814" t="s">
        <v>1802</v>
      </c>
      <c r="E70" s="815" t="s">
        <v>1803</v>
      </c>
      <c r="F70" s="816">
        <f ca="1">F43</f>
        <v>27101</v>
      </c>
      <c r="O70" s="2253" t="s">
        <v>2383</v>
      </c>
      <c r="P70" s="2259" t="s">
        <v>2384</v>
      </c>
      <c r="Q70" s="2252">
        <f ca="1">C39</f>
        <v>136</v>
      </c>
      <c r="R70" s="2251" t="s">
        <v>2364</v>
      </c>
    </row>
    <row r="71" spans="1:18" ht="15.75" thickBot="1">
      <c r="O71" s="2253" t="s">
        <v>2385</v>
      </c>
      <c r="P71" s="2259" t="s">
        <v>2386</v>
      </c>
      <c r="Q71" s="2252">
        <f ca="1">C13</f>
        <v>9227</v>
      </c>
      <c r="R71" s="2251" t="s">
        <v>2364</v>
      </c>
    </row>
    <row r="72" spans="1:18" ht="15.75" thickBot="1">
      <c r="O72" s="2253" t="s">
        <v>2387</v>
      </c>
      <c r="P72" s="2259" t="s">
        <v>2388</v>
      </c>
      <c r="Q72" s="2254">
        <f ca="1">J36</f>
        <v>8.5000000000000006E-2</v>
      </c>
      <c r="R72" s="2255"/>
    </row>
    <row r="73" spans="1:18" ht="15.75" thickBot="1">
      <c r="O73" s="2253" t="s">
        <v>2370</v>
      </c>
      <c r="P73" s="2251" t="s">
        <v>2377</v>
      </c>
      <c r="Q73" s="2254">
        <f>L52</f>
        <v>0</v>
      </c>
      <c r="R73" s="2255"/>
    </row>
    <row r="74" spans="1:18" ht="20.25" thickBot="1">
      <c r="O74" s="2253" t="s">
        <v>2372</v>
      </c>
      <c r="P74" s="2251" t="s">
        <v>2378</v>
      </c>
      <c r="Q74" s="2252" t="e">
        <f ca="1">L58</f>
        <v>#DIV/0!</v>
      </c>
      <c r="R74" s="2255" t="s">
        <v>2379</v>
      </c>
    </row>
    <row r="75" spans="1:18" ht="15.75" thickBot="1">
      <c r="O75" s="2253" t="s">
        <v>2401</v>
      </c>
      <c r="P75" s="2251" t="str">
        <f>K59</f>
        <v>建设期及建筑物耐用年限下的土地年期修正系数Kn</v>
      </c>
      <c r="Q75" s="2252" t="e">
        <f ca="1">L59</f>
        <v>#DIV/0!</v>
      </c>
      <c r="R75" s="2255" t="s">
        <v>2381</v>
      </c>
    </row>
    <row r="76" spans="1:18" ht="15.75" thickBot="1">
      <c r="O76" s="2250" t="s">
        <v>2375</v>
      </c>
      <c r="P76" s="2251" t="s">
        <v>2392</v>
      </c>
      <c r="Q76" s="2252">
        <f ca="1">Q66+Q67</f>
        <v>3400</v>
      </c>
      <c r="R76" s="2255"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view="pageBreakPreview" zoomScale="80" zoomScaleNormal="60" zoomScaleSheetLayoutView="80" workbookViewId="0">
      <selection activeCell="L37" sqref="L37"/>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1716</v>
      </c>
      <c r="B1" s="729"/>
      <c r="C1" s="762" t="s">
        <v>3067</v>
      </c>
      <c r="D1" s="2795" t="s">
        <v>3083</v>
      </c>
      <c r="E1" s="2239" t="s">
        <v>2358</v>
      </c>
      <c r="F1" s="2240">
        <f ca="1">J53</f>
        <v>47.82</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1717</v>
      </c>
      <c r="B2" s="764">
        <f ca="1">C40+J29+L46</f>
        <v>1975</v>
      </c>
      <c r="C2" s="3261"/>
      <c r="D2" s="3262"/>
      <c r="E2" s="3263"/>
      <c r="F2" s="3263"/>
      <c r="G2" s="3257"/>
      <c r="H2" s="1937"/>
      <c r="I2" s="1937"/>
      <c r="J2" s="1937"/>
      <c r="K2" s="1938"/>
      <c r="L2" s="1937"/>
      <c r="M2" s="1937"/>
    </row>
    <row r="3" spans="1:33" ht="18" customHeight="1" thickBot="1">
      <c r="A3" s="821" t="s">
        <v>1718</v>
      </c>
      <c r="B3" s="822">
        <f ca="1">IF(ISERROR(B2*10000/F43),0,ROUND(B2*10000/F43,0))</f>
        <v>1719</v>
      </c>
      <c r="C3" s="3261"/>
      <c r="D3" s="3262"/>
      <c r="E3" s="3263"/>
      <c r="F3" s="3263"/>
      <c r="G3" s="3257"/>
      <c r="H3" s="765" t="s">
        <v>689</v>
      </c>
      <c r="I3" s="1315"/>
      <c r="J3" s="1315"/>
      <c r="K3" s="1523"/>
      <c r="L3" s="1315"/>
      <c r="M3" s="1315"/>
    </row>
    <row r="4" spans="1:33" ht="18" customHeight="1">
      <c r="A4" s="766" t="s">
        <v>1719</v>
      </c>
      <c r="B4" s="767" t="s">
        <v>1720</v>
      </c>
      <c r="C4" s="767" t="s">
        <v>1721</v>
      </c>
      <c r="D4" s="767" t="s">
        <v>627</v>
      </c>
      <c r="E4" s="768" t="s">
        <v>1722</v>
      </c>
      <c r="F4" s="769"/>
      <c r="G4" s="1942"/>
      <c r="H4" s="766" t="s">
        <v>1723</v>
      </c>
      <c r="I4" s="767" t="s">
        <v>1724</v>
      </c>
      <c r="J4" s="767" t="s">
        <v>1725</v>
      </c>
      <c r="K4" s="767" t="s">
        <v>1726</v>
      </c>
      <c r="L4" s="768" t="s">
        <v>1727</v>
      </c>
      <c r="M4" s="769"/>
    </row>
    <row r="5" spans="1:33" ht="18" customHeight="1">
      <c r="A5" s="770">
        <v>1</v>
      </c>
      <c r="B5" s="771" t="s">
        <v>2439</v>
      </c>
      <c r="C5" s="55">
        <f ca="1">C6+C10+C12</f>
        <v>189</v>
      </c>
      <c r="D5" s="2346" t="s">
        <v>2442</v>
      </c>
      <c r="E5" s="2340"/>
      <c r="F5" s="2341"/>
      <c r="G5" s="1942"/>
      <c r="H5" s="770">
        <v>1</v>
      </c>
      <c r="I5" s="771" t="s">
        <v>2439</v>
      </c>
      <c r="J5" s="55">
        <f ca="1">J6+J10+J12</f>
        <v>0</v>
      </c>
      <c r="K5" s="2346" t="s">
        <v>2442</v>
      </c>
      <c r="L5" s="2340"/>
      <c r="M5" s="2341"/>
    </row>
    <row r="6" spans="1:33" ht="18" customHeight="1">
      <c r="A6" s="1743" t="s">
        <v>1815</v>
      </c>
      <c r="B6" s="3580" t="s">
        <v>2444</v>
      </c>
      <c r="C6" s="772">
        <f ca="1">ROUND(F6*F8*F7*(1-F9)/10000,0)</f>
        <v>189</v>
      </c>
      <c r="D6" s="2347" t="s">
        <v>2443</v>
      </c>
      <c r="E6" s="773" t="s">
        <v>1729</v>
      </c>
      <c r="F6" s="774">
        <f ca="1">INDIRECT("'数据-取费表'!u"&amp;$G$1)</f>
        <v>0.5</v>
      </c>
      <c r="G6" s="1942"/>
      <c r="H6" s="2354" t="s">
        <v>2449</v>
      </c>
      <c r="I6" s="3580" t="s">
        <v>2444</v>
      </c>
      <c r="J6" s="772">
        <f ca="1">ROUND(M6*M8*M7*(1-M9)/10000,0)</f>
        <v>0</v>
      </c>
      <c r="K6" s="338" t="s">
        <v>1728</v>
      </c>
      <c r="L6" s="773" t="s">
        <v>1729</v>
      </c>
      <c r="M6" s="774">
        <f ca="1">INDIRECT("'数据-取费表'!z"&amp;$G$1)</f>
        <v>0</v>
      </c>
    </row>
    <row r="7" spans="1:33" ht="18" customHeight="1">
      <c r="A7" s="2350"/>
      <c r="B7" s="3581"/>
      <c r="C7" s="777"/>
      <c r="D7" s="778"/>
      <c r="E7" s="773" t="s">
        <v>1730</v>
      </c>
      <c r="F7" s="774">
        <f ca="1">IF(INDIRECT("'数据-取费表'!ah"&amp;$G$1)="",INDIRECT("'数据-取费表'!k"&amp;$G$1),INDIRECT("'数据-取费表'!ah"&amp;$G$1))</f>
        <v>11488</v>
      </c>
      <c r="G7" s="1942"/>
      <c r="H7" s="2339"/>
      <c r="I7" s="3581"/>
      <c r="J7" s="777"/>
      <c r="K7" s="778"/>
      <c r="L7" s="773" t="s">
        <v>1730</v>
      </c>
      <c r="M7" s="774">
        <f ca="1">F7</f>
        <v>11488</v>
      </c>
    </row>
    <row r="8" spans="1:33" ht="18" customHeight="1">
      <c r="A8" s="2343"/>
      <c r="B8" s="3582"/>
      <c r="C8" s="777"/>
      <c r="D8" s="778"/>
      <c r="E8" s="773" t="s">
        <v>1731</v>
      </c>
      <c r="F8" s="774">
        <f ca="1">INDIRECT("'数据-取费表'!ai"&amp;$G$1)</f>
        <v>365</v>
      </c>
      <c r="G8" s="1942"/>
      <c r="H8" s="2339"/>
      <c r="I8" s="3582"/>
      <c r="J8" s="777"/>
      <c r="K8" s="778"/>
      <c r="L8" s="773" t="s">
        <v>1731</v>
      </c>
      <c r="M8" s="774">
        <f ca="1">INDIRECT("'数据-取费表'!ai"&amp;$G$1)</f>
        <v>365</v>
      </c>
    </row>
    <row r="9" spans="1:33" ht="18" customHeight="1">
      <c r="A9" s="775"/>
      <c r="B9" s="3583"/>
      <c r="C9" s="777"/>
      <c r="D9" s="778"/>
      <c r="E9" s="773" t="s">
        <v>1732</v>
      </c>
      <c r="F9" s="783">
        <f ca="1">INDIRECT("'数据-取费表'!w"&amp;$G$1)</f>
        <v>0.1</v>
      </c>
      <c r="G9" s="1942"/>
      <c r="H9" s="2355"/>
      <c r="I9" s="3582"/>
      <c r="J9" s="777"/>
      <c r="K9" s="778"/>
      <c r="L9" s="784" t="s">
        <v>1732</v>
      </c>
      <c r="M9" s="785">
        <f ca="1">INDIRECT("'数据-取费表'!ab"&amp;$G$1)</f>
        <v>0</v>
      </c>
    </row>
    <row r="10" spans="1:33" ht="18" customHeight="1">
      <c r="A10" s="1743" t="s">
        <v>2447</v>
      </c>
      <c r="B10" s="2344" t="s">
        <v>2440</v>
      </c>
      <c r="C10" s="788">
        <f ca="1">ROUND(IF(F10="押一",C6/12*F11,IF(F10="押二",C6/12*2*F11,IF(F10="押三",C6/12*3*F11,C11*F11))),0)</f>
        <v>0</v>
      </c>
      <c r="D10" s="2351" t="s">
        <v>2937</v>
      </c>
      <c r="E10" s="2348" t="s">
        <v>2445</v>
      </c>
      <c r="F10" s="2462" t="s">
        <v>3084</v>
      </c>
      <c r="G10" s="1942"/>
      <c r="H10" s="2411" t="s">
        <v>2450</v>
      </c>
      <c r="I10" s="2416" t="s">
        <v>2440</v>
      </c>
      <c r="J10" s="772">
        <f ca="1">ROUND(IF(M10="押一",J6/12*M11,IF(M10="押二",J6/12*2*M11,IF(M10="押三",J6/12*3*M11,J11*M11))),0)</f>
        <v>0</v>
      </c>
      <c r="K10" s="2351" t="s">
        <v>2937</v>
      </c>
      <c r="L10" s="2348" t="s">
        <v>2445</v>
      </c>
      <c r="M10" s="2462"/>
    </row>
    <row r="11" spans="1:33" ht="18" customHeight="1">
      <c r="A11" s="779"/>
      <c r="B11" s="2345" t="s">
        <v>2554</v>
      </c>
      <c r="C11" s="2349"/>
      <c r="D11" s="778"/>
      <c r="E11" s="2348" t="s">
        <v>2446</v>
      </c>
      <c r="F11" s="785">
        <f ca="1">'数据-取费表'!B39</f>
        <v>1.4999999999999999E-2</v>
      </c>
      <c r="G11" s="1942"/>
      <c r="H11" s="2412"/>
      <c r="I11" s="2345" t="s">
        <v>2554</v>
      </c>
      <c r="J11" s="2349"/>
      <c r="K11" s="2413"/>
      <c r="L11" s="2348" t="s">
        <v>2446</v>
      </c>
      <c r="M11" s="2342">
        <f ca="1">'数据-取费表'!B39</f>
        <v>1.4999999999999999E-2</v>
      </c>
    </row>
    <row r="12" spans="1:33" ht="18" customHeight="1" thickBot="1">
      <c r="A12" s="2387" t="s">
        <v>2448</v>
      </c>
      <c r="B12" s="2388" t="s">
        <v>2441</v>
      </c>
      <c r="C12" s="2389"/>
      <c r="D12" s="2390"/>
      <c r="E12" s="2391"/>
      <c r="F12" s="2392"/>
      <c r="G12" s="1942"/>
      <c r="H12" s="2401" t="s">
        <v>2451</v>
      </c>
      <c r="I12" s="2414" t="s">
        <v>2441</v>
      </c>
      <c r="J12" s="2415"/>
      <c r="K12" s="2390"/>
      <c r="L12" s="2391"/>
      <c r="M12" s="2404"/>
    </row>
    <row r="13" spans="1:33" ht="18" customHeight="1" thickTop="1">
      <c r="A13" s="1742">
        <v>2</v>
      </c>
      <c r="B13" s="1740" t="s">
        <v>1733</v>
      </c>
      <c r="C13" s="781">
        <f ca="1">ROUND(C29*F13,0)</f>
        <v>3913</v>
      </c>
      <c r="D13" s="1747" t="s">
        <v>2284</v>
      </c>
      <c r="E13" s="1747" t="s">
        <v>1735</v>
      </c>
      <c r="F13" s="2386">
        <f ca="1">INDIRECT("'数据-取费表'!y"&amp;$G$1)</f>
        <v>1</v>
      </c>
      <c r="G13" s="1942"/>
      <c r="H13" s="1742">
        <v>2</v>
      </c>
      <c r="I13" s="1740" t="s">
        <v>1733</v>
      </c>
      <c r="J13" s="1732">
        <f ca="1">ROUND(J14*J15,0)</f>
        <v>0</v>
      </c>
      <c r="K13" s="1734" t="s">
        <v>1734</v>
      </c>
      <c r="L13" s="2402"/>
      <c r="M13" s="2403"/>
    </row>
    <row r="14" spans="1:33" ht="18" customHeight="1">
      <c r="A14" s="1574" t="s">
        <v>1875</v>
      </c>
      <c r="B14" s="773" t="s">
        <v>639</v>
      </c>
      <c r="C14" s="793">
        <f ca="1">INDIRECT("'数据-取费表'!m"&amp;$G$1)+INDIRECT("'数据-取费表'!t"&amp;$G$1)</f>
        <v>2872</v>
      </c>
      <c r="D14" s="1890" t="s">
        <v>1736</v>
      </c>
      <c r="E14" s="1891"/>
      <c r="F14" s="794"/>
      <c r="G14" s="1942"/>
      <c r="H14" s="1575" t="s">
        <v>1821</v>
      </c>
      <c r="I14" s="2108" t="s">
        <v>2805</v>
      </c>
      <c r="J14" s="53">
        <f ca="1">C29</f>
        <v>3913</v>
      </c>
      <c r="K14" s="26"/>
      <c r="L14" s="790"/>
      <c r="M14" s="791"/>
    </row>
    <row r="15" spans="1:33" s="1944" customFormat="1" ht="18" customHeight="1" thickBot="1">
      <c r="A15" s="1574" t="s">
        <v>1876</v>
      </c>
      <c r="B15" s="773" t="s">
        <v>641</v>
      </c>
      <c r="C15" s="53">
        <f ca="1">ROUND(C14*F15,0)</f>
        <v>86</v>
      </c>
      <c r="D15" s="795" t="s">
        <v>1737</v>
      </c>
      <c r="E15" s="795" t="s">
        <v>1738</v>
      </c>
      <c r="F15" s="796">
        <f>'数据-取费表'!B33</f>
        <v>0.03</v>
      </c>
      <c r="G15" s="3258"/>
      <c r="H15" s="2401" t="s">
        <v>1880</v>
      </c>
      <c r="I15" s="2396" t="s">
        <v>1735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1877</v>
      </c>
      <c r="B16" s="773" t="s">
        <v>644</v>
      </c>
      <c r="C16" s="53">
        <f ca="1">ROUND(INDIRECT("'数据-取费表'!m"&amp;$G$1)*F16,0)</f>
        <v>0</v>
      </c>
      <c r="D16" s="773" t="s">
        <v>1737</v>
      </c>
      <c r="E16" s="773" t="s">
        <v>1738</v>
      </c>
      <c r="F16" s="798">
        <f ca="1">IF(INDIRECT("'数据-取费表'!c"&amp;$G$1)="住宅",'数据-取费表'!B34,0)</f>
        <v>0</v>
      </c>
      <c r="G16" s="1942"/>
      <c r="H16" s="1742" t="s">
        <v>1739</v>
      </c>
      <c r="I16" s="1740" t="s">
        <v>1740</v>
      </c>
      <c r="J16" s="781">
        <f ca="1">ROUND(J17+J22+J23+J24,0)</f>
        <v>399</v>
      </c>
      <c r="K16" s="1734" t="s">
        <v>1741</v>
      </c>
      <c r="L16" s="2336"/>
      <c r="M16" s="2341"/>
    </row>
    <row r="17" spans="1:33" s="1944" customFormat="1" ht="18" customHeight="1">
      <c r="A17" s="1574" t="s">
        <v>1878</v>
      </c>
      <c r="B17" s="773" t="s">
        <v>647</v>
      </c>
      <c r="C17" s="53">
        <f ca="1">ROUND(F17*(F43+INDIRECT("'数据-取费表'!S"&amp;$G$1))/10000,0)</f>
        <v>230</v>
      </c>
      <c r="D17" s="773" t="s">
        <v>1742</v>
      </c>
      <c r="E17" s="773" t="s">
        <v>1743</v>
      </c>
      <c r="F17" s="56">
        <f>'数据-取费表'!B35</f>
        <v>200</v>
      </c>
      <c r="G17" s="3258"/>
      <c r="H17" s="1575" t="s">
        <v>1821</v>
      </c>
      <c r="I17" s="773" t="s">
        <v>650</v>
      </c>
      <c r="J17" s="3016">
        <f ca="1">ROUND(IF(AND(项目基本情况!B11="自然人",项目基本情况!B10="北京市"),J6*M17/(1+'数据-取费表'!C42),J18+J19+J20),0)</f>
        <v>340</v>
      </c>
      <c r="K17" s="2335" t="s">
        <v>1744</v>
      </c>
      <c r="L17" s="2334" t="s">
        <v>1745</v>
      </c>
      <c r="M17" s="3015"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3" t="s">
        <v>653</v>
      </c>
      <c r="C18" s="53">
        <f ca="1">ROUND(C14*F18,0)</f>
        <v>43</v>
      </c>
      <c r="D18" s="773" t="s">
        <v>1737</v>
      </c>
      <c r="E18" s="773" t="s">
        <v>1738</v>
      </c>
      <c r="F18" s="798">
        <f>'数据-取费表'!B36</f>
        <v>1.4999999999999999E-2</v>
      </c>
      <c r="G18" s="3258"/>
      <c r="H18" s="1574" t="s">
        <v>1875</v>
      </c>
      <c r="I18" s="773" t="s">
        <v>1746</v>
      </c>
      <c r="J18" s="53">
        <f ca="1">ROUND(J6*M18/(1+'数据-取费表'!C42),1)</f>
        <v>0</v>
      </c>
      <c r="K18" s="2334" t="s">
        <v>1747</v>
      </c>
      <c r="L18" s="773" t="s">
        <v>1738</v>
      </c>
      <c r="M18" s="798">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1821</v>
      </c>
      <c r="B19" s="773" t="s">
        <v>656</v>
      </c>
      <c r="C19" s="53">
        <f ca="1">SUM(C14:C18)</f>
        <v>3231</v>
      </c>
      <c r="D19" s="258" t="s">
        <v>1748</v>
      </c>
      <c r="E19" s="1893"/>
      <c r="F19" s="56"/>
      <c r="G19" s="1942"/>
      <c r="H19" s="1574" t="s">
        <v>1876</v>
      </c>
      <c r="I19" s="773" t="s">
        <v>1749</v>
      </c>
      <c r="J19" s="53">
        <f ca="1">IF(K19="按租金收入计税",ROUND(J6*M19/(1+'数据-取费表'!C42),1),ROUND(C29*F33*0.7,1))</f>
        <v>328.7</v>
      </c>
      <c r="K19" s="799" t="s">
        <v>659</v>
      </c>
      <c r="L19" s="773" t="s">
        <v>1738</v>
      </c>
      <c r="M19" s="798">
        <f>IF(K19="按租金收入计税",'数据-取费表'!B51,'数据-取费表'!B50)</f>
        <v>1.2E-2</v>
      </c>
    </row>
    <row r="20" spans="1:33" s="1944" customFormat="1" ht="18" customHeight="1">
      <c r="A20" s="1575" t="s">
        <v>1880</v>
      </c>
      <c r="B20" s="773" t="s">
        <v>660</v>
      </c>
      <c r="C20" s="53">
        <f ca="1">ROUND(C19*F20,0)</f>
        <v>65</v>
      </c>
      <c r="D20" s="800" t="s">
        <v>1750</v>
      </c>
      <c r="E20" s="773" t="s">
        <v>1738</v>
      </c>
      <c r="F20" s="798">
        <f>'数据-取费表'!B37</f>
        <v>0.02</v>
      </c>
      <c r="G20" s="3258"/>
      <c r="H20" s="1577" t="s">
        <v>1871</v>
      </c>
      <c r="I20" s="338" t="s">
        <v>1751</v>
      </c>
      <c r="J20" s="54">
        <f ca="1">ROUND(M20*M21/10000,0)</f>
        <v>11</v>
      </c>
      <c r="K20" s="802" t="s">
        <v>1752</v>
      </c>
      <c r="L20" s="773" t="s">
        <v>1753</v>
      </c>
      <c r="M20" s="631">
        <f>'数据-取费表'!B52</f>
        <v>30</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3" t="s">
        <v>1754</v>
      </c>
      <c r="C21" s="53" t="s">
        <v>1755</v>
      </c>
      <c r="D21" s="800" t="s">
        <v>2285</v>
      </c>
      <c r="E21" s="773" t="s">
        <v>1756</v>
      </c>
      <c r="F21" s="798">
        <f>'数据-取费表'!B38</f>
        <v>0.02</v>
      </c>
      <c r="G21" s="3258"/>
      <c r="H21" s="2356"/>
      <c r="I21" s="782"/>
      <c r="J21" s="69"/>
      <c r="K21" s="804"/>
      <c r="L21" s="773" t="s">
        <v>1757</v>
      </c>
      <c r="M21" s="774">
        <f ca="1">INDIRECT("'数据-取费表'!r"&amp;$G$1)</f>
        <v>3653.99</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3" t="s">
        <v>1758</v>
      </c>
      <c r="C22" s="53"/>
      <c r="D22" s="2421" t="str">
        <f>IF(F23&lt;=1,"单利计息。","复利计息。")&amp;"建造成本、管理费用、销售费用产生的利息。"</f>
        <v>复利计息。建造成本、管理费用、销售费用产生的利息。</v>
      </c>
      <c r="E22" s="1893"/>
      <c r="F22" s="56"/>
      <c r="G22" s="1942"/>
      <c r="H22" s="1575" t="s">
        <v>1880</v>
      </c>
      <c r="I22" s="773" t="s">
        <v>1759</v>
      </c>
      <c r="J22" s="53">
        <f ca="1">ROUND(J14*M22,0)</f>
        <v>59</v>
      </c>
      <c r="K22" s="2334" t="s">
        <v>1760</v>
      </c>
      <c r="L22" s="773" t="s">
        <v>1738</v>
      </c>
      <c r="M22" s="805">
        <f ca="1">INDIRECT("'数据-取费表'!Ak"&amp;$G$1)</f>
        <v>1.4999999999999999E-2</v>
      </c>
    </row>
    <row r="23" spans="1:33" s="1944" customFormat="1" ht="18" customHeight="1">
      <c r="A23" s="1574" t="s">
        <v>1822</v>
      </c>
      <c r="B23" s="773" t="s">
        <v>2516</v>
      </c>
      <c r="C23" s="53">
        <f ca="1">ROUND(IF('数据-取费表'!B22&lt;=1,(C19+C20)*F24*F23/2,(C19+C20)*(POWER((1+F24),F23/2)-1)),0)</f>
        <v>157</v>
      </c>
      <c r="D23" s="2420" t="str">
        <f>IF(F23&lt;=1,"(建造成本+管理费用)×利率×(建设周期÷2)","(建造成本+管理费用)×((1+利率)^(建设周期÷2)-1)")</f>
        <v>(建造成本+管理费用)×((1+利率)^(建设周期÷2)-1)</v>
      </c>
      <c r="E23" s="773" t="s">
        <v>1761</v>
      </c>
      <c r="F23" s="631">
        <f>'数据-取费表'!B20</f>
        <v>2</v>
      </c>
      <c r="G23" s="3258"/>
      <c r="H23" s="1575" t="s">
        <v>1881</v>
      </c>
      <c r="I23" s="773" t="s">
        <v>673</v>
      </c>
      <c r="J23" s="53">
        <f ca="1">ROUND(J13*M23,0)</f>
        <v>0</v>
      </c>
      <c r="K23" s="2334" t="s">
        <v>1762</v>
      </c>
      <c r="L23" s="773" t="s">
        <v>1738</v>
      </c>
      <c r="M23" s="806">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3" t="s">
        <v>1763</v>
      </c>
      <c r="C24" s="53">
        <f ca="1">ROUND(IF('数据-取费表'!B22&lt;=1,F21*F24*F23/2,F21*(POWER((1+F24),F23/2)-1)),4)</f>
        <v>1E-3</v>
      </c>
      <c r="D24" s="2420" t="str">
        <f>IF(F23&lt;=1,"销售费用×利率×(建设周期÷2)","销售费用×((1+利率)^(建设周期÷2)-1)")</f>
        <v>销售费用×((1+利率)^(建设周期÷2)-1)</v>
      </c>
      <c r="E24" s="773" t="s">
        <v>1764</v>
      </c>
      <c r="F24" s="807">
        <f ca="1">'数据-取费表'!B40</f>
        <v>4.7500000000000001E-2</v>
      </c>
      <c r="G24" s="3258"/>
      <c r="H24" s="2401" t="s">
        <v>1882</v>
      </c>
      <c r="I24" s="2396" t="s">
        <v>660</v>
      </c>
      <c r="J24" s="2394">
        <f ca="1">ROUND(J5*M24,0)</f>
        <v>0</v>
      </c>
      <c r="K24" s="2395" t="s">
        <v>1765</v>
      </c>
      <c r="L24" s="2396" t="s">
        <v>1738</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3" t="s">
        <v>678</v>
      </c>
      <c r="C25" s="53"/>
      <c r="D25" s="258" t="s">
        <v>1766</v>
      </c>
      <c r="E25" s="1893"/>
      <c r="F25" s="56"/>
      <c r="G25" s="1942"/>
      <c r="H25" s="1742" t="s">
        <v>1767</v>
      </c>
      <c r="I25" s="2720" t="s">
        <v>2801</v>
      </c>
      <c r="J25" s="781">
        <f ca="1">J5-J16</f>
        <v>-399</v>
      </c>
      <c r="K25" s="2398" t="s">
        <v>1768</v>
      </c>
      <c r="L25" s="2399"/>
      <c r="M25" s="2400"/>
    </row>
    <row r="26" spans="1:33" ht="18" customHeight="1">
      <c r="A26" s="1574" t="s">
        <v>1822</v>
      </c>
      <c r="B26" s="773" t="s">
        <v>2421</v>
      </c>
      <c r="C26" s="53">
        <f ca="1">ROUND((C19+C20)*F26,0)</f>
        <v>165</v>
      </c>
      <c r="D26" s="800" t="s">
        <v>1769</v>
      </c>
      <c r="E26" s="784" t="s">
        <v>1770</v>
      </c>
      <c r="F26" s="783">
        <f ca="1">INDIRECT("'数据-取费表'!q"&amp;$G$1)</f>
        <v>0.05</v>
      </c>
      <c r="G26" s="1942"/>
      <c r="H26" s="2352" t="s">
        <v>1771</v>
      </c>
      <c r="I26" s="2109" t="s">
        <v>2806</v>
      </c>
      <c r="J26" s="772">
        <f ca="1">IF(J5&lt;&gt;0,ROUND(J25*(1-((1+M28)/(1+M26))^M27)/(M26-M28),0),0)</f>
        <v>0</v>
      </c>
      <c r="K26" s="802" t="s">
        <v>1772</v>
      </c>
      <c r="L26" s="773" t="s">
        <v>2403</v>
      </c>
      <c r="M26" s="783">
        <f ca="1">INDIRECT("'数据-取费表'!I"&amp;$G$1)</f>
        <v>0.05</v>
      </c>
    </row>
    <row r="27" spans="1:33" ht="18" customHeight="1">
      <c r="A27" s="1574" t="s">
        <v>1823</v>
      </c>
      <c r="B27" s="773" t="s">
        <v>680</v>
      </c>
      <c r="C27" s="53">
        <f ca="1">ROUND(F21*F26,4)</f>
        <v>1E-3</v>
      </c>
      <c r="D27" s="800" t="s">
        <v>1773</v>
      </c>
      <c r="E27" s="795"/>
      <c r="F27" s="796"/>
      <c r="G27" s="1942"/>
      <c r="H27" s="2353"/>
      <c r="I27" s="776"/>
      <c r="J27" s="777"/>
      <c r="K27" s="809" t="s">
        <v>1774</v>
      </c>
      <c r="L27" s="773" t="s">
        <v>1775</v>
      </c>
      <c r="M27" s="810">
        <f ca="1">INDIRECT("'数据-取费表'!ag"&amp;$G$1)</f>
        <v>0</v>
      </c>
    </row>
    <row r="28" spans="1:33" s="1944" customFormat="1" ht="18" customHeight="1">
      <c r="A28" s="1576" t="s">
        <v>1832</v>
      </c>
      <c r="B28" s="773" t="s">
        <v>681</v>
      </c>
      <c r="C28" s="53">
        <f>ROUND(F28/(1+'数据-取费表'!C42),4)</f>
        <v>5.33E-2</v>
      </c>
      <c r="D28" s="800" t="s">
        <v>2286</v>
      </c>
      <c r="E28" s="773" t="s">
        <v>1776</v>
      </c>
      <c r="F28" s="798">
        <f>'数据-取费表'!B41</f>
        <v>5.6000000000000001E-2</v>
      </c>
      <c r="G28" s="3258"/>
      <c r="H28" s="1742"/>
      <c r="I28" s="780"/>
      <c r="J28" s="781"/>
      <c r="K28" s="804"/>
      <c r="L28" s="773" t="s">
        <v>1777</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2287</v>
      </c>
      <c r="C29" s="2394">
        <f ca="1">ROUND((C19+C20+C23+C26)/(1-F21-C24-C27-C28),0)</f>
        <v>3913</v>
      </c>
      <c r="D29" s="2395"/>
      <c r="E29" s="2396"/>
      <c r="F29" s="2397"/>
      <c r="G29" s="3258"/>
      <c r="H29" s="811" t="s">
        <v>1778</v>
      </c>
      <c r="I29" s="812" t="s">
        <v>1779</v>
      </c>
      <c r="J29" s="813">
        <f ca="1">ROUND(J26/(1+F40)^F41,0)</f>
        <v>0</v>
      </c>
      <c r="K29" s="814" t="s">
        <v>1780</v>
      </c>
      <c r="L29" s="815"/>
      <c r="M29" s="816">
        <f ca="1">INDIRECT("'数据-取费表'!k"&amp;$G$1)</f>
        <v>11488</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2" t="s">
        <v>1884</v>
      </c>
      <c r="B30" s="1740" t="s">
        <v>1781</v>
      </c>
      <c r="C30" s="781">
        <f ca="1">ROUND(C31+C36+C37+C38,0)</f>
        <v>110</v>
      </c>
      <c r="D30" s="1734" t="s">
        <v>1782</v>
      </c>
      <c r="E30" s="2336"/>
      <c r="F30" s="2341"/>
      <c r="G30" s="1942"/>
      <c r="H30" s="1945"/>
      <c r="I30" s="1946"/>
      <c r="J30" s="1947"/>
      <c r="K30" s="1948"/>
      <c r="L30" s="1949"/>
      <c r="M30" s="1950"/>
    </row>
    <row r="31" spans="1:33" ht="18" customHeight="1">
      <c r="A31" s="1575" t="s">
        <v>1821</v>
      </c>
      <c r="B31" s="773" t="s">
        <v>650</v>
      </c>
      <c r="C31" s="3016">
        <f ca="1">ROUND(IF(AND(项目基本情况!B11="自然人",项目基本情况!B10="北京市"),C6*F31/(1+'数据-取费表'!C42),C32+C33+C34),0)</f>
        <v>43</v>
      </c>
      <c r="D31" s="1890" t="s">
        <v>1783</v>
      </c>
      <c r="E31" s="1888" t="s">
        <v>1784</v>
      </c>
      <c r="F31" s="3015" t="str">
        <f>IF(项目基本情况!B11="企业","——",IF('数据-取费表'!B10="住宅",IF(F6*F7*F8/12/(1+'数据-取费表'!F30)&gt;100000,4%,2.5%),IF(F6*F7*F8/12/(1+'数据-取费表'!F30)&gt;100000,12%,7%)))</f>
        <v>——</v>
      </c>
      <c r="G31" s="1942"/>
      <c r="H31" s="3255" t="s">
        <v>2996</v>
      </c>
      <c r="I31" s="1946"/>
      <c r="J31" s="1947"/>
      <c r="K31" s="1948"/>
      <c r="L31" s="1949"/>
      <c r="M31" s="1950"/>
    </row>
    <row r="32" spans="1:33" ht="18" customHeight="1">
      <c r="A32" s="1574" t="s">
        <v>1822</v>
      </c>
      <c r="B32" s="773" t="s">
        <v>1785</v>
      </c>
      <c r="C32" s="53">
        <f ca="1">ROUND(C6*F32/(1+'数据-取费表'!C42),1)</f>
        <v>10.1</v>
      </c>
      <c r="D32" s="1888" t="s">
        <v>1786</v>
      </c>
      <c r="E32" s="773" t="s">
        <v>1787</v>
      </c>
      <c r="F32" s="798">
        <f>'数据-取费表'!B41</f>
        <v>5.6000000000000001E-2</v>
      </c>
      <c r="G32" s="1942"/>
      <c r="H32" s="1951"/>
      <c r="I32" s="1952"/>
      <c r="J32" s="1953"/>
      <c r="K32" s="1954"/>
      <c r="L32" s="1955"/>
      <c r="M32" s="1956"/>
    </row>
    <row r="33" spans="1:18" ht="18" customHeight="1">
      <c r="A33" s="1574" t="s">
        <v>1823</v>
      </c>
      <c r="B33" s="773" t="s">
        <v>1788</v>
      </c>
      <c r="C33" s="53">
        <f ca="1">IF(D33="按租金收入计税",ROUND(C6*F33/(1+'数据-取费表'!C42),1),IF(D33="按房产原值计税",ROUND(C29*F33*0.7,1),INDIRECT("'数据-取费表'!Aj"&amp;$G$1)))</f>
        <v>21.6</v>
      </c>
      <c r="D33" s="799" t="s">
        <v>3085</v>
      </c>
      <c r="E33" s="773" t="s">
        <v>1787</v>
      </c>
      <c r="F33" s="798">
        <f>IF(D33="按租金收入计税",'数据-取费表'!B51,'数据-取费表'!B50)</f>
        <v>0.12</v>
      </c>
      <c r="G33" s="1942"/>
      <c r="H33" s="1957"/>
      <c r="I33" s="1957"/>
      <c r="J33" s="1957"/>
      <c r="K33" s="1958"/>
      <c r="L33" s="1957"/>
      <c r="M33" s="1957"/>
    </row>
    <row r="34" spans="1:18" ht="18" customHeight="1">
      <c r="A34" s="1577" t="s">
        <v>1824</v>
      </c>
      <c r="B34" s="338" t="s">
        <v>1789</v>
      </c>
      <c r="C34" s="54">
        <f ca="1">ROUND(F34*F35/10000,1)</f>
        <v>11</v>
      </c>
      <c r="D34" s="802" t="s">
        <v>1790</v>
      </c>
      <c r="E34" s="773" t="s">
        <v>1791</v>
      </c>
      <c r="F34" s="631">
        <f>'数据-取费表'!B52</f>
        <v>30</v>
      </c>
      <c r="G34" s="1942"/>
      <c r="H34" s="1945"/>
      <c r="I34" s="823" t="s">
        <v>1804</v>
      </c>
      <c r="J34" s="824"/>
      <c r="K34" s="1960"/>
      <c r="L34" s="1959"/>
      <c r="M34" s="1959"/>
    </row>
    <row r="35" spans="1:18" ht="18" customHeight="1">
      <c r="A35" s="803"/>
      <c r="B35" s="782"/>
      <c r="C35" s="69"/>
      <c r="D35" s="804"/>
      <c r="E35" s="773" t="s">
        <v>1792</v>
      </c>
      <c r="F35" s="774">
        <f ca="1">INDIRECT("'数据-取费表'!r"&amp;$G$1)</f>
        <v>3653.99</v>
      </c>
      <c r="G35" s="1942"/>
      <c r="H35" s="1945"/>
      <c r="I35" s="825" t="s">
        <v>1805</v>
      </c>
      <c r="J35" s="826">
        <f ca="1">ROUND(C13*J36,0)</f>
        <v>333</v>
      </c>
      <c r="K35" s="1958"/>
      <c r="L35" s="1957"/>
      <c r="M35" s="1957"/>
    </row>
    <row r="36" spans="1:18" ht="18" customHeight="1">
      <c r="A36" s="1575" t="s">
        <v>1880</v>
      </c>
      <c r="B36" s="773" t="s">
        <v>1793</v>
      </c>
      <c r="C36" s="53">
        <f ca="1">ROUND(C29*F36,1)</f>
        <v>58.7</v>
      </c>
      <c r="D36" s="1888" t="s">
        <v>1794</v>
      </c>
      <c r="E36" s="773" t="s">
        <v>1787</v>
      </c>
      <c r="F36" s="805">
        <f ca="1">INDIRECT("'数据-取费表'!Ak"&amp;$G$1)</f>
        <v>1.4999999999999999E-2</v>
      </c>
      <c r="G36" s="1942"/>
      <c r="H36" s="1957"/>
      <c r="I36" s="827" t="s">
        <v>1806</v>
      </c>
      <c r="J36" s="828">
        <f ca="1">INDIRECT("'数据-取费表'!j"&amp;$G$1)</f>
        <v>8.5000000000000006E-2</v>
      </c>
      <c r="K36" s="1961"/>
      <c r="L36" s="1957"/>
      <c r="M36" s="1957"/>
    </row>
    <row r="37" spans="1:18" ht="18" customHeight="1">
      <c r="A37" s="1575" t="s">
        <v>1881</v>
      </c>
      <c r="B37" s="773" t="s">
        <v>673</v>
      </c>
      <c r="C37" s="53">
        <f ca="1">ROUND(C13*F37,1)</f>
        <v>5.9</v>
      </c>
      <c r="D37" s="1888" t="s">
        <v>1795</v>
      </c>
      <c r="E37" s="773" t="s">
        <v>1787</v>
      </c>
      <c r="F37" s="806">
        <f ca="1">INDIRECT("'数据-取费表'!Al"&amp;$G$1)</f>
        <v>1.5E-3</v>
      </c>
      <c r="G37" s="1942"/>
      <c r="H37" s="1957"/>
      <c r="I37" s="829" t="s">
        <v>1807</v>
      </c>
      <c r="J37" s="830"/>
      <c r="K37" s="1961"/>
      <c r="L37" s="1957"/>
      <c r="M37" s="1957"/>
    </row>
    <row r="38" spans="1:18" ht="18" customHeight="1" thickBot="1">
      <c r="A38" s="2401" t="s">
        <v>1882</v>
      </c>
      <c r="B38" s="2396" t="s">
        <v>660</v>
      </c>
      <c r="C38" s="2394">
        <f ca="1">ROUND(C5*F38,1)</f>
        <v>1.9</v>
      </c>
      <c r="D38" s="2395" t="s">
        <v>1796</v>
      </c>
      <c r="E38" s="2396" t="s">
        <v>1787</v>
      </c>
      <c r="F38" s="2392">
        <f ca="1">INDIRECT("'数据-取费表'!Am"&amp;$G$1)</f>
        <v>0.01</v>
      </c>
      <c r="G38" s="1942"/>
      <c r="H38" s="1957"/>
      <c r="I38" s="831" t="s">
        <v>1808</v>
      </c>
      <c r="J38" s="832"/>
      <c r="K38" s="1962"/>
      <c r="L38" s="1957"/>
      <c r="M38" s="1957"/>
    </row>
    <row r="39" spans="1:18" ht="24.6" customHeight="1" thickTop="1">
      <c r="A39" s="1742" t="s">
        <v>1885</v>
      </c>
      <c r="B39" s="2720" t="s">
        <v>2801</v>
      </c>
      <c r="C39" s="781">
        <f ca="1">C5-C30</f>
        <v>79</v>
      </c>
      <c r="D39" s="2398" t="s">
        <v>1797</v>
      </c>
      <c r="E39" s="2399"/>
      <c r="F39" s="2400"/>
      <c r="G39" s="1942"/>
      <c r="H39" s="1957"/>
      <c r="I39" s="825" t="s">
        <v>1809</v>
      </c>
      <c r="J39" s="833">
        <f ca="1">ROUND(J35/C39,3)</f>
        <v>4.2149999999999999</v>
      </c>
      <c r="K39" s="1962"/>
      <c r="L39" s="1957"/>
      <c r="M39" s="1957"/>
    </row>
    <row r="40" spans="1:18" ht="18" customHeight="1">
      <c r="A40" s="770" t="s">
        <v>1886</v>
      </c>
      <c r="B40" s="2109" t="s">
        <v>2288</v>
      </c>
      <c r="C40" s="772">
        <f ca="1">ROUND(C39*(1-((1+F42)/(1+F40))^F41)/(F40-F42),0)</f>
        <v>1975</v>
      </c>
      <c r="D40" s="802" t="s">
        <v>1798</v>
      </c>
      <c r="E40" s="773" t="s">
        <v>2403</v>
      </c>
      <c r="F40" s="783">
        <f ca="1">INDIRECT("'数据-取费表'!I"&amp;$G$1)</f>
        <v>0.05</v>
      </c>
      <c r="G40" s="1942"/>
      <c r="H40" s="1942"/>
      <c r="I40" s="825" t="s">
        <v>1810</v>
      </c>
      <c r="J40" s="833">
        <f ca="1">1-J39</f>
        <v>-3.2149999999999999</v>
      </c>
      <c r="K40" s="1962"/>
      <c r="L40" s="1942"/>
      <c r="M40" s="1942"/>
    </row>
    <row r="41" spans="1:18" ht="18" customHeight="1">
      <c r="A41" s="775"/>
      <c r="B41" s="776"/>
      <c r="C41" s="777"/>
      <c r="D41" s="809" t="s">
        <v>1799</v>
      </c>
      <c r="E41" s="773" t="s">
        <v>2928</v>
      </c>
      <c r="F41" s="810">
        <f ca="1">IF(INDIRECT("'数据-取费表'!af"&amp;$G$1)=0,INDIRECT("'数据-取费表'!ae"&amp;$G$1),INDIRECT("'数据-取费表'!af"&amp;$G$1))</f>
        <v>47.82</v>
      </c>
      <c r="G41" s="1942"/>
      <c r="H41" s="1897"/>
      <c r="I41" s="831" t="s">
        <v>1811</v>
      </c>
      <c r="J41" s="834"/>
      <c r="K41" s="1961"/>
      <c r="L41" s="1897"/>
      <c r="M41" s="1897"/>
    </row>
    <row r="42" spans="1:18" ht="18" customHeight="1">
      <c r="A42" s="779"/>
      <c r="B42" s="780"/>
      <c r="C42" s="781"/>
      <c r="D42" s="804"/>
      <c r="E42" s="773" t="s">
        <v>1800</v>
      </c>
      <c r="F42" s="783">
        <f ca="1">INDIRECT("'数据-取费表'!v"&amp;$G$1)</f>
        <v>0.02</v>
      </c>
      <c r="G42" s="1942"/>
      <c r="H42" s="1897"/>
      <c r="I42" s="835" t="s">
        <v>1812</v>
      </c>
      <c r="J42" s="833">
        <f ca="1">ROUND(C13/C40,3)</f>
        <v>1.9810000000000001</v>
      </c>
      <c r="K42" s="1961"/>
      <c r="L42" s="1897"/>
      <c r="M42" s="1897"/>
    </row>
    <row r="43" spans="1:18" ht="18" customHeight="1" thickBot="1">
      <c r="A43" s="811" t="s">
        <v>1778</v>
      </c>
      <c r="B43" s="812" t="s">
        <v>1801</v>
      </c>
      <c r="C43" s="813">
        <f ca="1">ROUND(C40*10000/F43,0)</f>
        <v>1719</v>
      </c>
      <c r="D43" s="814" t="s">
        <v>1802</v>
      </c>
      <c r="E43" s="815" t="s">
        <v>1803</v>
      </c>
      <c r="F43" s="816">
        <f ca="1">INDIRECT("'数据-取费表'!k"&amp;$G$1)</f>
        <v>11488</v>
      </c>
      <c r="G43" s="1942"/>
      <c r="H43" s="1897"/>
      <c r="I43" s="835" t="s">
        <v>1813</v>
      </c>
      <c r="J43" s="836">
        <f ca="1">1-J42</f>
        <v>-0.98100000000000009</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2282</v>
      </c>
      <c r="B46" s="1964"/>
      <c r="C46" s="2423">
        <f ca="1">C67-C40</f>
        <v>-3348</v>
      </c>
      <c r="D46" s="3259"/>
      <c r="E46" s="3259"/>
      <c r="F46" s="3259"/>
      <c r="I46" s="2230" t="s">
        <v>2327</v>
      </c>
      <c r="J46" s="2231"/>
      <c r="K46" s="2232"/>
      <c r="L46" s="2808">
        <f>IF(OR(M47="住宅",D1="土地（套用方法）"),0,IF(L48&gt;J51,L60,J60))</f>
        <v>0</v>
      </c>
      <c r="M46" s="3260"/>
      <c r="O46" s="2246" t="s">
        <v>2394</v>
      </c>
      <c r="P46" s="1524"/>
      <c r="Q46" s="1532"/>
      <c r="R46" s="1524"/>
    </row>
    <row r="47" spans="1:18" s="1939" customFormat="1" ht="18" customHeight="1" thickBot="1">
      <c r="A47" s="2224">
        <v>1</v>
      </c>
      <c r="B47" s="2225" t="s">
        <v>629</v>
      </c>
      <c r="C47" s="2423">
        <f ca="1">C48+C52+C54</f>
        <v>0</v>
      </c>
      <c r="D47" s="3259"/>
      <c r="E47" s="3259"/>
      <c r="F47" s="3259"/>
      <c r="I47" s="2799" t="s">
        <v>2328</v>
      </c>
      <c r="J47" s="2233" t="s">
        <v>3086</v>
      </c>
      <c r="K47" s="2805" t="s">
        <v>2333</v>
      </c>
      <c r="L47" s="2809">
        <f ca="1">INDIRECT("'数据-取费表'!d"&amp;$G$1)</f>
        <v>50</v>
      </c>
      <c r="M47" s="1532" t="str">
        <f>IF(ISNUMBER(FIND("住宅",C1)),"住宅","非住宅")</f>
        <v>非住宅</v>
      </c>
      <c r="O47" s="2247" t="s">
        <v>2359</v>
      </c>
      <c r="P47" s="2248" t="s">
        <v>2360</v>
      </c>
      <c r="Q47" s="2249" t="s">
        <v>2361</v>
      </c>
      <c r="R47" s="2248" t="s">
        <v>2362</v>
      </c>
    </row>
    <row r="48" spans="1:18" s="1939" customFormat="1" ht="18" customHeight="1" thickBot="1">
      <c r="A48" s="2481" t="s">
        <v>2518</v>
      </c>
      <c r="B48" s="2482" t="s">
        <v>2519</v>
      </c>
      <c r="C48" s="2226">
        <f ca="1">ROUND(F48*F50*F49*(1-F51)/10000,0)</f>
        <v>0</v>
      </c>
      <c r="D48" s="2227" t="s">
        <v>630</v>
      </c>
      <c r="E48" s="2228" t="s">
        <v>2283</v>
      </c>
      <c r="F48" s="2229"/>
      <c r="G48" s="1969"/>
      <c r="I48" s="2796" t="s">
        <v>2329</v>
      </c>
      <c r="J48" s="2234" t="s">
        <v>2334</v>
      </c>
      <c r="K48" s="2806" t="s">
        <v>2335</v>
      </c>
      <c r="L48" s="1819">
        <f ca="1">INDIRECT("'数据-取费表'!f"&amp;$G$1)</f>
        <v>49.82</v>
      </c>
      <c r="M48" s="3260"/>
      <c r="O48" s="2250" t="s">
        <v>2363</v>
      </c>
      <c r="P48" s="2251" t="s">
        <v>2389</v>
      </c>
      <c r="Q48" s="2252">
        <f ca="1">C40+J29</f>
        <v>1975</v>
      </c>
      <c r="R48" s="2251" t="s">
        <v>2364</v>
      </c>
    </row>
    <row r="49" spans="1:18" s="1939" customFormat="1" ht="18" customHeight="1" thickBot="1">
      <c r="A49" s="775"/>
      <c r="B49" s="776"/>
      <c r="C49" s="777"/>
      <c r="D49" s="778"/>
      <c r="E49" s="773" t="s">
        <v>1730</v>
      </c>
      <c r="F49" s="774">
        <f ca="1">F7</f>
        <v>11488</v>
      </c>
      <c r="G49" s="1969"/>
      <c r="H49" s="1972"/>
      <c r="I49" s="2796" t="s">
        <v>2330</v>
      </c>
      <c r="J49" s="2235"/>
      <c r="K49" s="2807" t="s">
        <v>2336</v>
      </c>
      <c r="L49" s="2236"/>
      <c r="M49" s="3260"/>
      <c r="O49" s="2250" t="s">
        <v>2365</v>
      </c>
      <c r="P49" s="2251" t="s">
        <v>2390</v>
      </c>
      <c r="Q49" s="2252" t="str">
        <f ca="1">J60</f>
        <v>0</v>
      </c>
      <c r="R49" s="2251" t="s">
        <v>2366</v>
      </c>
    </row>
    <row r="50" spans="1:18" s="1939" customFormat="1" ht="18" customHeight="1" thickBot="1">
      <c r="A50" s="775"/>
      <c r="B50" s="776"/>
      <c r="C50" s="777"/>
      <c r="D50" s="778"/>
      <c r="E50" s="773" t="s">
        <v>1731</v>
      </c>
      <c r="F50" s="774">
        <f ca="1">F8</f>
        <v>365</v>
      </c>
      <c r="G50" s="1974"/>
      <c r="H50" s="1972"/>
      <c r="I50" s="2796" t="s">
        <v>2331</v>
      </c>
      <c r="J50" s="2803">
        <f>SUMPRODUCT((I63:I65=J47)*(J62:L62=J48)*(J63:L65))</f>
        <v>60</v>
      </c>
      <c r="K50" s="2807" t="s">
        <v>2337</v>
      </c>
      <c r="L50" s="2236"/>
      <c r="M50" s="3260"/>
      <c r="O50" s="2253" t="s">
        <v>2367</v>
      </c>
      <c r="P50" s="2251" t="s">
        <v>2391</v>
      </c>
      <c r="Q50" s="2252">
        <f ca="1">C29</f>
        <v>3913</v>
      </c>
      <c r="R50" s="2251" t="s">
        <v>2364</v>
      </c>
    </row>
    <row r="51" spans="1:18" s="1939" customFormat="1" ht="18" customHeight="1" thickBot="1">
      <c r="A51" s="775"/>
      <c r="B51" s="776"/>
      <c r="C51" s="777"/>
      <c r="D51" s="778"/>
      <c r="E51" s="773" t="s">
        <v>634</v>
      </c>
      <c r="F51" s="2223">
        <v>0.1</v>
      </c>
      <c r="H51" s="1972"/>
      <c r="I51" s="2800" t="s">
        <v>2332</v>
      </c>
      <c r="J51" s="2804">
        <f>IF(J49="",J50,J49+J50-YEAR('数据-取费表'!B2))</f>
        <v>60</v>
      </c>
      <c r="K51" s="2796" t="s">
        <v>2338</v>
      </c>
      <c r="L51" s="2810">
        <f ca="1">ROUND(-PV(INDIRECT("'数据-取费表'!h"&amp;$G$1),J51,(C39-C13*J36),0),0)</f>
        <v>-5234</v>
      </c>
      <c r="M51" s="3260"/>
      <c r="O51" s="2253" t="s">
        <v>2368</v>
      </c>
      <c r="P51" s="2251" t="s">
        <v>2369</v>
      </c>
      <c r="Q51" s="2254" t="e">
        <f ca="1">J58</f>
        <v>#VALUE!</v>
      </c>
      <c r="R51" s="2255"/>
    </row>
    <row r="52" spans="1:18" s="1939" customFormat="1" ht="18" customHeight="1" thickBot="1">
      <c r="A52" s="770" t="s">
        <v>2517</v>
      </c>
      <c r="B52" s="2344" t="s">
        <v>2440</v>
      </c>
      <c r="C52" s="788">
        <f ca="1">ROUND(IF(F52="押一",C48/12*F11,IF(F52="押二",C48/12*2*F11,IF(F52="押三",C48/12*3*F11,C53*F11))),0)</f>
        <v>0</v>
      </c>
      <c r="D52" s="2351" t="s">
        <v>2938</v>
      </c>
      <c r="E52" s="2348" t="s">
        <v>2445</v>
      </c>
      <c r="F52" s="2462" t="s">
        <v>3084</v>
      </c>
      <c r="I52" s="2801" t="s">
        <v>2405</v>
      </c>
      <c r="J52" s="2237"/>
      <c r="K52" s="2801" t="s">
        <v>2404</v>
      </c>
      <c r="L52" s="2237"/>
      <c r="M52" s="3260"/>
      <c r="O52" s="2253" t="s">
        <v>2370</v>
      </c>
      <c r="P52" s="2251" t="s">
        <v>2371</v>
      </c>
      <c r="Q52" s="2254">
        <f>J52</f>
        <v>0</v>
      </c>
      <c r="R52" s="2255"/>
    </row>
    <row r="53" spans="1:18" s="1939" customFormat="1" ht="39.75" customHeight="1" thickBot="1">
      <c r="A53" s="775"/>
      <c r="B53" s="2345" t="s">
        <v>2554</v>
      </c>
      <c r="C53" s="2349"/>
      <c r="D53" s="2351"/>
      <c r="E53" s="2348"/>
      <c r="F53" s="789"/>
      <c r="I53" s="2802" t="s">
        <v>2941</v>
      </c>
      <c r="J53" s="2855">
        <f ca="1">IF(M47="住宅",IF(D1="——",MAX(J51,L48),MAX(J51,L48-'数据-取费表'!B20)),IF(D1="——",MIN(J51,L48),MIN(J51,L48-'数据-取费表'!B20)))</f>
        <v>47.82</v>
      </c>
      <c r="K53" s="3616" t="s">
        <v>2930</v>
      </c>
      <c r="L53" s="3617"/>
      <c r="M53" s="3260"/>
      <c r="O53" s="2253" t="s">
        <v>2372</v>
      </c>
      <c r="P53" s="2251" t="s">
        <v>2373</v>
      </c>
      <c r="Q53" s="2252">
        <f ca="1">J53</f>
        <v>47.82</v>
      </c>
      <c r="R53" s="2251" t="s">
        <v>2374</v>
      </c>
    </row>
    <row r="54" spans="1:18" s="1939" customFormat="1" ht="18" customHeight="1" thickBot="1">
      <c r="A54" s="2387" t="s">
        <v>2448</v>
      </c>
      <c r="B54" s="2388" t="s">
        <v>2441</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2375</v>
      </c>
      <c r="P54" s="2251" t="s">
        <v>2392</v>
      </c>
      <c r="Q54" s="2252">
        <f ca="1">Q48+Q49</f>
        <v>1975</v>
      </c>
      <c r="R54" s="2255" t="s">
        <v>2376</v>
      </c>
    </row>
    <row r="55" spans="1:18" s="1939" customFormat="1" ht="18" customHeight="1" thickTop="1" thickBot="1">
      <c r="A55" s="786">
        <v>2</v>
      </c>
      <c r="B55" s="787" t="s">
        <v>638</v>
      </c>
      <c r="C55" s="788">
        <f ca="1">C13</f>
        <v>3913</v>
      </c>
      <c r="D55" s="784"/>
      <c r="E55" s="784"/>
      <c r="F55" s="789"/>
      <c r="I55" s="2813" t="s">
        <v>2339</v>
      </c>
      <c r="J55" s="2785" t="e">
        <f ca="1">ROUND(IF(J47="钢混",J57/J50,1-(1-2%)*(J50-J57)/J50),3)</f>
        <v>#VALUE!</v>
      </c>
      <c r="K55" s="2814" t="s">
        <v>2340</v>
      </c>
      <c r="L55" s="2238"/>
      <c r="M55" s="3260"/>
      <c r="O55" s="2256" t="s">
        <v>2395</v>
      </c>
      <c r="P55" s="1524"/>
      <c r="Q55" s="1532"/>
      <c r="R55" s="1524"/>
    </row>
    <row r="56" spans="1:18" s="1939" customFormat="1" ht="42.75" customHeight="1" thickBot="1">
      <c r="A56" s="1576"/>
      <c r="B56" s="2108" t="s">
        <v>2289</v>
      </c>
      <c r="C56" s="53">
        <f ca="1">C29</f>
        <v>3913</v>
      </c>
      <c r="D56" s="2478"/>
      <c r="E56" s="773"/>
      <c r="F56" s="798"/>
      <c r="I56" s="2815" t="s">
        <v>2341</v>
      </c>
      <c r="J56" s="2825" t="s">
        <v>1669</v>
      </c>
      <c r="K56" s="2796" t="s">
        <v>2346</v>
      </c>
      <c r="L56" s="1819" t="str">
        <f ca="1">IF(L48&lt;J51,"——",L48-J51)</f>
        <v>——</v>
      </c>
      <c r="M56" s="3260"/>
      <c r="O56" s="2247" t="s">
        <v>2359</v>
      </c>
      <c r="P56" s="2248" t="s">
        <v>2360</v>
      </c>
      <c r="Q56" s="2249" t="s">
        <v>2361</v>
      </c>
      <c r="R56" s="2248" t="s">
        <v>2362</v>
      </c>
    </row>
    <row r="57" spans="1:18" s="1939" customFormat="1" ht="28.5" customHeight="1" thickBot="1">
      <c r="A57" s="786" t="s">
        <v>1739</v>
      </c>
      <c r="B57" s="787" t="s">
        <v>645</v>
      </c>
      <c r="C57" s="788">
        <f ca="1">ROUND(C58+C63+C64+C65,0)</f>
        <v>76</v>
      </c>
      <c r="D57" s="26" t="s">
        <v>1741</v>
      </c>
      <c r="E57" s="2479"/>
      <c r="F57" s="56"/>
      <c r="I57" s="2816" t="s">
        <v>2342</v>
      </c>
      <c r="J57" s="2817" t="str">
        <f ca="1">IF(OR(M47="住宅",J51&lt;L48,J56="是"),"——",J51-L48)</f>
        <v>——</v>
      </c>
      <c r="K57" s="2796" t="s">
        <v>2347</v>
      </c>
      <c r="L57" s="1819" t="str">
        <f ca="1">IF(L48&lt;J51,"——",IF(L55="比较法",L49,IF(L55="基准地价",L50,L51)))</f>
        <v>——</v>
      </c>
      <c r="M57" s="3260"/>
      <c r="O57" s="2250" t="s">
        <v>2363</v>
      </c>
      <c r="P57" s="2251" t="s">
        <v>2393</v>
      </c>
      <c r="Q57" s="2252">
        <f ca="1">C40+J29</f>
        <v>1975</v>
      </c>
      <c r="R57" s="2251" t="s">
        <v>2364</v>
      </c>
    </row>
    <row r="58" spans="1:18" s="1939" customFormat="1" ht="28.5" customHeight="1" thickBot="1">
      <c r="A58" s="1575" t="s">
        <v>1815</v>
      </c>
      <c r="B58" s="773" t="s">
        <v>650</v>
      </c>
      <c r="C58" s="3016">
        <f ca="1">ROUND(IF(AND(项目基本情况!B11="自然人",项目基本情况!B10="北京市"),C48*F58/(1+'数据-取费表'!C42),C59+C60+C61),0)</f>
        <v>11</v>
      </c>
      <c r="D58" s="2477" t="s">
        <v>651</v>
      </c>
      <c r="E58" s="2478"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19" t="e">
        <f ca="1">ROUND(POWER(1+L52,L47-L48)*(POWER(1+L52,L48)-1)/(POWER(1+L52,L47)-1),4)</f>
        <v>#DIV/0!</v>
      </c>
      <c r="M58" s="3260"/>
      <c r="O58" s="2250" t="s">
        <v>2365</v>
      </c>
      <c r="P58" s="2251" t="s">
        <v>2396</v>
      </c>
      <c r="Q58" s="2252">
        <f ca="1">L60</f>
        <v>0</v>
      </c>
      <c r="R58" s="2255" t="s">
        <v>2398</v>
      </c>
    </row>
    <row r="59" spans="1:18" s="1939" customFormat="1" ht="28.5" customHeight="1" thickBot="1">
      <c r="A59" s="1574" t="s">
        <v>1822</v>
      </c>
      <c r="B59" s="773" t="s">
        <v>654</v>
      </c>
      <c r="C59" s="53">
        <f ca="1">ROUND(C47*F59/1.05,1)</f>
        <v>0</v>
      </c>
      <c r="D59" s="2478" t="s">
        <v>1747</v>
      </c>
      <c r="E59" s="773" t="s">
        <v>1738</v>
      </c>
      <c r="F59" s="798">
        <f t="shared" ref="F59:F65" si="0">F32</f>
        <v>5.6000000000000001E-2</v>
      </c>
      <c r="I59" s="2816" t="s">
        <v>2344</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60"/>
      <c r="O59" s="2253" t="s">
        <v>2367</v>
      </c>
      <c r="P59" s="2251" t="s">
        <v>2397</v>
      </c>
      <c r="Q59" s="2252">
        <f>IF(L55="比较法",L49,IF(L55="基准地价",L50,0))</f>
        <v>0</v>
      </c>
      <c r="R59" s="2251" t="s">
        <v>2364</v>
      </c>
    </row>
    <row r="60" spans="1:18" s="1939" customFormat="1" ht="18" customHeight="1" thickBot="1">
      <c r="A60" s="1574" t="s">
        <v>1823</v>
      </c>
      <c r="B60" s="773" t="s">
        <v>1749</v>
      </c>
      <c r="C60" s="53">
        <f ca="1">IF(D60="按租金收入计税",ROUND(C47*F60,1),IF(D60="按房产原值计税",ROUND(C56*F60*0.7,1),INDIRECT("'数据-取费表'!Aj"&amp;$G$1)))</f>
        <v>0</v>
      </c>
      <c r="D60" s="2478" t="str">
        <f>D33</f>
        <v>按租金收入计税</v>
      </c>
      <c r="E60" s="773" t="s">
        <v>1738</v>
      </c>
      <c r="F60" s="798">
        <f t="shared" si="0"/>
        <v>0.12</v>
      </c>
      <c r="I60" s="2818" t="s">
        <v>2345</v>
      </c>
      <c r="J60" s="2819" t="str">
        <f ca="1">IF(OR(M47="住宅",J51&lt;L48,J56="是"),"0",ROUND(J59/(1+J52)^J53,0))</f>
        <v>0</v>
      </c>
      <c r="K60" s="2820" t="s">
        <v>2350</v>
      </c>
      <c r="L60" s="2819">
        <f ca="1">IF(OR(M47="住宅",L48&lt;J51),0,ROUND(L57*(L58/L59-1),0))</f>
        <v>0</v>
      </c>
      <c r="M60" s="3260"/>
      <c r="O60" s="2253" t="s">
        <v>2368</v>
      </c>
      <c r="P60" s="2251" t="s">
        <v>2377</v>
      </c>
      <c r="Q60" s="2254">
        <f>L52</f>
        <v>0</v>
      </c>
      <c r="R60" s="2255"/>
    </row>
    <row r="61" spans="1:18" s="1939" customFormat="1" ht="18" customHeight="1" thickBot="1">
      <c r="A61" s="1577" t="s">
        <v>1824</v>
      </c>
      <c r="B61" s="338" t="s">
        <v>662</v>
      </c>
      <c r="C61" s="54">
        <f ca="1">ROUND(F61*F62/10000,1)</f>
        <v>11</v>
      </c>
      <c r="D61" s="802" t="s">
        <v>663</v>
      </c>
      <c r="E61" s="773" t="s">
        <v>664</v>
      </c>
      <c r="F61" s="631">
        <f t="shared" si="0"/>
        <v>30</v>
      </c>
      <c r="K61" s="1965"/>
      <c r="O61" s="2253" t="s">
        <v>2370</v>
      </c>
      <c r="P61" s="2251" t="s">
        <v>2378</v>
      </c>
      <c r="Q61" s="2252" t="e">
        <f ca="1">L58</f>
        <v>#DIV/0!</v>
      </c>
      <c r="R61" s="2255" t="s">
        <v>2379</v>
      </c>
    </row>
    <row r="62" spans="1:18" s="1939" customFormat="1" ht="15.75" thickBot="1">
      <c r="A62" s="803"/>
      <c r="B62" s="782"/>
      <c r="C62" s="69"/>
      <c r="D62" s="804"/>
      <c r="E62" s="773" t="s">
        <v>668</v>
      </c>
      <c r="F62" s="774">
        <f t="shared" ca="1" si="0"/>
        <v>3653.99</v>
      </c>
      <c r="I62" s="2821" t="s">
        <v>2351</v>
      </c>
      <c r="J62" s="2822" t="s">
        <v>2352</v>
      </c>
      <c r="K62" s="2822" t="s">
        <v>2353</v>
      </c>
      <c r="L62" s="2822" t="s">
        <v>2334</v>
      </c>
      <c r="M62" s="2823" t="s">
        <v>2909</v>
      </c>
      <c r="O62" s="2253" t="s">
        <v>2372</v>
      </c>
      <c r="P62" s="2251" t="str">
        <f>K59</f>
        <v>建设期及建筑物耐用年限下的土地年期修正系数Kn</v>
      </c>
      <c r="Q62" s="2252" t="e">
        <f ca="1">L59</f>
        <v>#DIV/0!</v>
      </c>
      <c r="R62" s="2255" t="s">
        <v>2381</v>
      </c>
    </row>
    <row r="63" spans="1:18" s="1939" customFormat="1" ht="15.75" thickBot="1">
      <c r="A63" s="1575" t="s">
        <v>1880</v>
      </c>
      <c r="B63" s="773" t="s">
        <v>670</v>
      </c>
      <c r="C63" s="53">
        <f ca="1">ROUND(C56*F63,1)</f>
        <v>58.7</v>
      </c>
      <c r="D63" s="2478" t="s">
        <v>1794</v>
      </c>
      <c r="E63" s="773" t="s">
        <v>1738</v>
      </c>
      <c r="F63" s="805">
        <f t="shared" ca="1" si="0"/>
        <v>1.4999999999999999E-2</v>
      </c>
      <c r="I63" s="2821" t="s">
        <v>2354</v>
      </c>
      <c r="J63" s="2822">
        <v>70</v>
      </c>
      <c r="K63" s="2822">
        <v>50</v>
      </c>
      <c r="L63" s="2822">
        <v>80</v>
      </c>
      <c r="M63" s="2824">
        <v>0.02</v>
      </c>
      <c r="O63" s="2250" t="s">
        <v>2375</v>
      </c>
      <c r="P63" s="2251" t="s">
        <v>2392</v>
      </c>
      <c r="Q63" s="2252">
        <f ca="1">Q57+Q58</f>
        <v>1975</v>
      </c>
      <c r="R63" s="2255" t="s">
        <v>2376</v>
      </c>
    </row>
    <row r="64" spans="1:18" s="1939" customFormat="1" ht="16.5" thickBot="1">
      <c r="A64" s="1575" t="s">
        <v>1881</v>
      </c>
      <c r="B64" s="773" t="s">
        <v>673</v>
      </c>
      <c r="C64" s="53">
        <f ca="1">ROUND(C55*F64,1)</f>
        <v>5.9</v>
      </c>
      <c r="D64" s="2478" t="s">
        <v>674</v>
      </c>
      <c r="E64" s="773" t="s">
        <v>1738</v>
      </c>
      <c r="F64" s="806">
        <f t="shared" ca="1" si="0"/>
        <v>1.5E-3</v>
      </c>
      <c r="I64" s="2821" t="s">
        <v>2355</v>
      </c>
      <c r="J64" s="2822">
        <v>50</v>
      </c>
      <c r="K64" s="2822">
        <v>35</v>
      </c>
      <c r="L64" s="2822">
        <v>60</v>
      </c>
      <c r="M64" s="834">
        <v>0</v>
      </c>
      <c r="O64" s="2256" t="s">
        <v>2399</v>
      </c>
      <c r="P64" s="1524"/>
      <c r="Q64" s="1532"/>
      <c r="R64" s="1524"/>
    </row>
    <row r="65" spans="1:18" s="1939" customFormat="1" ht="15.75" thickBot="1">
      <c r="A65" s="1575" t="s">
        <v>1882</v>
      </c>
      <c r="B65" s="773" t="s">
        <v>660</v>
      </c>
      <c r="C65" s="53">
        <f ca="1">ROUND(C47*F65,1)</f>
        <v>0</v>
      </c>
      <c r="D65" s="2478" t="s">
        <v>677</v>
      </c>
      <c r="E65" s="773" t="s">
        <v>1738</v>
      </c>
      <c r="F65" s="783">
        <f t="shared" ca="1" si="0"/>
        <v>0.01</v>
      </c>
      <c r="I65" s="2821" t="s">
        <v>2356</v>
      </c>
      <c r="J65" s="2822">
        <v>40</v>
      </c>
      <c r="K65" s="2822">
        <v>30</v>
      </c>
      <c r="L65" s="2822">
        <v>50</v>
      </c>
      <c r="M65" s="2824">
        <v>0.02</v>
      </c>
      <c r="O65" s="2247" t="s">
        <v>2359</v>
      </c>
      <c r="P65" s="2248" t="s">
        <v>2360</v>
      </c>
      <c r="Q65" s="2249" t="s">
        <v>2361</v>
      </c>
      <c r="R65" s="2248" t="s">
        <v>2362</v>
      </c>
    </row>
    <row r="66" spans="1:18" s="1939" customFormat="1" ht="24.75" thickBot="1">
      <c r="A66" s="786" t="s">
        <v>1767</v>
      </c>
      <c r="B66" s="2721" t="s">
        <v>2801</v>
      </c>
      <c r="C66" s="788">
        <f ca="1">C47-C57</f>
        <v>-76</v>
      </c>
      <c r="D66" s="2477" t="s">
        <v>694</v>
      </c>
      <c r="E66" s="2476"/>
      <c r="F66" s="808"/>
      <c r="K66" s="1965"/>
      <c r="O66" s="2250" t="s">
        <v>2363</v>
      </c>
      <c r="P66" s="2251" t="s">
        <v>2393</v>
      </c>
      <c r="Q66" s="2252">
        <f ca="1">C40+J29</f>
        <v>1975</v>
      </c>
      <c r="R66" s="2251" t="s">
        <v>2364</v>
      </c>
    </row>
    <row r="67" spans="1:18" s="1939" customFormat="1" ht="20.25" thickBot="1">
      <c r="A67" s="770" t="s">
        <v>1771</v>
      </c>
      <c r="B67" s="2109" t="s">
        <v>2288</v>
      </c>
      <c r="C67" s="772">
        <f ca="1">ROUND(C66*(1-((1+F69)/(1+F67))^F68)/(F67-F69),0)</f>
        <v>-1373</v>
      </c>
      <c r="D67" s="802" t="s">
        <v>698</v>
      </c>
      <c r="E67" s="773" t="s">
        <v>699</v>
      </c>
      <c r="F67" s="783">
        <f ca="1">F40</f>
        <v>0.05</v>
      </c>
      <c r="K67" s="1965"/>
      <c r="O67" s="2250" t="s">
        <v>2365</v>
      </c>
      <c r="P67" s="2251" t="s">
        <v>2396</v>
      </c>
      <c r="Q67" s="2252">
        <f ca="1">L60</f>
        <v>0</v>
      </c>
      <c r="R67" s="2255" t="s">
        <v>2398</v>
      </c>
    </row>
    <row r="68" spans="1:18" ht="21.75" thickBot="1">
      <c r="A68" s="775"/>
      <c r="B68" s="776"/>
      <c r="C68" s="777"/>
      <c r="D68" s="809" t="s">
        <v>1799</v>
      </c>
      <c r="E68" s="773" t="s">
        <v>1775</v>
      </c>
      <c r="F68" s="810">
        <f ca="1">F41</f>
        <v>47.82</v>
      </c>
      <c r="O68" s="2253" t="s">
        <v>2367</v>
      </c>
      <c r="P68" s="2251" t="s">
        <v>2397</v>
      </c>
      <c r="Q68" s="2257">
        <f ca="1">L51</f>
        <v>-5234</v>
      </c>
      <c r="R68" s="2258" t="s">
        <v>2400</v>
      </c>
    </row>
    <row r="69" spans="1:18" ht="20.25" thickBot="1">
      <c r="A69" s="779"/>
      <c r="B69" s="780"/>
      <c r="C69" s="781"/>
      <c r="D69" s="804"/>
      <c r="E69" s="773" t="s">
        <v>704</v>
      </c>
      <c r="F69" s="2223"/>
      <c r="O69" s="2253" t="s">
        <v>2368</v>
      </c>
      <c r="P69" s="2259" t="s">
        <v>2382</v>
      </c>
      <c r="Q69" s="2252">
        <f ca="1">ROUND(Q70-Q71*Q72,0)</f>
        <v>-254</v>
      </c>
      <c r="R69" s="2255"/>
    </row>
    <row r="70" spans="1:18" ht="15.75" thickBot="1">
      <c r="A70" s="811" t="s">
        <v>1778</v>
      </c>
      <c r="B70" s="812" t="s">
        <v>1801</v>
      </c>
      <c r="C70" s="813">
        <f ca="1">ROUND(C67*10000/F70,0)</f>
        <v>-1195</v>
      </c>
      <c r="D70" s="814" t="s">
        <v>1802</v>
      </c>
      <c r="E70" s="815" t="s">
        <v>1803</v>
      </c>
      <c r="F70" s="816">
        <f ca="1">F43</f>
        <v>11488</v>
      </c>
      <c r="O70" s="2253" t="s">
        <v>2383</v>
      </c>
      <c r="P70" s="2259" t="s">
        <v>2384</v>
      </c>
      <c r="Q70" s="2252">
        <f ca="1">C39</f>
        <v>79</v>
      </c>
      <c r="R70" s="2251" t="s">
        <v>2364</v>
      </c>
    </row>
    <row r="71" spans="1:18" ht="15.75" thickBot="1">
      <c r="O71" s="2253" t="s">
        <v>2385</v>
      </c>
      <c r="P71" s="2259" t="s">
        <v>2386</v>
      </c>
      <c r="Q71" s="2252">
        <f ca="1">C13</f>
        <v>3913</v>
      </c>
      <c r="R71" s="2251" t="s">
        <v>2364</v>
      </c>
    </row>
    <row r="72" spans="1:18" ht="15.75" thickBot="1">
      <c r="O72" s="2253" t="s">
        <v>2387</v>
      </c>
      <c r="P72" s="2259" t="s">
        <v>2388</v>
      </c>
      <c r="Q72" s="2254">
        <f ca="1">J36</f>
        <v>8.5000000000000006E-2</v>
      </c>
      <c r="R72" s="2255"/>
    </row>
    <row r="73" spans="1:18" ht="15.75" thickBot="1">
      <c r="O73" s="2253" t="s">
        <v>2370</v>
      </c>
      <c r="P73" s="2251" t="s">
        <v>2377</v>
      </c>
      <c r="Q73" s="2254">
        <f>L52</f>
        <v>0</v>
      </c>
      <c r="R73" s="2255"/>
    </row>
    <row r="74" spans="1:18" ht="20.25" thickBot="1">
      <c r="O74" s="2253" t="s">
        <v>2372</v>
      </c>
      <c r="P74" s="2251" t="s">
        <v>2378</v>
      </c>
      <c r="Q74" s="2252" t="e">
        <f ca="1">L58</f>
        <v>#DIV/0!</v>
      </c>
      <c r="R74" s="2255" t="s">
        <v>2379</v>
      </c>
    </row>
    <row r="75" spans="1:18" ht="15.75" thickBot="1">
      <c r="O75" s="2253" t="s">
        <v>2401</v>
      </c>
      <c r="P75" s="2251" t="str">
        <f>K59</f>
        <v>建设期及建筑物耐用年限下的土地年期修正系数Kn</v>
      </c>
      <c r="Q75" s="2252" t="e">
        <f ca="1">L59</f>
        <v>#DIV/0!</v>
      </c>
      <c r="R75" s="2255" t="s">
        <v>2381</v>
      </c>
    </row>
    <row r="76" spans="1:18" ht="15.75" thickBot="1">
      <c r="O76" s="2250" t="s">
        <v>2375</v>
      </c>
      <c r="P76" s="2251" t="s">
        <v>2392</v>
      </c>
      <c r="Q76" s="2252">
        <f ca="1">Q66+Q67</f>
        <v>1975</v>
      </c>
      <c r="R76" s="2255"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43" priority="7">
      <formula>$L$48&gt;$J$51</formula>
    </cfRule>
  </conditionalFormatting>
  <conditionalFormatting sqref="I55">
    <cfRule type="expression" dxfId="42" priority="8">
      <formula>$J$51&gt;$L$48</formula>
    </cfRule>
  </conditionalFormatting>
  <conditionalFormatting sqref="I60">
    <cfRule type="expression" dxfId="41" priority="6">
      <formula>$J$51&gt;$L$48</formula>
    </cfRule>
  </conditionalFormatting>
  <conditionalFormatting sqref="K60">
    <cfRule type="expression" dxfId="40" priority="5">
      <formula>$L$48&gt;$J$51</formula>
    </cfRule>
  </conditionalFormatting>
  <conditionalFormatting sqref="C11">
    <cfRule type="expression" dxfId="39" priority="4">
      <formula>$F$10="自定义"</formula>
    </cfRule>
  </conditionalFormatting>
  <conditionalFormatting sqref="J11">
    <cfRule type="expression" dxfId="38" priority="2">
      <formula>$M$10="自定义"</formula>
    </cfRule>
  </conditionalFormatting>
  <conditionalFormatting sqref="C53">
    <cfRule type="expression" dxfId="3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D259"/>
  <sheetViews>
    <sheetView view="pageBreakPreview" topLeftCell="A5" zoomScaleNormal="95" zoomScaleSheetLayoutView="100" workbookViewId="0">
      <selection activeCell="I46" sqref="I46"/>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7"/>
      <c r="M1" s="3208"/>
      <c r="N1" s="3208"/>
      <c r="O1" s="3208"/>
      <c r="P1" s="2011"/>
      <c r="Q1" s="2011"/>
      <c r="R1" s="2011"/>
      <c r="S1" s="2011"/>
      <c r="T1" s="2011"/>
      <c r="U1" s="2011"/>
      <c r="V1" s="2011"/>
      <c r="W1" s="2011"/>
      <c r="X1" s="2011"/>
      <c r="Y1" s="2011"/>
      <c r="Z1" s="2011"/>
      <c r="AA1" s="2011"/>
      <c r="AB1" s="2011"/>
      <c r="AC1" s="3209"/>
      <c r="AD1" s="1288"/>
    </row>
    <row r="2" spans="1:30" s="1289" customFormat="1" ht="28.5" customHeight="1">
      <c r="A2" s="416" t="s">
        <v>461</v>
      </c>
      <c r="B2" s="501">
        <f>F68</f>
        <v>93812</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8"/>
    </row>
    <row r="3" spans="1:30" s="1289" customFormat="1" ht="28.5" customHeight="1">
      <c r="A3" s="1328" t="s">
        <v>1675</v>
      </c>
      <c r="B3" s="503">
        <f>ROUND(B2*10000/'数据-汇总表'!E3,0)</f>
        <v>5973</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9" customFormat="1" ht="28.5" customHeight="1">
      <c r="A4" s="504" t="s">
        <v>514</v>
      </c>
      <c r="B4" s="420">
        <f>IF(B48="单位面积地价",C50,ROUND(B2*10000/'数据-汇总表'!D3,0))</f>
        <v>18779</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9" customFormat="1" ht="28.5" customHeight="1" thickBot="1">
      <c r="A5" s="422"/>
      <c r="B5" s="423">
        <f>ROUND(B2/('数据-汇总表'!D3/666.67),0)</f>
        <v>1252</v>
      </c>
      <c r="C5" s="424" t="s">
        <v>463</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508" t="s">
        <v>516</v>
      </c>
      <c r="D6" s="3509"/>
      <c r="E6" s="3508" t="s">
        <v>517</v>
      </c>
      <c r="F6" s="3509"/>
      <c r="G6" s="3508" t="s">
        <v>518</v>
      </c>
      <c r="H6" s="3509"/>
      <c r="I6" s="3508" t="s">
        <v>519</v>
      </c>
      <c r="J6" s="3509"/>
      <c r="K6" s="507" t="s">
        <v>520</v>
      </c>
      <c r="L6" s="2012"/>
      <c r="M6" s="2011"/>
      <c r="N6" s="2011"/>
      <c r="O6" s="2013"/>
      <c r="P6" s="3510" t="s">
        <v>521</v>
      </c>
      <c r="Q6" s="3511"/>
      <c r="R6" s="3496" t="s">
        <v>517</v>
      </c>
      <c r="S6" s="3497"/>
      <c r="T6" s="3496" t="s">
        <v>518</v>
      </c>
      <c r="U6" s="3497"/>
      <c r="V6" s="3516" t="s">
        <v>519</v>
      </c>
      <c r="W6" s="3516"/>
      <c r="X6" s="3280"/>
      <c r="Y6" s="3496" t="s">
        <v>521</v>
      </c>
      <c r="Z6" s="3497"/>
      <c r="AA6" s="3491" t="s">
        <v>517</v>
      </c>
      <c r="AB6" s="3492" t="s">
        <v>518</v>
      </c>
      <c r="AC6" s="3491" t="s">
        <v>519</v>
      </c>
    </row>
    <row r="7" spans="1:30" ht="20.25">
      <c r="A7" s="508"/>
      <c r="B7" s="509"/>
      <c r="C7" s="3521" t="s">
        <v>2896</v>
      </c>
      <c r="D7" s="3520"/>
      <c r="E7" s="3519" t="s">
        <v>3051</v>
      </c>
      <c r="F7" s="3520"/>
      <c r="G7" s="3519" t="s">
        <v>3060</v>
      </c>
      <c r="H7" s="3520"/>
      <c r="I7" s="3519" t="s">
        <v>3062</v>
      </c>
      <c r="J7" s="3520"/>
      <c r="K7" s="507"/>
      <c r="L7" s="2012"/>
      <c r="M7" s="2011"/>
      <c r="N7" s="2011"/>
      <c r="O7" s="2013"/>
      <c r="P7" s="3512"/>
      <c r="Q7" s="3513"/>
      <c r="R7" s="3498"/>
      <c r="S7" s="3499"/>
      <c r="T7" s="3498"/>
      <c r="U7" s="3499"/>
      <c r="V7" s="3516"/>
      <c r="W7" s="3516"/>
      <c r="X7" s="3280"/>
      <c r="Y7" s="3498"/>
      <c r="Z7" s="3499"/>
      <c r="AA7" s="3492"/>
      <c r="AB7" s="3492"/>
      <c r="AC7" s="3492"/>
    </row>
    <row r="8" spans="1:30" ht="21" thickBot="1">
      <c r="A8" s="508"/>
      <c r="B8" s="509"/>
      <c r="C8" s="3522" t="s">
        <v>2900</v>
      </c>
      <c r="D8" s="3523"/>
      <c r="E8" s="3524" t="s">
        <v>3052</v>
      </c>
      <c r="F8" s="3523"/>
      <c r="G8" s="3517" t="s">
        <v>3061</v>
      </c>
      <c r="H8" s="3518"/>
      <c r="I8" s="3517" t="s">
        <v>3063</v>
      </c>
      <c r="J8" s="3518"/>
      <c r="K8" s="507" t="s">
        <v>522</v>
      </c>
      <c r="L8" s="2012"/>
      <c r="M8" s="2011"/>
      <c r="N8" s="2011"/>
      <c r="O8" s="2013"/>
      <c r="P8" s="3514"/>
      <c r="Q8" s="3515"/>
      <c r="R8" s="3498"/>
      <c r="S8" s="3499"/>
      <c r="T8" s="3500"/>
      <c r="U8" s="3501"/>
      <c r="V8" s="3516"/>
      <c r="W8" s="3516"/>
      <c r="X8" s="3280"/>
      <c r="Y8" s="3500"/>
      <c r="Z8" s="3501"/>
      <c r="AA8" s="3493"/>
      <c r="AB8" s="3493"/>
      <c r="AC8" s="3493"/>
    </row>
    <row r="9" spans="1:30" s="1202" customFormat="1" ht="21" thickBot="1">
      <c r="A9" s="2626"/>
      <c r="B9" s="2633" t="s">
        <v>523</v>
      </c>
      <c r="C9" s="2625">
        <f>'数据-取费表'!B2</f>
        <v>44234</v>
      </c>
      <c r="D9" s="513">
        <v>100</v>
      </c>
      <c r="E9" s="514">
        <v>44197</v>
      </c>
      <c r="F9" s="515">
        <f>SUMIF(72:72,YEAR(E9)&amp;"-"&amp;INT((MONTH(E9)+2)/3),73:73)</f>
        <v>100</v>
      </c>
      <c r="G9" s="516">
        <v>44197</v>
      </c>
      <c r="H9" s="513">
        <f>SUMIF(72:72,YEAR(G9)&amp;"-"&amp;INT((MONTH(G9)+2)/3),73:73)</f>
        <v>100</v>
      </c>
      <c r="I9" s="516">
        <v>44197</v>
      </c>
      <c r="J9" s="513">
        <f>SUMIF(72:72,YEAR(I9)&amp;"-"&amp;INT((MONTH(I9)+2)/3),73:73)</f>
        <v>100</v>
      </c>
      <c r="K9" s="517"/>
      <c r="L9" s="2014"/>
      <c r="M9" s="2011"/>
      <c r="N9" s="2011"/>
      <c r="O9" s="2015"/>
      <c r="P9" s="3494" t="s">
        <v>524</v>
      </c>
      <c r="Q9" s="3503"/>
      <c r="R9" s="1500" t="s">
        <v>8</v>
      </c>
      <c r="S9" s="1501">
        <f t="shared" ref="S9:S17" si="0">F9</f>
        <v>100</v>
      </c>
      <c r="T9" s="1500" t="s">
        <v>8</v>
      </c>
      <c r="U9" s="1501">
        <f t="shared" ref="U9:U17" si="1">H9</f>
        <v>100</v>
      </c>
      <c r="V9" s="1500" t="s">
        <v>8</v>
      </c>
      <c r="W9" s="1501">
        <f t="shared" ref="W9:W17" si="2">J9</f>
        <v>100</v>
      </c>
      <c r="X9" s="1502"/>
      <c r="Y9" s="3494" t="s">
        <v>524</v>
      </c>
      <c r="Z9" s="3495"/>
      <c r="AA9" s="1503">
        <f>D9/F9</f>
        <v>1</v>
      </c>
      <c r="AB9" s="1503">
        <f>D9/H9</f>
        <v>1</v>
      </c>
      <c r="AC9" s="1503">
        <f>D9/J9</f>
        <v>1</v>
      </c>
    </row>
    <row r="10" spans="1:30" s="1202" customFormat="1" ht="21" thickBot="1">
      <c r="A10" s="2627"/>
      <c r="B10" s="2634" t="s">
        <v>525</v>
      </c>
      <c r="C10" s="844" t="s">
        <v>526</v>
      </c>
      <c r="D10" s="513">
        <v>100</v>
      </c>
      <c r="E10" s="518" t="s">
        <v>3026</v>
      </c>
      <c r="F10" s="515">
        <f>SUMIF(75:75,E10,76:76)-SUMIF(75:75,C10,76:76)+100</f>
        <v>100</v>
      </c>
      <c r="G10" s="518" t="s">
        <v>3026</v>
      </c>
      <c r="H10" s="513">
        <f>SUMIF(75:75,G10,76:76)-SUMIF(75:75,C10,76:76)+100</f>
        <v>100</v>
      </c>
      <c r="I10" s="518" t="s">
        <v>3026</v>
      </c>
      <c r="J10" s="513">
        <f>SUMIF(75:75,I10,76:76)-SUMIF(75:75,C10,76:76)+100</f>
        <v>100</v>
      </c>
      <c r="K10" s="517"/>
      <c r="L10" s="2014"/>
      <c r="M10" s="2011"/>
      <c r="N10" s="2011"/>
      <c r="O10" s="2015"/>
      <c r="P10" s="3494" t="s">
        <v>527</v>
      </c>
      <c r="Q10" s="3495"/>
      <c r="R10" s="1500" t="s">
        <v>8</v>
      </c>
      <c r="S10" s="1501">
        <f t="shared" si="0"/>
        <v>100</v>
      </c>
      <c r="T10" s="1500" t="s">
        <v>8</v>
      </c>
      <c r="U10" s="1501">
        <f t="shared" si="1"/>
        <v>100</v>
      </c>
      <c r="V10" s="1500" t="s">
        <v>8</v>
      </c>
      <c r="W10" s="1501">
        <f t="shared" si="2"/>
        <v>100</v>
      </c>
      <c r="X10" s="1502"/>
      <c r="Y10" s="3494" t="s">
        <v>527</v>
      </c>
      <c r="Z10" s="3495"/>
      <c r="AA10" s="1503">
        <f t="shared" ref="AA10:AA47" si="3">D10/F10</f>
        <v>1</v>
      </c>
      <c r="AB10" s="1503">
        <f t="shared" ref="AB10:AB47" si="4">D10/H10</f>
        <v>1</v>
      </c>
      <c r="AC10" s="1503">
        <f t="shared" ref="AC10:AC47" si="5">D10/J10</f>
        <v>1</v>
      </c>
    </row>
    <row r="11" spans="1:30" s="1202" customFormat="1" ht="20.25">
      <c r="A11" s="2628"/>
      <c r="B11" s="2635" t="s">
        <v>2736</v>
      </c>
      <c r="C11" s="2622" t="s">
        <v>914</v>
      </c>
      <c r="D11" s="251">
        <v>100</v>
      </c>
      <c r="E11" s="2622" t="s">
        <v>914</v>
      </c>
      <c r="F11" s="251">
        <f>SUMIF(77:77,E11,78:78)-SUMIF(77:77,C11,78:78)+100</f>
        <v>100</v>
      </c>
      <c r="G11" s="2622" t="s">
        <v>914</v>
      </c>
      <c r="H11" s="251">
        <f>SUMIF(77:77,G11,78:78)-SUMIF(77:77,C11,78:78)+100</f>
        <v>100</v>
      </c>
      <c r="I11" s="2622" t="s">
        <v>914</v>
      </c>
      <c r="J11" s="251">
        <f>SUMIF(77:77,I11,78:78)-SUMIF(77:77,C11,78:78)+100</f>
        <v>100</v>
      </c>
      <c r="K11" s="517"/>
      <c r="L11" s="2014"/>
      <c r="M11" s="2011"/>
      <c r="N11" s="2011"/>
      <c r="O11" s="2016"/>
      <c r="P11" s="3502" t="s">
        <v>529</v>
      </c>
      <c r="Q11" s="3277" t="str">
        <f t="shared" ref="Q11:Q17" si="6">B11</f>
        <v>用途</v>
      </c>
      <c r="R11" s="1500" t="s">
        <v>8</v>
      </c>
      <c r="S11" s="1501">
        <f t="shared" si="0"/>
        <v>100</v>
      </c>
      <c r="T11" s="1500" t="s">
        <v>8</v>
      </c>
      <c r="U11" s="1501">
        <f t="shared" si="1"/>
        <v>100</v>
      </c>
      <c r="V11" s="1500" t="s">
        <v>8</v>
      </c>
      <c r="W11" s="1501">
        <f t="shared" si="2"/>
        <v>100</v>
      </c>
      <c r="X11" s="1502"/>
      <c r="Y11" s="3453" t="s">
        <v>530</v>
      </c>
      <c r="Z11" s="3276" t="str">
        <f t="shared" ref="Z11:Z17" si="7">Q11</f>
        <v>用途</v>
      </c>
      <c r="AA11" s="1503">
        <f t="shared" si="3"/>
        <v>1</v>
      </c>
      <c r="AB11" s="1503">
        <f t="shared" si="4"/>
        <v>1</v>
      </c>
      <c r="AC11" s="1503">
        <f t="shared" si="5"/>
        <v>1</v>
      </c>
    </row>
    <row r="12" spans="1:30" s="1291" customFormat="1" ht="27">
      <c r="A12" s="2629"/>
      <c r="B12" s="2634" t="s">
        <v>2737</v>
      </c>
      <c r="C12" s="898"/>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502"/>
      <c r="Q12" s="3277" t="str">
        <f t="shared" si="6"/>
        <v>土地使用年限（年）</v>
      </c>
      <c r="R12" s="1500" t="s">
        <v>8</v>
      </c>
      <c r="S12" s="1501">
        <f t="shared" si="0"/>
        <v>100</v>
      </c>
      <c r="T12" s="1500" t="s">
        <v>8</v>
      </c>
      <c r="U12" s="1501">
        <f t="shared" si="1"/>
        <v>100</v>
      </c>
      <c r="V12" s="1500" t="s">
        <v>8</v>
      </c>
      <c r="W12" s="1501">
        <f t="shared" si="2"/>
        <v>100</v>
      </c>
      <c r="X12" s="1502"/>
      <c r="Y12" s="3453"/>
      <c r="Z12" s="3276" t="str">
        <f t="shared" si="7"/>
        <v>土地使用年限（年）</v>
      </c>
      <c r="AA12" s="1503">
        <f t="shared" si="3"/>
        <v>1</v>
      </c>
      <c r="AB12" s="1503">
        <f t="shared" si="4"/>
        <v>1</v>
      </c>
      <c r="AC12" s="1503">
        <f t="shared" si="5"/>
        <v>1</v>
      </c>
    </row>
    <row r="13" spans="1:30" ht="20.25">
      <c r="A13" s="2630"/>
      <c r="B13" s="2634" t="s">
        <v>2738</v>
      </c>
      <c r="C13" s="527">
        <v>2.31</v>
      </c>
      <c r="D13" s="252">
        <v>100</v>
      </c>
      <c r="E13" s="526">
        <v>2.5</v>
      </c>
      <c r="F13" s="252">
        <f>LOOKUP(E13,82:82,83:83)-LOOKUP(C13,82:82,83:83)+100</f>
        <v>100</v>
      </c>
      <c r="G13" s="527">
        <v>2.5</v>
      </c>
      <c r="H13" s="252">
        <f>LOOKUP(G13,82:82,83:83)-LOOKUP(C13,82:82,83:83)+100</f>
        <v>100</v>
      </c>
      <c r="I13" s="526">
        <v>2.63</v>
      </c>
      <c r="J13" s="252">
        <f>LOOKUP(I13,82:82,83:83)-LOOKUP(C13,82:82,83:83)+100</f>
        <v>100</v>
      </c>
      <c r="K13" s="528"/>
      <c r="L13" s="2019"/>
      <c r="M13" s="2011"/>
      <c r="N13" s="2011"/>
      <c r="O13" s="2020"/>
      <c r="P13" s="3502"/>
      <c r="Q13" s="3277" t="str">
        <f t="shared" si="6"/>
        <v>容积率</v>
      </c>
      <c r="R13" s="1500" t="s">
        <v>8</v>
      </c>
      <c r="S13" s="1501">
        <f t="shared" si="0"/>
        <v>100</v>
      </c>
      <c r="T13" s="1500" t="s">
        <v>8</v>
      </c>
      <c r="U13" s="1501">
        <f t="shared" si="1"/>
        <v>100</v>
      </c>
      <c r="V13" s="1500" t="s">
        <v>8</v>
      </c>
      <c r="W13" s="1501">
        <f t="shared" si="2"/>
        <v>100</v>
      </c>
      <c r="X13" s="1502"/>
      <c r="Y13" s="3453"/>
      <c r="Z13" s="3276" t="str">
        <f t="shared" si="7"/>
        <v>容积率</v>
      </c>
      <c r="AA13" s="1503">
        <f t="shared" si="3"/>
        <v>1</v>
      </c>
      <c r="AB13" s="1503">
        <f t="shared" si="4"/>
        <v>1</v>
      </c>
      <c r="AC13" s="1503">
        <f t="shared" si="5"/>
        <v>1</v>
      </c>
    </row>
    <row r="14" spans="1:30" s="1202" customFormat="1" ht="20.25">
      <c r="A14" s="2627"/>
      <c r="B14" s="2636" t="s">
        <v>2739</v>
      </c>
      <c r="C14" s="2623"/>
      <c r="D14" s="531">
        <v>100</v>
      </c>
      <c r="E14" s="1324"/>
      <c r="F14" s="252">
        <f>SUMIF(84:84,E14,85:85)-SUMIF(84:84,C14,85:85)+100</f>
        <v>100</v>
      </c>
      <c r="G14" s="523"/>
      <c r="H14" s="252">
        <f>SUMIF(84:84,G14,85:85)-SUMIF(84:84,C14,85:85)+100</f>
        <v>100</v>
      </c>
      <c r="I14" s="522"/>
      <c r="J14" s="252">
        <f>SUMIF(84:84,I14,85:85)-SUMIF(84:84,C14,85:85)+100</f>
        <v>100</v>
      </c>
      <c r="K14" s="524"/>
      <c r="L14" s="2014"/>
      <c r="M14" s="2011"/>
      <c r="N14" s="2011"/>
      <c r="O14" s="2016"/>
      <c r="P14" s="3502"/>
      <c r="Q14" s="3277" t="str">
        <f t="shared" si="6"/>
        <v>配建</v>
      </c>
      <c r="R14" s="1500" t="s">
        <v>8</v>
      </c>
      <c r="S14" s="1501">
        <f t="shared" si="0"/>
        <v>100</v>
      </c>
      <c r="T14" s="1500" t="s">
        <v>8</v>
      </c>
      <c r="U14" s="1501">
        <f t="shared" si="1"/>
        <v>100</v>
      </c>
      <c r="V14" s="1500" t="s">
        <v>8</v>
      </c>
      <c r="W14" s="1501">
        <f t="shared" si="2"/>
        <v>100</v>
      </c>
      <c r="X14" s="1502"/>
      <c r="Y14" s="3453"/>
      <c r="Z14" s="3276" t="str">
        <f t="shared" si="7"/>
        <v>配建</v>
      </c>
      <c r="AA14" s="1503">
        <f>D14/F14</f>
        <v>1</v>
      </c>
      <c r="AB14" s="1503">
        <f>D14/H14</f>
        <v>1</v>
      </c>
      <c r="AC14" s="1503">
        <f>D14/J14</f>
        <v>1</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502"/>
      <c r="Q15" s="3277">
        <f t="shared" si="6"/>
        <v>111</v>
      </c>
      <c r="R15" s="1500" t="s">
        <v>8</v>
      </c>
      <c r="S15" s="1501">
        <f t="shared" si="0"/>
        <v>100</v>
      </c>
      <c r="T15" s="1500" t="s">
        <v>8</v>
      </c>
      <c r="U15" s="1501">
        <f t="shared" si="1"/>
        <v>100</v>
      </c>
      <c r="V15" s="1500" t="s">
        <v>8</v>
      </c>
      <c r="W15" s="1501">
        <f t="shared" si="2"/>
        <v>100</v>
      </c>
      <c r="X15" s="1502"/>
      <c r="Y15" s="3453"/>
      <c r="Z15" s="3276">
        <f t="shared" si="7"/>
        <v>111</v>
      </c>
      <c r="AA15" s="1503">
        <f>D15/F15</f>
        <v>1</v>
      </c>
      <c r="AB15" s="1503">
        <f>D15/H15</f>
        <v>1</v>
      </c>
      <c r="AC15" s="1503">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502"/>
      <c r="Q16" s="3277">
        <f t="shared" si="6"/>
        <v>111</v>
      </c>
      <c r="R16" s="1500" t="s">
        <v>8</v>
      </c>
      <c r="S16" s="1501">
        <f t="shared" si="0"/>
        <v>100</v>
      </c>
      <c r="T16" s="1500" t="s">
        <v>8</v>
      </c>
      <c r="U16" s="1501">
        <f t="shared" si="1"/>
        <v>100</v>
      </c>
      <c r="V16" s="1500" t="s">
        <v>8</v>
      </c>
      <c r="W16" s="1501">
        <f t="shared" si="2"/>
        <v>100</v>
      </c>
      <c r="X16" s="1502"/>
      <c r="Y16" s="3453"/>
      <c r="Z16" s="3276">
        <f t="shared" si="7"/>
        <v>111</v>
      </c>
      <c r="AA16" s="1503">
        <f>D16/F16</f>
        <v>1</v>
      </c>
      <c r="AB16" s="1503">
        <f>D16/H16</f>
        <v>1</v>
      </c>
      <c r="AC16" s="1503">
        <f>D16/J16</f>
        <v>1</v>
      </c>
    </row>
    <row r="17" spans="1:29" ht="99.75">
      <c r="A17" s="2624"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103</v>
      </c>
      <c r="I17" s="545"/>
      <c r="J17" s="542">
        <f>SUMIF(90:90,I18,91:91)-SUMIF(90:90,C18,91:91)+100</f>
        <v>100</v>
      </c>
      <c r="K17" s="528">
        <v>3</v>
      </c>
      <c r="L17" s="2021"/>
      <c r="M17" s="2011"/>
      <c r="N17" s="2011"/>
      <c r="O17" s="2020"/>
      <c r="P17" s="3504" t="s">
        <v>534</v>
      </c>
      <c r="Q17" s="3278" t="str">
        <f t="shared" si="6"/>
        <v>居住社区成熟度</v>
      </c>
      <c r="R17" s="1505" t="s">
        <v>8</v>
      </c>
      <c r="S17" s="1506">
        <f t="shared" si="0"/>
        <v>100</v>
      </c>
      <c r="T17" s="1505" t="s">
        <v>8</v>
      </c>
      <c r="U17" s="1506">
        <f t="shared" si="1"/>
        <v>103</v>
      </c>
      <c r="V17" s="1505" t="s">
        <v>8</v>
      </c>
      <c r="W17" s="1506">
        <f t="shared" si="2"/>
        <v>100</v>
      </c>
      <c r="X17" s="3280"/>
      <c r="Y17" s="3504" t="s">
        <v>534</v>
      </c>
      <c r="Z17" s="3279" t="str">
        <f t="shared" si="7"/>
        <v>居住社区成熟度</v>
      </c>
      <c r="AA17" s="3282">
        <f t="shared" si="3"/>
        <v>1</v>
      </c>
      <c r="AB17" s="3282">
        <f t="shared" si="4"/>
        <v>0.970873786407767</v>
      </c>
      <c r="AC17" s="3282">
        <f t="shared" si="5"/>
        <v>1</v>
      </c>
    </row>
    <row r="18" spans="1:29" ht="20.25">
      <c r="A18" s="525"/>
      <c r="B18" s="546"/>
      <c r="C18" s="547" t="s">
        <v>3028</v>
      </c>
      <c r="D18" s="550"/>
      <c r="E18" s="547" t="s">
        <v>3028</v>
      </c>
      <c r="F18" s="548"/>
      <c r="G18" s="547" t="s">
        <v>3039</v>
      </c>
      <c r="H18" s="552"/>
      <c r="I18" s="547" t="s">
        <v>3028</v>
      </c>
      <c r="J18" s="548"/>
      <c r="K18" s="524"/>
      <c r="L18" s="2021"/>
      <c r="M18" s="2011"/>
      <c r="N18" s="2011"/>
      <c r="O18" s="2020"/>
      <c r="P18" s="3505"/>
      <c r="Q18" s="3278"/>
      <c r="R18" s="1505"/>
      <c r="S18" s="1506"/>
      <c r="T18" s="1505"/>
      <c r="U18" s="1506"/>
      <c r="V18" s="1505"/>
      <c r="W18" s="1506"/>
      <c r="X18" s="3280"/>
      <c r="Y18" s="3505"/>
      <c r="Z18" s="3279"/>
      <c r="AA18" s="3282">
        <v>1</v>
      </c>
      <c r="AB18" s="3282">
        <v>1</v>
      </c>
      <c r="AC18" s="3282">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505"/>
      <c r="Q19" s="3278" t="str">
        <f>B19</f>
        <v>商业繁华度</v>
      </c>
      <c r="R19" s="1505" t="s">
        <v>8</v>
      </c>
      <c r="S19" s="1506">
        <f>F19</f>
        <v>100</v>
      </c>
      <c r="T19" s="1505" t="s">
        <v>8</v>
      </c>
      <c r="U19" s="1506">
        <f>H19</f>
        <v>100</v>
      </c>
      <c r="V19" s="1505" t="s">
        <v>8</v>
      </c>
      <c r="W19" s="1506">
        <f>J19</f>
        <v>100</v>
      </c>
      <c r="X19" s="3280"/>
      <c r="Y19" s="3505"/>
      <c r="Z19" s="3279" t="str">
        <f>Q19</f>
        <v>商业繁华度</v>
      </c>
      <c r="AA19" s="3282">
        <f t="shared" si="3"/>
        <v>1</v>
      </c>
      <c r="AB19" s="3282">
        <f t="shared" si="4"/>
        <v>1</v>
      </c>
      <c r="AC19" s="3282">
        <f t="shared" si="5"/>
        <v>1</v>
      </c>
    </row>
    <row r="20" spans="1:29" ht="20.25" hidden="1">
      <c r="A20" s="525"/>
      <c r="B20" s="559"/>
      <c r="C20" s="560"/>
      <c r="D20" s="556"/>
      <c r="E20" s="562"/>
      <c r="F20" s="552"/>
      <c r="G20" s="561"/>
      <c r="H20" s="548"/>
      <c r="I20" s="562"/>
      <c r="J20" s="548"/>
      <c r="K20" s="524"/>
      <c r="L20" s="2021"/>
      <c r="M20" s="2011"/>
      <c r="N20" s="2011"/>
      <c r="O20" s="2020"/>
      <c r="P20" s="3505"/>
      <c r="Q20" s="3278"/>
      <c r="R20" s="1505"/>
      <c r="S20" s="1506"/>
      <c r="T20" s="1505"/>
      <c r="U20" s="1506"/>
      <c r="V20" s="1505"/>
      <c r="W20" s="1506"/>
      <c r="X20" s="3280"/>
      <c r="Y20" s="3505"/>
      <c r="Z20" s="3279"/>
      <c r="AA20" s="3282">
        <v>1</v>
      </c>
      <c r="AB20" s="3282">
        <v>1</v>
      </c>
      <c r="AC20" s="3282">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505"/>
      <c r="Q21" s="3278" t="str">
        <f>B21</f>
        <v>办公集聚程度</v>
      </c>
      <c r="R21" s="1505" t="s">
        <v>8</v>
      </c>
      <c r="S21" s="1506">
        <f>F21</f>
        <v>100</v>
      </c>
      <c r="T21" s="1505" t="s">
        <v>8</v>
      </c>
      <c r="U21" s="1506">
        <f>H21</f>
        <v>100</v>
      </c>
      <c r="V21" s="1505" t="s">
        <v>8</v>
      </c>
      <c r="W21" s="1506">
        <f>J21</f>
        <v>100</v>
      </c>
      <c r="X21" s="3280"/>
      <c r="Y21" s="3505"/>
      <c r="Z21" s="3279" t="str">
        <f>Q21</f>
        <v>办公集聚程度</v>
      </c>
      <c r="AA21" s="3282">
        <f t="shared" si="3"/>
        <v>1</v>
      </c>
      <c r="AB21" s="3282">
        <f t="shared" si="4"/>
        <v>1</v>
      </c>
      <c r="AC21" s="3282">
        <f t="shared" si="5"/>
        <v>1</v>
      </c>
    </row>
    <row r="22" spans="1:29" ht="20.25" hidden="1">
      <c r="A22" s="525"/>
      <c r="B22" s="559"/>
      <c r="C22" s="547"/>
      <c r="D22" s="550"/>
      <c r="E22" s="551"/>
      <c r="F22" s="548"/>
      <c r="G22" s="549"/>
      <c r="H22" s="548"/>
      <c r="I22" s="551"/>
      <c r="J22" s="548"/>
      <c r="K22" s="524"/>
      <c r="L22" s="2021"/>
      <c r="M22" s="2011"/>
      <c r="N22" s="2011"/>
      <c r="O22" s="2020"/>
      <c r="P22" s="3505"/>
      <c r="Q22" s="3278"/>
      <c r="R22" s="1505"/>
      <c r="S22" s="1506"/>
      <c r="T22" s="1505"/>
      <c r="U22" s="1506"/>
      <c r="V22" s="1505"/>
      <c r="W22" s="1506"/>
      <c r="X22" s="3280"/>
      <c r="Y22" s="3505"/>
      <c r="Z22" s="3279"/>
      <c r="AA22" s="3282">
        <v>1</v>
      </c>
      <c r="AB22" s="3282">
        <v>1</v>
      </c>
      <c r="AC22" s="3282">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103</v>
      </c>
      <c r="I23" s="557"/>
      <c r="J23" s="552">
        <f>SUMIF(96:96,I24,97:97)-SUMIF(96:96,C24,97:97)+100</f>
        <v>103</v>
      </c>
      <c r="K23" s="528">
        <v>3</v>
      </c>
      <c r="L23" s="2021"/>
      <c r="M23" s="2011"/>
      <c r="N23" s="2011"/>
      <c r="O23" s="2020"/>
      <c r="P23" s="3505"/>
      <c r="Q23" s="3278" t="str">
        <f>B23</f>
        <v>交通便捷度</v>
      </c>
      <c r="R23" s="1505" t="s">
        <v>8</v>
      </c>
      <c r="S23" s="1506">
        <f>F23</f>
        <v>100</v>
      </c>
      <c r="T23" s="1505" t="s">
        <v>8</v>
      </c>
      <c r="U23" s="1506">
        <f>H23</f>
        <v>103</v>
      </c>
      <c r="V23" s="1505" t="s">
        <v>8</v>
      </c>
      <c r="W23" s="1506">
        <f>J23</f>
        <v>103</v>
      </c>
      <c r="X23" s="3280"/>
      <c r="Y23" s="3505"/>
      <c r="Z23" s="3279" t="str">
        <f>Q23</f>
        <v>交通便捷度</v>
      </c>
      <c r="AA23" s="3282">
        <f t="shared" si="3"/>
        <v>1</v>
      </c>
      <c r="AB23" s="3282">
        <f t="shared" si="4"/>
        <v>0.970873786407767</v>
      </c>
      <c r="AC23" s="3282">
        <f t="shared" si="5"/>
        <v>0.970873786407767</v>
      </c>
    </row>
    <row r="24" spans="1:29" ht="20.25">
      <c r="A24" s="525"/>
      <c r="B24" s="571"/>
      <c r="C24" s="547" t="s">
        <v>3029</v>
      </c>
      <c r="D24" s="550"/>
      <c r="E24" s="547" t="s">
        <v>3029</v>
      </c>
      <c r="F24" s="548"/>
      <c r="G24" s="547" t="s">
        <v>3028</v>
      </c>
      <c r="H24" s="548"/>
      <c r="I24" s="547" t="s">
        <v>3028</v>
      </c>
      <c r="J24" s="548"/>
      <c r="K24" s="524"/>
      <c r="L24" s="2021"/>
      <c r="M24" s="2011"/>
      <c r="N24" s="2011"/>
      <c r="O24" s="2020"/>
      <c r="P24" s="3505"/>
      <c r="Q24" s="3278"/>
      <c r="R24" s="1505"/>
      <c r="S24" s="1506"/>
      <c r="T24" s="1505"/>
      <c r="U24" s="1506"/>
      <c r="V24" s="1505"/>
      <c r="W24" s="1506"/>
      <c r="X24" s="3280"/>
      <c r="Y24" s="3505"/>
      <c r="Z24" s="3279"/>
      <c r="AA24" s="3282">
        <v>1</v>
      </c>
      <c r="AB24" s="3282">
        <v>1</v>
      </c>
      <c r="AC24" s="3282">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1"/>
      <c r="M25" s="2011"/>
      <c r="N25" s="2011"/>
      <c r="O25" s="2020"/>
      <c r="P25" s="3505"/>
      <c r="Q25" s="3278" t="str">
        <f t="shared" ref="Q25:Q39" si="8">B25</f>
        <v>区域土地利用方向</v>
      </c>
      <c r="R25" s="1505" t="s">
        <v>8</v>
      </c>
      <c r="S25" s="1506">
        <f>F25</f>
        <v>100</v>
      </c>
      <c r="T25" s="1505" t="s">
        <v>8</v>
      </c>
      <c r="U25" s="1506">
        <f>H25</f>
        <v>100</v>
      </c>
      <c r="V25" s="1505" t="s">
        <v>8</v>
      </c>
      <c r="W25" s="1506">
        <f>J25</f>
        <v>100</v>
      </c>
      <c r="X25" s="3280"/>
      <c r="Y25" s="3505"/>
      <c r="Z25" s="3279" t="str">
        <f>Q25</f>
        <v>区域土地利用方向</v>
      </c>
      <c r="AA25" s="3282">
        <f t="shared" si="3"/>
        <v>1</v>
      </c>
      <c r="AB25" s="3282">
        <f t="shared" si="4"/>
        <v>1</v>
      </c>
      <c r="AC25" s="3282">
        <f t="shared" si="5"/>
        <v>1</v>
      </c>
    </row>
    <row r="26" spans="1:29" ht="20.25">
      <c r="A26" s="508"/>
      <c r="B26" s="993"/>
      <c r="C26" s="547" t="s">
        <v>3028</v>
      </c>
      <c r="D26" s="550"/>
      <c r="E26" s="547" t="s">
        <v>3028</v>
      </c>
      <c r="F26" s="548"/>
      <c r="G26" s="547" t="s">
        <v>3028</v>
      </c>
      <c r="H26" s="548"/>
      <c r="I26" s="547" t="s">
        <v>3028</v>
      </c>
      <c r="J26" s="548"/>
      <c r="K26" s="524"/>
      <c r="L26" s="2021"/>
      <c r="M26" s="2011"/>
      <c r="N26" s="2011"/>
      <c r="O26" s="2020"/>
      <c r="P26" s="3505"/>
      <c r="Q26" s="3278"/>
      <c r="R26" s="1505"/>
      <c r="S26" s="1506"/>
      <c r="T26" s="1505"/>
      <c r="U26" s="1506"/>
      <c r="V26" s="1505"/>
      <c r="W26" s="1506"/>
      <c r="X26" s="3280"/>
      <c r="Y26" s="3505"/>
      <c r="Z26" s="3279"/>
      <c r="AA26" s="3282"/>
      <c r="AB26" s="3282"/>
      <c r="AC26" s="3282"/>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103</v>
      </c>
      <c r="I27" s="557"/>
      <c r="J27" s="552">
        <f>SUMIF(100:100,I28,101:101)-SUMIF(100:100,C28,101:101)+100</f>
        <v>100</v>
      </c>
      <c r="K27" s="528">
        <v>3</v>
      </c>
      <c r="L27" s="2021"/>
      <c r="M27" s="2011"/>
      <c r="N27" s="2011"/>
      <c r="O27" s="2020"/>
      <c r="P27" s="3505"/>
      <c r="Q27" s="3278" t="str">
        <f t="shared" si="8"/>
        <v>自然及人文环境状况</v>
      </c>
      <c r="R27" s="1505" t="s">
        <v>8</v>
      </c>
      <c r="S27" s="1506">
        <f>F27</f>
        <v>100</v>
      </c>
      <c r="T27" s="1505" t="s">
        <v>8</v>
      </c>
      <c r="U27" s="1506">
        <f>H27</f>
        <v>103</v>
      </c>
      <c r="V27" s="1505" t="s">
        <v>8</v>
      </c>
      <c r="W27" s="1506">
        <f>J27</f>
        <v>100</v>
      </c>
      <c r="X27" s="3280"/>
      <c r="Y27" s="3505"/>
      <c r="Z27" s="3279" t="str">
        <f>Q27</f>
        <v>自然及人文环境状况</v>
      </c>
      <c r="AA27" s="3282">
        <f t="shared" si="3"/>
        <v>1</v>
      </c>
      <c r="AB27" s="3282">
        <f t="shared" si="4"/>
        <v>0.970873786407767</v>
      </c>
      <c r="AC27" s="3282">
        <f t="shared" si="5"/>
        <v>1</v>
      </c>
    </row>
    <row r="28" spans="1:29" ht="20.25">
      <c r="A28" s="508"/>
      <c r="B28" s="559"/>
      <c r="C28" s="547" t="s">
        <v>3029</v>
      </c>
      <c r="D28" s="550"/>
      <c r="E28" s="547" t="s">
        <v>3029</v>
      </c>
      <c r="F28" s="548"/>
      <c r="G28" s="547" t="s">
        <v>3028</v>
      </c>
      <c r="H28" s="548"/>
      <c r="I28" s="547" t="s">
        <v>3029</v>
      </c>
      <c r="J28" s="548"/>
      <c r="K28" s="524"/>
      <c r="L28" s="2021"/>
      <c r="M28" s="2011"/>
      <c r="N28" s="2011"/>
      <c r="O28" s="2020"/>
      <c r="P28" s="3505"/>
      <c r="Q28" s="3278"/>
      <c r="R28" s="1505"/>
      <c r="S28" s="1506"/>
      <c r="T28" s="1505"/>
      <c r="U28" s="1506"/>
      <c r="V28" s="1505"/>
      <c r="W28" s="1506"/>
      <c r="X28" s="3280"/>
      <c r="Y28" s="3505"/>
      <c r="Z28" s="3279"/>
      <c r="AA28" s="3282">
        <v>1</v>
      </c>
      <c r="AB28" s="3282">
        <v>1</v>
      </c>
      <c r="AC28" s="3282">
        <v>1</v>
      </c>
    </row>
    <row r="29" spans="1:29" s="1202" customFormat="1" ht="42.75">
      <c r="A29" s="570"/>
      <c r="B29" s="2432"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4"/>
      <c r="M29" s="2011"/>
      <c r="N29" s="2011"/>
      <c r="O29" s="2016"/>
      <c r="P29" s="3505"/>
      <c r="Q29" s="3277" t="str">
        <f t="shared" si="8"/>
        <v>公共配套设施</v>
      </c>
      <c r="R29" s="1500" t="s">
        <v>8</v>
      </c>
      <c r="S29" s="1501">
        <f>F29</f>
        <v>100</v>
      </c>
      <c r="T29" s="1500" t="s">
        <v>8</v>
      </c>
      <c r="U29" s="1501">
        <f>H29</f>
        <v>100</v>
      </c>
      <c r="V29" s="1500" t="s">
        <v>8</v>
      </c>
      <c r="W29" s="1501">
        <f>J29</f>
        <v>100</v>
      </c>
      <c r="X29" s="1502"/>
      <c r="Y29" s="3505"/>
      <c r="Z29" s="3276" t="str">
        <f>Q29</f>
        <v>公共配套设施</v>
      </c>
      <c r="AA29" s="3282">
        <f>D29/F29</f>
        <v>1</v>
      </c>
      <c r="AB29" s="3282">
        <f>D29/H29</f>
        <v>1</v>
      </c>
      <c r="AC29" s="3282">
        <f>D29/J29</f>
        <v>1</v>
      </c>
    </row>
    <row r="30" spans="1:29" s="1202" customFormat="1" ht="20.25">
      <c r="A30" s="570"/>
      <c r="B30" s="559"/>
      <c r="C30" s="572" t="s">
        <v>3028</v>
      </c>
      <c r="D30" s="550"/>
      <c r="E30" s="572" t="s">
        <v>3028</v>
      </c>
      <c r="F30" s="548"/>
      <c r="G30" s="572" t="s">
        <v>3028</v>
      </c>
      <c r="H30" s="548"/>
      <c r="I30" s="572" t="s">
        <v>3028</v>
      </c>
      <c r="J30" s="548"/>
      <c r="K30" s="524"/>
      <c r="L30" s="2014"/>
      <c r="M30" s="2011"/>
      <c r="N30" s="2011"/>
      <c r="O30" s="2016"/>
      <c r="P30" s="3505"/>
      <c r="Q30" s="3277"/>
      <c r="R30" s="1500"/>
      <c r="S30" s="1501"/>
      <c r="T30" s="1500"/>
      <c r="U30" s="1501"/>
      <c r="V30" s="1500"/>
      <c r="W30" s="1501"/>
      <c r="X30" s="1502"/>
      <c r="Y30" s="3505"/>
      <c r="Z30" s="3276"/>
      <c r="AA30" s="3282">
        <v>1</v>
      </c>
      <c r="AB30" s="3282">
        <v>1</v>
      </c>
      <c r="AC30" s="3282">
        <v>1</v>
      </c>
    </row>
    <row r="31" spans="1:29" s="1202" customFormat="1" ht="28.5">
      <c r="A31" s="570"/>
      <c r="B31" s="2432"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4"/>
      <c r="M31" s="2011"/>
      <c r="N31" s="2011"/>
      <c r="O31" s="2016"/>
      <c r="P31" s="3505"/>
      <c r="Q31" s="3277" t="str">
        <f t="shared" ref="Q31" si="9">B31</f>
        <v>基础设施水平</v>
      </c>
      <c r="R31" s="1500" t="s">
        <v>8</v>
      </c>
      <c r="S31" s="1501">
        <f>F31</f>
        <v>100</v>
      </c>
      <c r="T31" s="1500" t="s">
        <v>8</v>
      </c>
      <c r="U31" s="1501">
        <f>H31</f>
        <v>100</v>
      </c>
      <c r="V31" s="1500" t="s">
        <v>8</v>
      </c>
      <c r="W31" s="1501">
        <f>J31</f>
        <v>100</v>
      </c>
      <c r="X31" s="1502"/>
      <c r="Y31" s="3505"/>
      <c r="Z31" s="3276" t="str">
        <f>Q31</f>
        <v>基础设施水平</v>
      </c>
      <c r="AA31" s="3282">
        <f>D31/F31</f>
        <v>1</v>
      </c>
      <c r="AB31" s="3282">
        <f>D31/H31</f>
        <v>1</v>
      </c>
      <c r="AC31" s="3282">
        <f>D31/J31</f>
        <v>1</v>
      </c>
    </row>
    <row r="32" spans="1:29" s="1202" customFormat="1" ht="20.25">
      <c r="A32" s="570"/>
      <c r="B32" s="559"/>
      <c r="C32" s="572" t="s">
        <v>3030</v>
      </c>
      <c r="D32" s="550"/>
      <c r="E32" s="572" t="s">
        <v>3030</v>
      </c>
      <c r="F32" s="548"/>
      <c r="G32" s="572" t="s">
        <v>3030</v>
      </c>
      <c r="H32" s="548"/>
      <c r="I32" s="572" t="s">
        <v>3030</v>
      </c>
      <c r="J32" s="548"/>
      <c r="K32" s="524"/>
      <c r="L32" s="2014"/>
      <c r="M32" s="2011"/>
      <c r="N32" s="2011"/>
      <c r="O32" s="2016"/>
      <c r="P32" s="3505"/>
      <c r="Q32" s="3277"/>
      <c r="R32" s="1500"/>
      <c r="S32" s="1501"/>
      <c r="T32" s="1500"/>
      <c r="U32" s="1501"/>
      <c r="V32" s="1500"/>
      <c r="W32" s="1501"/>
      <c r="X32" s="1502"/>
      <c r="Y32" s="3505"/>
      <c r="Z32" s="3276"/>
      <c r="AA32" s="3282">
        <v>1</v>
      </c>
      <c r="AB32" s="3282">
        <v>1</v>
      </c>
      <c r="AC32" s="3282">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505"/>
      <c r="Q33" s="3278" t="str">
        <f t="shared" si="8"/>
        <v>临街状况</v>
      </c>
      <c r="R33" s="1505" t="s">
        <v>8</v>
      </c>
      <c r="S33" s="1506">
        <f t="shared" ref="S33:S47" si="10">F33</f>
        <v>100</v>
      </c>
      <c r="T33" s="1505" t="s">
        <v>8</v>
      </c>
      <c r="U33" s="1506">
        <f t="shared" ref="U33:U47" si="11">H33</f>
        <v>100</v>
      </c>
      <c r="V33" s="1505" t="s">
        <v>8</v>
      </c>
      <c r="W33" s="1506">
        <f t="shared" ref="W33:W47" si="12">J33</f>
        <v>100</v>
      </c>
      <c r="X33" s="3280"/>
      <c r="Y33" s="3505"/>
      <c r="Z33" s="3279" t="str">
        <f t="shared" ref="Z33:Z47" si="13">Q33</f>
        <v>临街状况</v>
      </c>
      <c r="AA33" s="3282">
        <f t="shared" si="3"/>
        <v>1</v>
      </c>
      <c r="AB33" s="3282">
        <f t="shared" si="4"/>
        <v>1</v>
      </c>
      <c r="AC33" s="3282">
        <f t="shared" si="5"/>
        <v>1</v>
      </c>
    </row>
    <row r="34" spans="1:29" ht="27">
      <c r="A34" s="525"/>
      <c r="B34" s="571" t="s">
        <v>542</v>
      </c>
      <c r="C34" s="555"/>
      <c r="D34" s="556">
        <v>100</v>
      </c>
      <c r="E34" s="557"/>
      <c r="F34" s="552">
        <f>SUMIF(108:108,E35,109:109)-SUMIF(108:108,C35,109:109)+100</f>
        <v>102</v>
      </c>
      <c r="G34" s="555"/>
      <c r="H34" s="552">
        <f>SUMIF(108:108,G35,109:109)-SUMIF(108:108,C35,109:109)+100</f>
        <v>100</v>
      </c>
      <c r="I34" s="557"/>
      <c r="J34" s="552">
        <f>SUMIF(108:108,I35,109:109)-SUMIF(108:108,C35,109:109)+100</f>
        <v>102</v>
      </c>
      <c r="K34" s="528">
        <v>2</v>
      </c>
      <c r="L34" s="2021"/>
      <c r="M34" s="2011"/>
      <c r="N34" s="2011"/>
      <c r="O34" s="2020"/>
      <c r="P34" s="3505"/>
      <c r="Q34" s="3278" t="str">
        <f t="shared" si="8"/>
        <v>毗邻道路的类型与等级</v>
      </c>
      <c r="R34" s="1505" t="s">
        <v>8</v>
      </c>
      <c r="S34" s="1506">
        <f t="shared" si="10"/>
        <v>102</v>
      </c>
      <c r="T34" s="1505" t="s">
        <v>8</v>
      </c>
      <c r="U34" s="1506">
        <f t="shared" si="11"/>
        <v>100</v>
      </c>
      <c r="V34" s="1505" t="s">
        <v>8</v>
      </c>
      <c r="W34" s="1506">
        <f t="shared" si="12"/>
        <v>102</v>
      </c>
      <c r="X34" s="3280"/>
      <c r="Y34" s="3505"/>
      <c r="Z34" s="3279" t="str">
        <f t="shared" si="13"/>
        <v>毗邻道路的类型与等级</v>
      </c>
      <c r="AA34" s="3282">
        <f t="shared" si="3"/>
        <v>0.98039215686274506</v>
      </c>
      <c r="AB34" s="3282">
        <f t="shared" si="4"/>
        <v>1</v>
      </c>
      <c r="AC34" s="3282">
        <f t="shared" si="5"/>
        <v>0.98039215686274506</v>
      </c>
    </row>
    <row r="35" spans="1:29" ht="20.25">
      <c r="A35" s="525"/>
      <c r="B35" s="559"/>
      <c r="C35" s="547" t="s">
        <v>3056</v>
      </c>
      <c r="D35" s="550"/>
      <c r="E35" s="569" t="s">
        <v>3054</v>
      </c>
      <c r="F35" s="548"/>
      <c r="G35" s="547" t="s">
        <v>3056</v>
      </c>
      <c r="H35" s="548"/>
      <c r="I35" s="569" t="s">
        <v>3054</v>
      </c>
      <c r="J35" s="548"/>
      <c r="K35" s="574"/>
      <c r="L35" s="2021"/>
      <c r="M35" s="2011"/>
      <c r="N35" s="2011"/>
      <c r="O35" s="2020"/>
      <c r="P35" s="3505"/>
      <c r="Q35" s="3278"/>
      <c r="R35" s="1505"/>
      <c r="S35" s="1506"/>
      <c r="T35" s="1505"/>
      <c r="U35" s="1506"/>
      <c r="V35" s="1505"/>
      <c r="W35" s="1506"/>
      <c r="X35" s="3280"/>
      <c r="Y35" s="3505"/>
      <c r="Z35" s="3279"/>
      <c r="AA35" s="3282">
        <v>1</v>
      </c>
      <c r="AB35" s="3282">
        <v>1</v>
      </c>
      <c r="AC35" s="3282">
        <v>1</v>
      </c>
    </row>
    <row r="36" spans="1:29" ht="20.25">
      <c r="A36" s="525"/>
      <c r="B36" s="575" t="s">
        <v>543</v>
      </c>
      <c r="C36" s="573" t="s">
        <v>1146</v>
      </c>
      <c r="D36" s="568">
        <v>100</v>
      </c>
      <c r="E36" s="573" t="s">
        <v>1146</v>
      </c>
      <c r="F36" s="533">
        <f>SUMIF(110:110,E36,111:111)-SUMIF(110:110,C36,111:111)+100</f>
        <v>100</v>
      </c>
      <c r="G36" s="573" t="s">
        <v>1087</v>
      </c>
      <c r="H36" s="533">
        <f>SUMIF(110:110,G36,111:111)-SUMIF(110:110,C36,111:111)+100</f>
        <v>102</v>
      </c>
      <c r="I36" s="573" t="s">
        <v>1146</v>
      </c>
      <c r="J36" s="533">
        <f>SUMIF(110:110,I36,111:111)-SUMIF(110:110,C36,111:111)+100</f>
        <v>100</v>
      </c>
      <c r="K36" s="577">
        <v>2</v>
      </c>
      <c r="L36" s="2021"/>
      <c r="M36" s="2011"/>
      <c r="N36" s="2011"/>
      <c r="O36" s="2020"/>
      <c r="P36" s="3505"/>
      <c r="Q36" s="3278" t="str">
        <f t="shared" si="8"/>
        <v>土地级别</v>
      </c>
      <c r="R36" s="1505" t="s">
        <v>8</v>
      </c>
      <c r="S36" s="1506">
        <f t="shared" si="10"/>
        <v>100</v>
      </c>
      <c r="T36" s="1505" t="s">
        <v>8</v>
      </c>
      <c r="U36" s="1506">
        <f t="shared" si="11"/>
        <v>102</v>
      </c>
      <c r="V36" s="1505" t="s">
        <v>8</v>
      </c>
      <c r="W36" s="1506">
        <f t="shared" si="12"/>
        <v>100</v>
      </c>
      <c r="X36" s="3280"/>
      <c r="Y36" s="3505"/>
      <c r="Z36" s="3279" t="str">
        <f t="shared" si="13"/>
        <v>土地级别</v>
      </c>
      <c r="AA36" s="3282">
        <f t="shared" si="3"/>
        <v>1</v>
      </c>
      <c r="AB36" s="3282">
        <f t="shared" si="4"/>
        <v>0.98039215686274506</v>
      </c>
      <c r="AC36" s="3282">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505"/>
      <c r="Q37" s="3278">
        <f t="shared" si="8"/>
        <v>111</v>
      </c>
      <c r="R37" s="1505" t="s">
        <v>8</v>
      </c>
      <c r="S37" s="1506">
        <f t="shared" si="10"/>
        <v>100</v>
      </c>
      <c r="T37" s="1505" t="s">
        <v>8</v>
      </c>
      <c r="U37" s="1506">
        <f t="shared" si="11"/>
        <v>100</v>
      </c>
      <c r="V37" s="1505" t="s">
        <v>8</v>
      </c>
      <c r="W37" s="1506">
        <f t="shared" si="12"/>
        <v>100</v>
      </c>
      <c r="X37" s="3280"/>
      <c r="Y37" s="3505"/>
      <c r="Z37" s="3279">
        <f t="shared" si="13"/>
        <v>111</v>
      </c>
      <c r="AA37" s="3282">
        <f t="shared" si="3"/>
        <v>1</v>
      </c>
      <c r="AB37" s="3282">
        <f t="shared" si="4"/>
        <v>1</v>
      </c>
      <c r="AC37" s="3282">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506" t="s">
        <v>544</v>
      </c>
      <c r="Q38" s="3278">
        <f t="shared" si="8"/>
        <v>111</v>
      </c>
      <c r="R38" s="1505" t="s">
        <v>8</v>
      </c>
      <c r="S38" s="1506">
        <f t="shared" si="10"/>
        <v>100</v>
      </c>
      <c r="T38" s="1505" t="s">
        <v>8</v>
      </c>
      <c r="U38" s="1506">
        <f t="shared" si="11"/>
        <v>100</v>
      </c>
      <c r="V38" s="1505" t="s">
        <v>8</v>
      </c>
      <c r="W38" s="1506">
        <f t="shared" si="12"/>
        <v>100</v>
      </c>
      <c r="X38" s="3280"/>
      <c r="Y38" s="3507" t="s">
        <v>544</v>
      </c>
      <c r="Z38" s="3279">
        <f t="shared" si="13"/>
        <v>111</v>
      </c>
      <c r="AA38" s="3282">
        <f t="shared" si="3"/>
        <v>1</v>
      </c>
      <c r="AB38" s="3282">
        <f t="shared" si="4"/>
        <v>1</v>
      </c>
      <c r="AC38" s="3282">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507"/>
      <c r="Q39" s="3278">
        <f t="shared" si="8"/>
        <v>111</v>
      </c>
      <c r="R39" s="1509" t="s">
        <v>8</v>
      </c>
      <c r="S39" s="1510">
        <f t="shared" si="10"/>
        <v>100</v>
      </c>
      <c r="T39" s="1509" t="s">
        <v>8</v>
      </c>
      <c r="U39" s="1510">
        <f t="shared" si="11"/>
        <v>100</v>
      </c>
      <c r="V39" s="1509" t="s">
        <v>8</v>
      </c>
      <c r="W39" s="1510">
        <f t="shared" si="12"/>
        <v>100</v>
      </c>
      <c r="X39" s="1511"/>
      <c r="Y39" s="3507"/>
      <c r="Z39" s="1512">
        <f t="shared" si="13"/>
        <v>111</v>
      </c>
      <c r="AA39" s="3282">
        <f t="shared" si="3"/>
        <v>1</v>
      </c>
      <c r="AB39" s="3282">
        <f t="shared" si="4"/>
        <v>1</v>
      </c>
      <c r="AC39" s="3282">
        <f t="shared" si="5"/>
        <v>1</v>
      </c>
    </row>
    <row r="40" spans="1:29" ht="20.25">
      <c r="A40" s="2621" t="s">
        <v>2735</v>
      </c>
      <c r="B40" s="588" t="s">
        <v>546</v>
      </c>
      <c r="C40" s="589"/>
      <c r="D40" s="590">
        <v>100</v>
      </c>
      <c r="E40" s="589"/>
      <c r="F40" s="590">
        <f>LOOKUP(E40,119:119,120:120)-LOOKUP(C40,119:119,120:120)+100</f>
        <v>100</v>
      </c>
      <c r="G40" s="589"/>
      <c r="H40" s="590">
        <f>LOOKUP(G40,119:119,120:120)-LOOKUP(C40,119:119,120:120)+100</f>
        <v>100</v>
      </c>
      <c r="I40" s="591"/>
      <c r="J40" s="590">
        <f>LOOKUP(I40,119:119,120:120)-LOOKUP(C40,119:119,120:120)+100</f>
        <v>100</v>
      </c>
      <c r="K40" s="574"/>
      <c r="L40" s="2021"/>
      <c r="M40" s="2011"/>
      <c r="N40" s="2011"/>
      <c r="O40" s="2020"/>
      <c r="P40" s="3507"/>
      <c r="Q40" s="3278" t="str">
        <f>B40</f>
        <v>宗地面积</v>
      </c>
      <c r="R40" s="1505" t="s">
        <v>8</v>
      </c>
      <c r="S40" s="1506">
        <f t="shared" si="10"/>
        <v>100</v>
      </c>
      <c r="T40" s="1505" t="s">
        <v>8</v>
      </c>
      <c r="U40" s="1506">
        <f t="shared" si="11"/>
        <v>100</v>
      </c>
      <c r="V40" s="1505" t="s">
        <v>8</v>
      </c>
      <c r="W40" s="1506">
        <f t="shared" si="12"/>
        <v>100</v>
      </c>
      <c r="X40" s="3280"/>
      <c r="Y40" s="3507"/>
      <c r="Z40" s="3279" t="str">
        <f t="shared" si="13"/>
        <v>宗地面积</v>
      </c>
      <c r="AA40" s="3282">
        <f t="shared" si="3"/>
        <v>1</v>
      </c>
      <c r="AB40" s="3282">
        <f t="shared" si="4"/>
        <v>1</v>
      </c>
      <c r="AC40" s="3282">
        <f t="shared" si="5"/>
        <v>1</v>
      </c>
    </row>
    <row r="41" spans="1:29" ht="20.25">
      <c r="A41" s="587"/>
      <c r="B41" s="520" t="s">
        <v>547</v>
      </c>
      <c r="C41" s="592" t="s">
        <v>3031</v>
      </c>
      <c r="D41" s="533">
        <v>100</v>
      </c>
      <c r="E41" s="592" t="s">
        <v>3031</v>
      </c>
      <c r="F41" s="533">
        <f>SUMIF(121:121,E41,122:122)-SUMIF(121:121,C41,122:122)+100</f>
        <v>100</v>
      </c>
      <c r="G41" s="592" t="s">
        <v>3031</v>
      </c>
      <c r="H41" s="533">
        <f>SUMIF(121:121,G41,122:122)-SUMIF(121:121,C41,122:122)+100</f>
        <v>100</v>
      </c>
      <c r="I41" s="592" t="s">
        <v>3031</v>
      </c>
      <c r="J41" s="533">
        <f>SUMIF(121:121,I41,122:122)-SUMIF(121:121,C41,122:122)+100</f>
        <v>100</v>
      </c>
      <c r="K41" s="577"/>
      <c r="L41" s="2021"/>
      <c r="M41" s="2011"/>
      <c r="N41" s="2011"/>
      <c r="O41" s="2020"/>
      <c r="P41" s="3507"/>
      <c r="Q41" s="3278" t="str">
        <f t="shared" ref="Q41:Q47" si="14">B41</f>
        <v>宗地形状</v>
      </c>
      <c r="R41" s="1505" t="s">
        <v>8</v>
      </c>
      <c r="S41" s="1506">
        <f t="shared" si="10"/>
        <v>100</v>
      </c>
      <c r="T41" s="1505" t="s">
        <v>8</v>
      </c>
      <c r="U41" s="1506">
        <f t="shared" si="11"/>
        <v>100</v>
      </c>
      <c r="V41" s="1505" t="s">
        <v>8</v>
      </c>
      <c r="W41" s="1506">
        <f t="shared" si="12"/>
        <v>100</v>
      </c>
      <c r="X41" s="3280"/>
      <c r="Y41" s="3507"/>
      <c r="Z41" s="3279" t="str">
        <f t="shared" si="13"/>
        <v>宗地形状</v>
      </c>
      <c r="AA41" s="3282">
        <f t="shared" si="3"/>
        <v>1</v>
      </c>
      <c r="AB41" s="3282">
        <f t="shared" si="4"/>
        <v>1</v>
      </c>
      <c r="AC41" s="3282">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507"/>
      <c r="Q42" s="3278" t="str">
        <f t="shared" si="14"/>
        <v>临街宽度及深度</v>
      </c>
      <c r="R42" s="1505" t="s">
        <v>8</v>
      </c>
      <c r="S42" s="1506">
        <f t="shared" si="10"/>
        <v>100</v>
      </c>
      <c r="T42" s="1505" t="s">
        <v>8</v>
      </c>
      <c r="U42" s="1506">
        <f t="shared" si="11"/>
        <v>100</v>
      </c>
      <c r="V42" s="1505" t="s">
        <v>8</v>
      </c>
      <c r="W42" s="1506">
        <f t="shared" si="12"/>
        <v>100</v>
      </c>
      <c r="X42" s="3280"/>
      <c r="Y42" s="3507"/>
      <c r="Z42" s="3279" t="str">
        <f t="shared" si="13"/>
        <v>临街宽度及深度</v>
      </c>
      <c r="AA42" s="3282">
        <f t="shared" si="3"/>
        <v>1</v>
      </c>
      <c r="AB42" s="3282">
        <f t="shared" si="4"/>
        <v>1</v>
      </c>
      <c r="AC42" s="3282">
        <f t="shared" si="5"/>
        <v>1</v>
      </c>
    </row>
    <row r="43" spans="1:29" s="1202" customFormat="1" ht="20.25">
      <c r="A43" s="593"/>
      <c r="B43" s="1806" t="s">
        <v>2408</v>
      </c>
      <c r="C43" s="594" t="s">
        <v>3035</v>
      </c>
      <c r="D43" s="252">
        <v>100</v>
      </c>
      <c r="E43" s="594" t="s">
        <v>3035</v>
      </c>
      <c r="F43" s="533">
        <f>SUMIF(125:125,E43,126:126)-SUMIF(125:125,C43,126:126)+100</f>
        <v>100</v>
      </c>
      <c r="G43" s="594" t="s">
        <v>3035</v>
      </c>
      <c r="H43" s="533">
        <f>SUMIF(125:125,G43,126:126)-SUMIF(125:125,C43,126:126)+100</f>
        <v>100</v>
      </c>
      <c r="I43" s="594" t="s">
        <v>3035</v>
      </c>
      <c r="J43" s="533">
        <f>SUMIF(125:125,I43,126:126)-SUMIF(125:125,C43,126:126)+100</f>
        <v>100</v>
      </c>
      <c r="K43" s="577"/>
      <c r="L43" s="2014"/>
      <c r="M43" s="2011"/>
      <c r="N43" s="2011"/>
      <c r="O43" s="2016"/>
      <c r="P43" s="3507"/>
      <c r="Q43" s="3278" t="str">
        <f t="shared" si="14"/>
        <v>宗地开发程度</v>
      </c>
      <c r="R43" s="1500" t="s">
        <v>8</v>
      </c>
      <c r="S43" s="1501">
        <f t="shared" si="10"/>
        <v>100</v>
      </c>
      <c r="T43" s="1500" t="s">
        <v>8</v>
      </c>
      <c r="U43" s="1501">
        <f t="shared" si="11"/>
        <v>100</v>
      </c>
      <c r="V43" s="1500" t="s">
        <v>8</v>
      </c>
      <c r="W43" s="1501">
        <f t="shared" si="12"/>
        <v>100</v>
      </c>
      <c r="X43" s="1502"/>
      <c r="Y43" s="3507"/>
      <c r="Z43" s="3276" t="str">
        <f t="shared" si="13"/>
        <v>宗地开发程度</v>
      </c>
      <c r="AA43" s="1503">
        <f t="shared" si="3"/>
        <v>1</v>
      </c>
      <c r="AB43" s="1503">
        <f t="shared" si="4"/>
        <v>1</v>
      </c>
      <c r="AC43" s="1503">
        <f t="shared" si="5"/>
        <v>1</v>
      </c>
    </row>
    <row r="44" spans="1:29" ht="20.25">
      <c r="A44" s="587"/>
      <c r="B44" s="520" t="s">
        <v>549</v>
      </c>
      <c r="C44" s="592" t="s">
        <v>3028</v>
      </c>
      <c r="D44" s="533">
        <v>100</v>
      </c>
      <c r="E44" s="592" t="s">
        <v>3028</v>
      </c>
      <c r="F44" s="533">
        <f>SUMIF(127:127,E44,128:128)-SUMIF(127:127,C44,128:128)+100</f>
        <v>100</v>
      </c>
      <c r="G44" s="592" t="s">
        <v>3028</v>
      </c>
      <c r="H44" s="533">
        <f>SUMIF(127:127,G44,128:128)-SUMIF(127:127,C44,128:128)+100</f>
        <v>100</v>
      </c>
      <c r="I44" s="592" t="s">
        <v>3028</v>
      </c>
      <c r="J44" s="533">
        <f>SUMIF(127:127,I44,128:128)-SUMIF(127:127,C44,128:128)+100</f>
        <v>100</v>
      </c>
      <c r="K44" s="577"/>
      <c r="L44" s="2021"/>
      <c r="M44" s="2011"/>
      <c r="N44" s="2011"/>
      <c r="O44" s="2020"/>
      <c r="P44" s="3507" t="s">
        <v>544</v>
      </c>
      <c r="Q44" s="3278" t="str">
        <f t="shared" si="14"/>
        <v>工程地质条件</v>
      </c>
      <c r="R44" s="1505" t="s">
        <v>8</v>
      </c>
      <c r="S44" s="1506">
        <f t="shared" si="10"/>
        <v>100</v>
      </c>
      <c r="T44" s="1505" t="s">
        <v>8</v>
      </c>
      <c r="U44" s="1506">
        <f t="shared" si="11"/>
        <v>100</v>
      </c>
      <c r="V44" s="1505" t="s">
        <v>8</v>
      </c>
      <c r="W44" s="1506">
        <f t="shared" si="12"/>
        <v>100</v>
      </c>
      <c r="X44" s="3280"/>
      <c r="Y44" s="3507" t="s">
        <v>544</v>
      </c>
      <c r="Z44" s="3279" t="str">
        <f t="shared" si="13"/>
        <v>工程地质条件</v>
      </c>
      <c r="AA44" s="3282">
        <f t="shared" si="3"/>
        <v>1</v>
      </c>
      <c r="AB44" s="3282">
        <f t="shared" si="4"/>
        <v>1</v>
      </c>
      <c r="AC44" s="3282">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507"/>
      <c r="Q45" s="3278">
        <f t="shared" si="14"/>
        <v>111</v>
      </c>
      <c r="R45" s="1505" t="s">
        <v>8</v>
      </c>
      <c r="S45" s="1506">
        <f t="shared" si="10"/>
        <v>100</v>
      </c>
      <c r="T45" s="1505" t="s">
        <v>8</v>
      </c>
      <c r="U45" s="1506">
        <f t="shared" si="11"/>
        <v>100</v>
      </c>
      <c r="V45" s="1505" t="s">
        <v>8</v>
      </c>
      <c r="W45" s="1506">
        <f t="shared" si="12"/>
        <v>100</v>
      </c>
      <c r="X45" s="3280"/>
      <c r="Y45" s="3507"/>
      <c r="Z45" s="3279">
        <f t="shared" si="13"/>
        <v>111</v>
      </c>
      <c r="AA45" s="3282">
        <f t="shared" si="3"/>
        <v>1</v>
      </c>
      <c r="AB45" s="3282">
        <f t="shared" si="4"/>
        <v>1</v>
      </c>
      <c r="AC45" s="3282">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507"/>
      <c r="Q46" s="3278">
        <f t="shared" si="14"/>
        <v>111</v>
      </c>
      <c r="R46" s="1505" t="s">
        <v>8</v>
      </c>
      <c r="S46" s="1506">
        <f t="shared" si="10"/>
        <v>100</v>
      </c>
      <c r="T46" s="1505" t="s">
        <v>8</v>
      </c>
      <c r="U46" s="1506">
        <f t="shared" si="11"/>
        <v>100</v>
      </c>
      <c r="V46" s="1505" t="s">
        <v>8</v>
      </c>
      <c r="W46" s="1506">
        <f t="shared" si="12"/>
        <v>100</v>
      </c>
      <c r="X46" s="3280"/>
      <c r="Y46" s="3507"/>
      <c r="Z46" s="3279">
        <f t="shared" si="13"/>
        <v>111</v>
      </c>
      <c r="AA46" s="3282">
        <f t="shared" si="3"/>
        <v>1</v>
      </c>
      <c r="AB46" s="3282">
        <f t="shared" si="4"/>
        <v>1</v>
      </c>
      <c r="AC46" s="3282">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507"/>
      <c r="Q47" s="3278">
        <f t="shared" si="14"/>
        <v>111</v>
      </c>
      <c r="R47" s="1509" t="s">
        <v>8</v>
      </c>
      <c r="S47" s="1510">
        <f t="shared" si="10"/>
        <v>100</v>
      </c>
      <c r="T47" s="1509" t="s">
        <v>8</v>
      </c>
      <c r="U47" s="1510">
        <f t="shared" si="11"/>
        <v>100</v>
      </c>
      <c r="V47" s="1509" t="s">
        <v>8</v>
      </c>
      <c r="W47" s="1510">
        <f t="shared" si="12"/>
        <v>100</v>
      </c>
      <c r="X47" s="1511"/>
      <c r="Y47" s="3507"/>
      <c r="Z47" s="1512">
        <f t="shared" si="13"/>
        <v>111</v>
      </c>
      <c r="AA47" s="3282">
        <f t="shared" si="3"/>
        <v>1</v>
      </c>
      <c r="AB47" s="3282">
        <f t="shared" si="4"/>
        <v>1</v>
      </c>
      <c r="AC47" s="3282">
        <f t="shared" si="5"/>
        <v>1</v>
      </c>
    </row>
    <row r="48" spans="1:29" ht="20.25">
      <c r="A48" s="600" t="s">
        <v>550</v>
      </c>
      <c r="B48" s="601" t="s">
        <v>2901</v>
      </c>
      <c r="C48" s="602" t="s">
        <v>1</v>
      </c>
      <c r="D48" s="603"/>
      <c r="E48" s="604">
        <v>19800</v>
      </c>
      <c r="F48" s="605"/>
      <c r="G48" s="606">
        <v>21000</v>
      </c>
      <c r="H48" s="607"/>
      <c r="I48" s="604">
        <v>19000</v>
      </c>
      <c r="J48" s="607"/>
      <c r="K48" s="1293"/>
      <c r="L48" s="2023"/>
      <c r="M48" s="2011"/>
      <c r="N48" s="2011"/>
      <c r="O48" s="2024"/>
      <c r="P48" s="3502" t="str">
        <f>A48</f>
        <v>成交单价</v>
      </c>
      <c r="Q48" s="3502"/>
      <c r="R48" s="3516">
        <f>E48</f>
        <v>19800</v>
      </c>
      <c r="S48" s="3516"/>
      <c r="T48" s="3516">
        <f>G48</f>
        <v>21000</v>
      </c>
      <c r="U48" s="3516"/>
      <c r="V48" s="3516">
        <f>I48</f>
        <v>19000</v>
      </c>
      <c r="W48" s="3516"/>
      <c r="X48" s="1494"/>
      <c r="Y48" s="1513"/>
      <c r="Z48" s="1494"/>
      <c r="AA48" s="1494"/>
      <c r="AB48" s="1494"/>
      <c r="AC48" s="1494"/>
    </row>
    <row r="49" spans="1:29" ht="21" thickBot="1">
      <c r="A49" s="608" t="s">
        <v>2673</v>
      </c>
      <c r="B49" s="609"/>
      <c r="C49" s="610">
        <f>R50</f>
        <v>18779</v>
      </c>
      <c r="D49" s="3011" t="s">
        <v>2970</v>
      </c>
      <c r="E49" s="610">
        <f>R49</f>
        <v>19412</v>
      </c>
      <c r="F49" s="3012"/>
      <c r="G49" s="611">
        <f>T49</f>
        <v>18841</v>
      </c>
      <c r="H49" s="3012"/>
      <c r="I49" s="610">
        <f>V49</f>
        <v>18085</v>
      </c>
      <c r="J49" s="3012"/>
      <c r="K49" s="3013">
        <f>F49+H49+J49</f>
        <v>0</v>
      </c>
      <c r="L49" s="2023"/>
      <c r="M49" s="2011"/>
      <c r="N49" s="2011"/>
      <c r="O49" s="2024"/>
      <c r="P49" s="3502" t="str">
        <f>A49</f>
        <v>比较价格（元/平方米）</v>
      </c>
      <c r="Q49" s="3502"/>
      <c r="R49" s="3528">
        <f>ROUND(PRODUCT(R48,AA9:AA47),0)</f>
        <v>19412</v>
      </c>
      <c r="S49" s="3528"/>
      <c r="T49" s="3528">
        <f>ROUND(PRODUCT(T48,AB9:AB47),0)</f>
        <v>18841</v>
      </c>
      <c r="U49" s="3528"/>
      <c r="V49" s="3528">
        <f>ROUND(PRODUCT(V48,AC9:AC47),0)</f>
        <v>18085</v>
      </c>
      <c r="W49" s="3528"/>
      <c r="X49" s="1494"/>
      <c r="Y49" s="1494"/>
      <c r="Z49" s="1494"/>
      <c r="AA49" s="1494"/>
      <c r="AB49" s="1494"/>
      <c r="AC49" s="1494"/>
    </row>
    <row r="50" spans="1:29" ht="21" thickBot="1">
      <c r="A50" s="612" t="s">
        <v>2902</v>
      </c>
      <c r="B50" s="613"/>
      <c r="C50" s="614">
        <f>R50</f>
        <v>18779</v>
      </c>
      <c r="D50" s="614"/>
      <c r="E50" s="614"/>
      <c r="F50" s="614"/>
      <c r="G50" s="614"/>
      <c r="H50" s="614"/>
      <c r="I50" s="614"/>
      <c r="J50" s="614"/>
      <c r="K50" s="1294"/>
      <c r="L50" s="2023"/>
      <c r="M50" s="2011"/>
      <c r="N50" s="2011"/>
      <c r="O50" s="2024"/>
      <c r="P50" s="3525" t="str">
        <f>A50</f>
        <v>估价对象XX用房的比较价格（楼面单价，元/平方米）</v>
      </c>
      <c r="Q50" s="3526"/>
      <c r="R50" s="3527">
        <f>ROUND(IF(D49="简单平均",AVERAGE(R49:W49),R49*F49+T49*H49+V49*J49),0)</f>
        <v>18779</v>
      </c>
      <c r="S50" s="3527"/>
      <c r="T50" s="3527"/>
      <c r="U50" s="3527"/>
      <c r="V50" s="3527"/>
      <c r="W50" s="3527"/>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5" t="s">
        <v>551</v>
      </c>
      <c r="D53" s="616"/>
      <c r="E53" s="617">
        <f>IF(E48&lt;E49,E49/E48-1,E48/E49-1)</f>
        <v>1.9987636513496776E-2</v>
      </c>
      <c r="F53" s="618" t="str">
        <f>IF(OR(E53&gt;=0.3,E53&lt;=-0.3),"超过30%","")</f>
        <v/>
      </c>
      <c r="G53" s="617">
        <f>IF(G48&lt;G49,G49/G48-1,G48/G49-1)</f>
        <v>0.11459052067300046</v>
      </c>
      <c r="H53" s="618" t="str">
        <f>IF(OR(G53&gt;=0.3,G53&lt;=-0.3),"超过30%","")</f>
        <v/>
      </c>
      <c r="I53" s="617">
        <f>IF(I48&lt;I49,I49/I48-1,I48/I49-1)</f>
        <v>5.059441526126629E-2</v>
      </c>
      <c r="J53" s="618" t="str">
        <f>IF(OR(I53&gt;=0.3,I53&lt;=-0.3),"超过30%","")</f>
        <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5" t="s">
        <v>552</v>
      </c>
      <c r="D54" s="619"/>
      <c r="E54" s="617">
        <f>IF(E49&lt;G49,G49/E49-1,E49/G49-1)</f>
        <v>3.0306247014489696E-2</v>
      </c>
      <c r="F54" s="618" t="str">
        <f>IF(OR(E54&gt;=0.2,E54&lt;=-0.2),"超过20%","")</f>
        <v/>
      </c>
      <c r="G54" s="617">
        <f>IF(G49&lt;I49,I49/G49-1,G49/I49-1)</f>
        <v>4.1802598838816651E-2</v>
      </c>
      <c r="H54" s="618" t="str">
        <f>IF(OR(G54&gt;=0.2,G54&lt;=-0.2),"超过20%","")</f>
        <v/>
      </c>
      <c r="I54" s="617">
        <f>IF(I49&lt;E49,E49/I49-1,I49/E49-1)</f>
        <v>7.337572573956308E-2</v>
      </c>
      <c r="J54" s="618" t="str">
        <f>IF(OR(I54&gt;=0.2,I54&lt;=-0.2),"超过20%","")</f>
        <v/>
      </c>
      <c r="K54" s="3214"/>
      <c r="L54" s="2028"/>
      <c r="M54" s="2011"/>
      <c r="N54" s="2011"/>
      <c r="O54" s="2024"/>
      <c r="P54" s="2024"/>
      <c r="Q54" s="2024"/>
      <c r="R54" s="2024"/>
      <c r="S54" s="2024"/>
      <c r="T54" s="2024"/>
      <c r="U54" s="2024"/>
      <c r="V54" s="2024"/>
      <c r="W54" s="2024"/>
      <c r="X54" s="2024"/>
      <c r="Y54" s="2024"/>
      <c r="Z54" s="2024"/>
      <c r="AA54" s="2024"/>
      <c r="AB54" s="2024"/>
      <c r="AC54" s="2024"/>
    </row>
    <row r="55" spans="1:29" s="1297" customFormat="1" ht="13.5" customHeight="1">
      <c r="A55" s="3212"/>
      <c r="B55" s="3212"/>
      <c r="C55" s="615" t="s">
        <v>553</v>
      </c>
      <c r="D55" s="619"/>
      <c r="E55" s="617">
        <f>IF(E48&lt;G48,G48/E48-1,E48/G48-1)</f>
        <v>6.0606060606060552E-2</v>
      </c>
      <c r="F55" s="618" t="str">
        <f>IF(OR(E55&gt;=0.3,E55&lt;=-0.3),"超过30%","")</f>
        <v/>
      </c>
      <c r="G55" s="617">
        <f>IF(G48&lt;I48,I48/G48-1,G48/I48-1)</f>
        <v>0.10526315789473695</v>
      </c>
      <c r="H55" s="618" t="str">
        <f>IF(OR(G55&gt;=0.3,G55&lt;=-0.3),"超过30%","")</f>
        <v/>
      </c>
      <c r="I55" s="617">
        <f>IF(I48&lt;E48,E48/I48-1,I48/E48-1)</f>
        <v>4.2105263157894646E-2</v>
      </c>
      <c r="J55" s="618" t="str">
        <f>IF(OR(I55&gt;=0.3,I55&lt;=-0.3),"超过30%","")</f>
        <v/>
      </c>
      <c r="K55" s="3215"/>
      <c r="L55" s="2031"/>
      <c r="M55" s="2011"/>
      <c r="N55" s="2011"/>
      <c r="O55" s="2025"/>
      <c r="P55" s="2025"/>
      <c r="Q55" s="2025"/>
      <c r="R55" s="2025"/>
      <c r="S55" s="2025"/>
      <c r="T55" s="2025"/>
      <c r="U55" s="2025"/>
      <c r="V55" s="2025"/>
      <c r="W55" s="2025"/>
      <c r="X55" s="2025"/>
      <c r="Y55" s="2025"/>
      <c r="Z55" s="2025"/>
      <c r="AA55" s="2025"/>
      <c r="AB55" s="2025"/>
      <c r="AC55" s="2025"/>
    </row>
    <row r="56" spans="1:29" s="1297"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1715</v>
      </c>
      <c r="D57" s="2104" t="s">
        <v>2280</v>
      </c>
      <c r="E57" s="622" t="s">
        <v>556</v>
      </c>
      <c r="F57" s="623" t="s">
        <v>557</v>
      </c>
      <c r="G57" s="3486" t="s">
        <v>2268</v>
      </c>
      <c r="H57" s="3487"/>
      <c r="I57" s="1491" t="s">
        <v>1713</v>
      </c>
      <c r="J57" s="1491" t="str">
        <f>项目基本情况!F41</f>
        <v>石家庄市</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8" customFormat="1" ht="12.75">
      <c r="A58" s="624" t="s">
        <v>558</v>
      </c>
      <c r="B58" s="625">
        <f>C50</f>
        <v>18779</v>
      </c>
      <c r="C58" s="626">
        <v>1</v>
      </c>
      <c r="D58" s="2105">
        <v>1</v>
      </c>
      <c r="E58" s="626">
        <f>'数据-汇总表'!E8+'数据-汇总表'!E9</f>
        <v>114482.58</v>
      </c>
      <c r="F58" s="627">
        <f t="shared" ref="F58:F67" si="15">ROUND(B58*E58/10000,0)</f>
        <v>214987</v>
      </c>
      <c r="G58" s="3488"/>
      <c r="H58" s="3489"/>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8" customFormat="1" ht="12.75">
      <c r="A59" s="628" t="s">
        <v>559</v>
      </c>
      <c r="B59" s="629">
        <f>ROUND($C$50*C59*D59,0)</f>
        <v>0</v>
      </c>
      <c r="C59" s="371">
        <f t="shared" ref="C59:C67" si="16">IF($C$57="北京市系数",I59,J59)</f>
        <v>0</v>
      </c>
      <c r="D59" s="2106">
        <v>0.25</v>
      </c>
      <c r="E59" s="630">
        <v>0</v>
      </c>
      <c r="F59" s="627">
        <f t="shared" si="15"/>
        <v>0</v>
      </c>
      <c r="G59" s="3490" t="s">
        <v>2269</v>
      </c>
      <c r="H59" s="1859">
        <f>项目基本情况!B43</f>
        <v>0</v>
      </c>
      <c r="I59" s="1492">
        <f>SUMIF(修正!$A$45:$A$56,H59,修正!B45:B56)</f>
        <v>0</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8" customFormat="1" ht="12.75">
      <c r="A60" s="628" t="s">
        <v>560</v>
      </c>
      <c r="B60" s="629">
        <f t="shared" ref="B60:B67" si="17">ROUND($C$50*C60*D60,0)</f>
        <v>0</v>
      </c>
      <c r="C60" s="371">
        <f t="shared" si="16"/>
        <v>0</v>
      </c>
      <c r="D60" s="2106">
        <v>0.25</v>
      </c>
      <c r="E60" s="630">
        <v>0</v>
      </c>
      <c r="F60" s="627">
        <f t="shared" si="15"/>
        <v>0</v>
      </c>
      <c r="G60" s="3490"/>
      <c r="H60" s="1859">
        <f>项目基本情况!B43</f>
        <v>0</v>
      </c>
      <c r="I60" s="1492">
        <f>SUMIF(修正!$A$45:$A$56,H60,修正!C45:C56)</f>
        <v>0</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8" customFormat="1" ht="12.75">
      <c r="A61" s="628" t="s">
        <v>561</v>
      </c>
      <c r="B61" s="629">
        <f t="shared" si="17"/>
        <v>0</v>
      </c>
      <c r="C61" s="371">
        <f t="shared" si="16"/>
        <v>0</v>
      </c>
      <c r="D61" s="2106">
        <v>0.25</v>
      </c>
      <c r="E61" s="630">
        <v>0</v>
      </c>
      <c r="F61" s="627">
        <f t="shared" si="15"/>
        <v>0</v>
      </c>
      <c r="G61" s="3490"/>
      <c r="H61" s="1859">
        <f>项目基本情况!B43</f>
        <v>0</v>
      </c>
      <c r="I61" s="1492">
        <f>SUMIF(修正!$A$45:$A$56,H61,修正!D45:D56)</f>
        <v>0</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8" customFormat="1" ht="12.75">
      <c r="A62" s="628" t="s">
        <v>562</v>
      </c>
      <c r="B62" s="629">
        <f t="shared" si="17"/>
        <v>0</v>
      </c>
      <c r="C62" s="371">
        <f t="shared" si="16"/>
        <v>0</v>
      </c>
      <c r="D62" s="2106">
        <v>0.25</v>
      </c>
      <c r="E62" s="630">
        <v>0</v>
      </c>
      <c r="F62" s="627">
        <f t="shared" si="15"/>
        <v>0</v>
      </c>
      <c r="G62" s="3490"/>
      <c r="H62" s="1859">
        <f>项目基本情况!B43</f>
        <v>0</v>
      </c>
      <c r="I62" s="1492">
        <f>SUMIF(修正!$A$45:$A$56,H62,修正!E45:E56)</f>
        <v>0</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8" customFormat="1" ht="12.75">
      <c r="A63" s="2208" t="s">
        <v>2315</v>
      </c>
      <c r="B63" s="629">
        <f t="shared" si="17"/>
        <v>0</v>
      </c>
      <c r="C63" s="371">
        <f t="shared" si="16"/>
        <v>0</v>
      </c>
      <c r="D63" s="2106">
        <v>0.25</v>
      </c>
      <c r="E63" s="632">
        <f>'数据-汇总表'!E11</f>
        <v>0</v>
      </c>
      <c r="F63" s="627">
        <f t="shared" si="15"/>
        <v>0</v>
      </c>
      <c r="G63" s="3281" t="s">
        <v>2270</v>
      </c>
      <c r="H63" s="1859">
        <f>项目基本情况!C43</f>
        <v>0</v>
      </c>
      <c r="I63" s="1492">
        <f>SUMIF(修正!$A$45:$A$56,H63,修正!F45:F56)</f>
        <v>0</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8" customFormat="1" ht="12.75">
      <c r="A64" s="628" t="s">
        <v>563</v>
      </c>
      <c r="B64" s="629">
        <f t="shared" si="17"/>
        <v>0</v>
      </c>
      <c r="C64" s="371">
        <f t="shared" si="16"/>
        <v>0</v>
      </c>
      <c r="D64" s="2106">
        <v>0.25</v>
      </c>
      <c r="E64" s="632">
        <f>'数据-汇总表'!E12</f>
        <v>11488</v>
      </c>
      <c r="F64" s="627">
        <f t="shared" si="15"/>
        <v>0</v>
      </c>
      <c r="G64" s="1857" t="s">
        <v>1668</v>
      </c>
      <c r="H64" s="1855">
        <f>IF(G64="商业",项目基本情况!B43,IF(G64="办公",项目基本情况!C43,IF(G64="住宅",项目基本情况!D43,项目基本情况!E43)))</f>
        <v>0</v>
      </c>
      <c r="I64" s="1492">
        <f>SUMIF(修正!$A$45:$A$56,H64,修正!G45:G56)</f>
        <v>0</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8" customFormat="1" ht="12.75">
      <c r="A65" s="628" t="s">
        <v>564</v>
      </c>
      <c r="B65" s="629">
        <f t="shared" si="17"/>
        <v>0</v>
      </c>
      <c r="C65" s="371">
        <f t="shared" si="16"/>
        <v>0</v>
      </c>
      <c r="D65" s="2106">
        <v>0.25</v>
      </c>
      <c r="E65" s="632">
        <f>'数据-汇总表'!E13</f>
        <v>27101</v>
      </c>
      <c r="F65" s="627">
        <f t="shared" si="15"/>
        <v>0</v>
      </c>
      <c r="G65" s="1857" t="s">
        <v>914</v>
      </c>
      <c r="H65" s="1855">
        <f>IF(G65="商业",项目基本情况!B43,IF(G65="办公",项目基本情况!C43,IF(G65="住宅",项目基本情况!D43,项目基本情况!E43)))</f>
        <v>0</v>
      </c>
      <c r="I65" s="1492">
        <f>SUMIF(修正!$A$45:$A$56,H65,修正!H45:H56)</f>
        <v>0</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8" customFormat="1" ht="12.75">
      <c r="A66" s="628" t="s">
        <v>565</v>
      </c>
      <c r="B66" s="629">
        <f t="shared" si="17"/>
        <v>0</v>
      </c>
      <c r="C66" s="371">
        <f t="shared" si="16"/>
        <v>0</v>
      </c>
      <c r="D66" s="2106">
        <v>0.25</v>
      </c>
      <c r="E66" s="632">
        <f>'数据-汇总表'!E14</f>
        <v>0</v>
      </c>
      <c r="F66" s="627">
        <f t="shared" si="15"/>
        <v>0</v>
      </c>
      <c r="G66" s="3281" t="s">
        <v>2269</v>
      </c>
      <c r="H66" s="1859">
        <f>项目基本情况!B43</f>
        <v>0</v>
      </c>
      <c r="I66" s="1492">
        <f>SUMIF(修正!$A$45:$A$56,H66,修正!H45:H56)</f>
        <v>0</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8" customFormat="1" ht="13.5" thickBot="1">
      <c r="A67" s="628" t="s">
        <v>566</v>
      </c>
      <c r="B67" s="629">
        <f t="shared" si="17"/>
        <v>0</v>
      </c>
      <c r="C67" s="371">
        <f t="shared" si="16"/>
        <v>0</v>
      </c>
      <c r="D67" s="2106">
        <v>0.25</v>
      </c>
      <c r="E67" s="632">
        <f>'数据-汇总表'!E15</f>
        <v>0</v>
      </c>
      <c r="F67" s="627">
        <f t="shared" si="15"/>
        <v>0</v>
      </c>
      <c r="G67" s="1858" t="s">
        <v>2270</v>
      </c>
      <c r="H67" s="1860">
        <f>项目基本情况!C43</f>
        <v>0</v>
      </c>
      <c r="I67" s="1492">
        <f>SUMIF(修正!$A$45:$A$56,H67,修正!H45:H56)</f>
        <v>0</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8" customFormat="1" ht="13.5" thickBot="1">
      <c r="A68" s="633" t="s">
        <v>567</v>
      </c>
      <c r="B68" s="634" t="s">
        <v>17</v>
      </c>
      <c r="C68" s="634" t="s">
        <v>18</v>
      </c>
      <c r="D68" s="634" t="s">
        <v>2281</v>
      </c>
      <c r="E68" s="634">
        <f>IF(B48="楼面地价",SUM(E58:E67),'数据-汇总表'!D3)</f>
        <v>49955.92</v>
      </c>
      <c r="F68" s="635">
        <f>IF(B48="楼面地价",SUM(F58:F67),ROUND(C50*E68/10000,0))</f>
        <v>93812</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2021-2-1</v>
      </c>
      <c r="D70" s="2513">
        <f>EDATE(C70,-3)</f>
        <v>44136</v>
      </c>
      <c r="E70" s="2513">
        <f t="shared" ref="E70:N70" si="18">EDATE(D70,-3)</f>
        <v>44044</v>
      </c>
      <c r="F70" s="2513">
        <f t="shared" si="18"/>
        <v>43952</v>
      </c>
      <c r="G70" s="2513">
        <f t="shared" si="18"/>
        <v>43862</v>
      </c>
      <c r="H70" s="2513">
        <f t="shared" si="18"/>
        <v>43770</v>
      </c>
      <c r="I70" s="2513">
        <f t="shared" si="18"/>
        <v>43678</v>
      </c>
      <c r="J70" s="2513">
        <f t="shared" si="18"/>
        <v>43586</v>
      </c>
      <c r="K70" s="2513">
        <f t="shared" si="18"/>
        <v>43497</v>
      </c>
      <c r="L70" s="2513">
        <f t="shared" si="18"/>
        <v>43405</v>
      </c>
      <c r="M70" s="2513">
        <f t="shared" si="18"/>
        <v>43313</v>
      </c>
      <c r="N70" s="2513">
        <f t="shared" si="18"/>
        <v>43221</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9" customFormat="1" ht="15">
      <c r="A72" s="2418" t="s">
        <v>2513</v>
      </c>
      <c r="B72" s="2419"/>
      <c r="C72" s="2515"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202" customFormat="1" ht="27" customHeight="1">
      <c r="A73" s="2520" t="s">
        <v>2627</v>
      </c>
      <c r="B73" s="472" t="str">
        <f>"北京市平均增长率"&amp;TEXT(SUMIF(基准地价!N21:N25,A73,基准地价!P21:P25),"0.00%")</f>
        <v>北京市平均增长率1.75%</v>
      </c>
      <c r="C73" s="882">
        <v>100</v>
      </c>
      <c r="D73" s="721">
        <v>100</v>
      </c>
      <c r="E73" s="721">
        <v>100</v>
      </c>
      <c r="F73" s="721">
        <v>100</v>
      </c>
      <c r="G73" s="721">
        <v>100</v>
      </c>
      <c r="H73" s="721">
        <v>100</v>
      </c>
      <c r="I73" s="721"/>
      <c r="J73" s="721"/>
      <c r="K73" s="721"/>
      <c r="L73" s="721"/>
      <c r="M73" s="2508"/>
      <c r="N73" s="2509"/>
      <c r="O73" s="2040"/>
      <c r="P73" s="2036"/>
      <c r="Q73" s="1902"/>
      <c r="R73" s="1902"/>
      <c r="S73" s="1902"/>
      <c r="T73" s="1902"/>
      <c r="U73" s="1902"/>
      <c r="V73" s="1902"/>
      <c r="W73" s="1902"/>
      <c r="X73" s="1902"/>
      <c r="Y73" s="1902"/>
      <c r="Z73" s="1902"/>
      <c r="AA73" s="1902"/>
      <c r="AB73" s="1902"/>
      <c r="AC73" s="1902"/>
    </row>
    <row r="74" spans="1:29" s="1202"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2"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2"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c r="A77" s="655" t="s">
        <v>571</v>
      </c>
      <c r="B77" s="656" t="s">
        <v>528</v>
      </c>
      <c r="C77" s="3275" t="s">
        <v>3027</v>
      </c>
      <c r="D77" s="591"/>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1（含）-2</v>
      </c>
      <c r="D81" s="673" t="str">
        <f t="shared" ref="D81:L81" si="20">D82&amp;"（含）"&amp;"-"&amp;E82</f>
        <v>2（含）-3</v>
      </c>
      <c r="E81" s="673" t="str">
        <f t="shared" si="20"/>
        <v>3（含）-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1</v>
      </c>
      <c r="D82" s="534">
        <v>2</v>
      </c>
      <c r="E82" s="534">
        <v>3</v>
      </c>
      <c r="F82" s="534"/>
      <c r="G82" s="534"/>
      <c r="H82" s="534"/>
      <c r="I82" s="534"/>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4"/>
      <c r="O83" s="2044"/>
      <c r="P83" s="2043"/>
      <c r="Q83" s="2036"/>
      <c r="R83" s="2024"/>
      <c r="S83" s="2024"/>
      <c r="T83" s="2024"/>
      <c r="U83" s="2024"/>
      <c r="V83" s="2024"/>
      <c r="W83" s="2024"/>
      <c r="X83" s="2024"/>
      <c r="Y83" s="2024"/>
      <c r="Z83" s="2024"/>
      <c r="AA83" s="2024"/>
      <c r="AB83" s="2024"/>
      <c r="AC83" s="2024"/>
    </row>
    <row r="84" spans="1:29" s="1292" customFormat="1" ht="15.75" thickTop="1">
      <c r="A84" s="678"/>
      <c r="B84" s="664" t="str">
        <f>B14</f>
        <v>配建</v>
      </c>
      <c r="C84" s="679"/>
      <c r="D84" s="1325"/>
      <c r="E84" s="1326"/>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2" customFormat="1" ht="15.75" thickBot="1">
      <c r="A85" s="678"/>
      <c r="B85" s="669"/>
      <c r="C85" s="683"/>
      <c r="D85" s="662"/>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2" customFormat="1" ht="15.75" thickTop="1">
      <c r="A86" s="678"/>
      <c r="B86" s="664">
        <f>B15</f>
        <v>111</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2"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2" customFormat="1" ht="15.75" thickTop="1">
      <c r="A88" s="678"/>
      <c r="B88" s="672">
        <f>B16</f>
        <v>111</v>
      </c>
      <c r="C88" s="652"/>
      <c r="D88" s="652"/>
      <c r="E88" s="652"/>
      <c r="F88" s="652"/>
      <c r="G88" s="652"/>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2" customFormat="1" ht="15.75" thickBot="1">
      <c r="A89" s="689"/>
      <c r="B89" s="690"/>
      <c r="C89" s="691"/>
      <c r="D89" s="691"/>
      <c r="E89" s="691"/>
      <c r="F89" s="691"/>
      <c r="G89" s="691"/>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97</v>
      </c>
      <c r="E97" s="670">
        <f>D97-$K23</f>
        <v>94</v>
      </c>
      <c r="F97" s="670">
        <f>E97-$K23</f>
        <v>91</v>
      </c>
      <c r="G97" s="670">
        <f>F97-$K23</f>
        <v>88</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2" customFormat="1" ht="15.75" thickBot="1">
      <c r="A101" s="700"/>
      <c r="B101" s="669"/>
      <c r="C101" s="670">
        <v>100</v>
      </c>
      <c r="D101" s="670">
        <f>C101-$K27</f>
        <v>97</v>
      </c>
      <c r="E101" s="670">
        <f>D101-$K27</f>
        <v>94</v>
      </c>
      <c r="F101" s="670">
        <f>E101-$K27</f>
        <v>91</v>
      </c>
      <c r="G101" s="670">
        <f>F101-$K27</f>
        <v>88</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2" customFormat="1" ht="15.75" thickTop="1">
      <c r="A102" s="678"/>
      <c r="B102" s="1807" t="s">
        <v>2529</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2" customFormat="1" ht="15.75" thickTop="1">
      <c r="A104" s="678"/>
      <c r="B104" s="2438" t="s">
        <v>2530</v>
      </c>
      <c r="C104" s="2439" t="s">
        <v>2532</v>
      </c>
      <c r="D104" s="2439" t="s">
        <v>2533</v>
      </c>
      <c r="E104" s="2439" t="s">
        <v>2534</v>
      </c>
      <c r="F104" s="2439" t="s">
        <v>2535</v>
      </c>
      <c r="G104" s="2439" t="s">
        <v>2536</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3290" t="s">
        <v>3053</v>
      </c>
      <c r="D108" s="3290" t="s">
        <v>3055</v>
      </c>
      <c r="E108" s="3290" t="s">
        <v>3057</v>
      </c>
      <c r="F108" s="3290" t="s">
        <v>3058</v>
      </c>
      <c r="G108" s="3290" t="s">
        <v>3059</v>
      </c>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289" t="s">
        <v>3046</v>
      </c>
      <c r="D110" s="3289" t="s">
        <v>3047</v>
      </c>
      <c r="E110" s="3289" t="s">
        <v>3048</v>
      </c>
      <c r="F110" s="3289" t="s">
        <v>3049</v>
      </c>
      <c r="G110" s="709"/>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2"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2"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c r="A118" s="655" t="s">
        <v>545</v>
      </c>
      <c r="B118" s="656" t="s">
        <v>587</v>
      </c>
      <c r="C118" s="695" t="str">
        <f t="shared" ref="C118:L118" si="25">C119&amp;"(含)"&amp;"-"&amp;D119</f>
        <v>0(含)-100000</v>
      </c>
      <c r="D118" s="695" t="str">
        <f t="shared" si="25"/>
        <v>100000(含)-</v>
      </c>
      <c r="E118" s="695" t="str">
        <f t="shared" si="25"/>
        <v>(含)-</v>
      </c>
      <c r="F118" s="695" t="str">
        <f t="shared" si="25"/>
        <v>(含)-</v>
      </c>
      <c r="G118" s="695" t="str">
        <f t="shared" si="25"/>
        <v>(含)-</v>
      </c>
      <c r="H118" s="695" t="str">
        <f t="shared" si="25"/>
        <v>(含)-</v>
      </c>
      <c r="I118" s="695"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100000</v>
      </c>
      <c r="E119" s="721"/>
      <c r="F119" s="721"/>
      <c r="G119" s="721"/>
      <c r="H119" s="721"/>
      <c r="I119" s="721"/>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c r="D120" s="717"/>
      <c r="E120" s="717"/>
      <c r="F120" s="717"/>
      <c r="G120" s="717"/>
      <c r="H120" s="717"/>
      <c r="I120" s="717"/>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289" t="s">
        <v>3032</v>
      </c>
      <c r="D121" s="709"/>
      <c r="E121" s="709"/>
      <c r="F121" s="709"/>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4"/>
      <c r="O124" s="2044"/>
      <c r="P124" s="2043"/>
      <c r="Q124" s="2036"/>
      <c r="R124" s="2024"/>
      <c r="S124" s="2024"/>
      <c r="T124" s="2024"/>
      <c r="U124" s="2024"/>
      <c r="V124" s="2024"/>
      <c r="W124" s="2024"/>
      <c r="X124" s="2024"/>
      <c r="Y124" s="2024"/>
      <c r="Z124" s="2024"/>
      <c r="AA124" s="2024"/>
      <c r="AB124" s="2024"/>
      <c r="AC124" s="2024"/>
    </row>
    <row r="125" spans="1:29" s="1292" customFormat="1" ht="15" thickTop="1">
      <c r="A125" s="719"/>
      <c r="B125" s="1807" t="s">
        <v>2409</v>
      </c>
      <c r="C125" s="1325" t="s">
        <v>3033</v>
      </c>
      <c r="D125" s="1325" t="s">
        <v>3034</v>
      </c>
      <c r="E125" s="1325" t="s">
        <v>3036</v>
      </c>
      <c r="F125" s="1325" t="s">
        <v>3037</v>
      </c>
      <c r="G125" s="1325"/>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3290" t="s">
        <v>3040</v>
      </c>
      <c r="D127" s="3290" t="s">
        <v>3038</v>
      </c>
      <c r="E127" s="3289" t="s">
        <v>3041</v>
      </c>
      <c r="F127" s="3289" t="s">
        <v>3042</v>
      </c>
      <c r="G127" s="3289" t="s">
        <v>3043</v>
      </c>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2"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2"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36" priority="18" stopIfTrue="1" operator="containsText" text="超过">
      <formula>NOT(ISERROR(SEARCH("超过",F53)))</formula>
    </cfRule>
  </conditionalFormatting>
  <conditionalFormatting sqref="J55">
    <cfRule type="containsText" dxfId="35" priority="17" stopIfTrue="1" operator="containsText" text="超过">
      <formula>NOT(ISERROR(SEARCH("超过",J55)))</formula>
    </cfRule>
  </conditionalFormatting>
  <conditionalFormatting sqref="H55">
    <cfRule type="containsText" dxfId="34" priority="16" stopIfTrue="1" operator="containsText" text="超过">
      <formula>NOT(ISERROR(SEARCH("超过",H55)))</formula>
    </cfRule>
  </conditionalFormatting>
  <conditionalFormatting sqref="F55">
    <cfRule type="containsText" dxfId="33" priority="15" stopIfTrue="1" operator="containsText" text="超过">
      <formula>NOT(ISERROR(SEARCH("超过",F55)))</formula>
    </cfRule>
  </conditionalFormatting>
  <conditionalFormatting sqref="F54 H54 J54">
    <cfRule type="containsText" dxfId="32" priority="14" stopIfTrue="1" operator="containsText" text="超过">
      <formula>NOT(ISERROR(SEARCH("超过",F54)))</formula>
    </cfRule>
  </conditionalFormatting>
  <conditionalFormatting sqref="E53">
    <cfRule type="expression" dxfId="31" priority="13" stopIfTrue="1">
      <formula>$F$53="超过30%"</formula>
    </cfRule>
  </conditionalFormatting>
  <conditionalFormatting sqref="G55">
    <cfRule type="expression" dxfId="30" priority="12" stopIfTrue="1">
      <formula>$H$55="超过30%"</formula>
    </cfRule>
  </conditionalFormatting>
  <conditionalFormatting sqref="E54">
    <cfRule type="expression" dxfId="29" priority="11" stopIfTrue="1">
      <formula>$F$54="超过20%"</formula>
    </cfRule>
  </conditionalFormatting>
  <conditionalFormatting sqref="E55">
    <cfRule type="expression" dxfId="28" priority="10" stopIfTrue="1">
      <formula>$F$55="超过30%"</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I53">
    <cfRule type="expression" dxfId="25" priority="7" stopIfTrue="1">
      <formula>$J$53="超过30%"</formula>
    </cfRule>
  </conditionalFormatting>
  <conditionalFormatting sqref="I54">
    <cfRule type="expression" dxfId="24" priority="6" stopIfTrue="1">
      <formula>$J$54="超过20%"</formula>
    </cfRule>
  </conditionalFormatting>
  <conditionalFormatting sqref="I55">
    <cfRule type="expression" dxfId="23" priority="5" stopIfTrue="1">
      <formula>$J$55="超过30%"</formula>
    </cfRule>
  </conditionalFormatting>
  <conditionalFormatting sqref="F49">
    <cfRule type="expression" dxfId="22" priority="4">
      <formula>$D$49="简单平均"</formula>
    </cfRule>
  </conditionalFormatting>
  <conditionalFormatting sqref="H49">
    <cfRule type="expression" dxfId="21" priority="3">
      <formula>$D$49="简单平均"</formula>
    </cfRule>
  </conditionalFormatting>
  <conditionalFormatting sqref="J49">
    <cfRule type="expression" dxfId="20" priority="2">
      <formula>$D$49="简单平均"</formula>
    </cfRule>
  </conditionalFormatting>
  <conditionalFormatting sqref="F9:F47 H9:H47 J9:J47">
    <cfRule type="cellIs" dxfId="19"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受贵公司委托，我公司对石家庄市东至祁连街、西至规划路、南至规划路、北至漓江道出让国有建设用地使用权抵押价格进行了预评估。</v>
      </c>
    </row>
    <row r="5" spans="1:4" ht="18.75">
      <c r="A5" s="1707" t="s">
        <v>1896</v>
      </c>
    </row>
    <row r="6" spans="1:4" ht="93.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强大房地产开发有限公司使用的、位于石家庄市东至祁连街、西至规划路、南至规划路、北至漓江道出让国有建设用地使用权。根据《国有土地使用证》[]，估价对象（分摊）出让国有建设用地使用权面积为49955.92平方米。根据《建设工程规划许可证》[]、《出让合同》[]，估价对象规划建筑面积为157059.36平方米。</v>
      </c>
    </row>
    <row r="7" spans="1:4" ht="93.75">
      <c r="A7" s="2587" t="s">
        <v>2728</v>
      </c>
    </row>
    <row r="8" spans="1:4" ht="18.75">
      <c r="A8" s="1707" t="s">
        <v>1897</v>
      </c>
    </row>
    <row r="9" spans="1:4" ht="75">
      <c r="A9" s="1709" t="str">
        <f>IF(项目基本情况!B8="抵押",IF(项目基本情况!B5=项目基本情况!B6,定义!C51,定义!B51),定义!D51)</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2021年2月7日（评估专业人员勘察现场之日）</v>
      </c>
    </row>
    <row r="12" spans="1:4" ht="18.75">
      <c r="A12" s="1710" t="s">
        <v>2013</v>
      </c>
    </row>
    <row r="13" spans="1:4" ht="18.75">
      <c r="A13" s="1704" t="s">
        <v>2059</v>
      </c>
    </row>
    <row r="14" spans="1:4" ht="18.75">
      <c r="A14" s="1704" t="str">
        <f>"根据"&amp;项目基本情况!F12&amp;"，本次评估估价对象证载（地类）用途为"&amp;项目基本情况!B12&amp;"。"</f>
        <v>根据《国有土地使用证》[]，本次评估估价对象证载（地类）用途为出让。</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本次评估设定用途即为证载用途出让。</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根据《国有土地使用证》[]，估价对象（分摊）出让国有建设用地使用权面积为49955.92平方米。根据《建设工程规划许可证》[]、《出让合同》[]，估价对象规划建筑面积为157059.36平方米。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2062</v>
      </c>
    </row>
    <row r="23" spans="1:1" ht="18.75">
      <c r="A23" s="2589" t="s">
        <v>2729</v>
      </c>
    </row>
    <row r="24" spans="1:1" ht="18.75">
      <c r="A24" s="1704" t="s">
        <v>2063</v>
      </c>
    </row>
    <row r="25" spans="1:1" ht="93.75">
      <c r="A25" s="1704"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4" t="str">
        <f>IF(项目基本情况!E9="——","",定义!C57)</f>
        <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Normal="60" zoomScaleSheetLayoutView="100" workbookViewId="0">
      <selection activeCell="D36" sqref="D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1"/>
      <c r="G1" s="1529" t="s">
        <v>787</v>
      </c>
      <c r="H1" s="499"/>
      <c r="I1" s="499"/>
      <c r="J1" s="499"/>
      <c r="K1" s="500"/>
      <c r="L1" s="3207"/>
      <c r="M1" s="3208"/>
      <c r="N1" s="3208"/>
      <c r="O1" s="3208"/>
      <c r="P1" s="2011"/>
      <c r="Q1" s="2011"/>
      <c r="R1" s="2011"/>
      <c r="S1" s="2011"/>
      <c r="T1" s="2011"/>
      <c r="U1" s="2011"/>
      <c r="V1" s="2011"/>
      <c r="W1" s="2011"/>
      <c r="X1" s="2011"/>
      <c r="Y1" s="2011"/>
      <c r="Z1" s="2011"/>
      <c r="AA1" s="2011"/>
      <c r="AB1" s="2011"/>
      <c r="AC1" s="3209"/>
    </row>
    <row r="2" spans="1:29" s="1289" customFormat="1" ht="28.5" customHeight="1">
      <c r="A2" s="416" t="s">
        <v>788</v>
      </c>
      <c r="B2" s="838"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9" customFormat="1" ht="28.5" customHeight="1" thickBot="1">
      <c r="A3" s="502" t="s">
        <v>789</v>
      </c>
      <c r="B3" s="503" t="e">
        <f>C37</f>
        <v>#DIV/0!</v>
      </c>
      <c r="C3" s="840" t="s">
        <v>790</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5" t="s">
        <v>791</v>
      </c>
      <c r="B4" s="506"/>
      <c r="C4" s="3508" t="s">
        <v>792</v>
      </c>
      <c r="D4" s="3509"/>
      <c r="E4" s="3535" t="s">
        <v>793</v>
      </c>
      <c r="F4" s="3536"/>
      <c r="G4" s="3508" t="s">
        <v>794</v>
      </c>
      <c r="H4" s="3509"/>
      <c r="I4" s="3508" t="s">
        <v>795</v>
      </c>
      <c r="J4" s="3509"/>
      <c r="K4" s="507" t="s">
        <v>796</v>
      </c>
      <c r="L4" s="2012"/>
      <c r="M4" s="2013"/>
      <c r="N4" s="2013"/>
      <c r="O4" s="2013"/>
      <c r="P4" s="3510" t="s">
        <v>797</v>
      </c>
      <c r="Q4" s="3511"/>
      <c r="R4" s="3496" t="s">
        <v>793</v>
      </c>
      <c r="S4" s="3497"/>
      <c r="T4" s="3496" t="s">
        <v>794</v>
      </c>
      <c r="U4" s="3497"/>
      <c r="V4" s="3516" t="s">
        <v>795</v>
      </c>
      <c r="W4" s="3516"/>
      <c r="X4" s="1499"/>
      <c r="Y4" s="3496" t="s">
        <v>797</v>
      </c>
      <c r="Z4" s="3497"/>
      <c r="AA4" s="3491" t="s">
        <v>793</v>
      </c>
      <c r="AB4" s="3492" t="s">
        <v>794</v>
      </c>
      <c r="AC4" s="3491" t="s">
        <v>795</v>
      </c>
    </row>
    <row r="5" spans="1:29" ht="15">
      <c r="A5" s="508"/>
      <c r="B5" s="509"/>
      <c r="C5" s="3521" t="s">
        <v>2896</v>
      </c>
      <c r="D5" s="3520"/>
      <c r="E5" s="3537" t="s">
        <v>2897</v>
      </c>
      <c r="F5" s="3538"/>
      <c r="G5" s="3521" t="s">
        <v>2898</v>
      </c>
      <c r="H5" s="3520"/>
      <c r="I5" s="3521" t="s">
        <v>2899</v>
      </c>
      <c r="J5" s="3520"/>
      <c r="K5" s="507"/>
      <c r="L5" s="2012"/>
      <c r="M5" s="2013"/>
      <c r="N5" s="2013"/>
      <c r="O5" s="2013"/>
      <c r="P5" s="3512"/>
      <c r="Q5" s="3513"/>
      <c r="R5" s="3498"/>
      <c r="S5" s="3499"/>
      <c r="T5" s="3498"/>
      <c r="U5" s="3499"/>
      <c r="V5" s="3516"/>
      <c r="W5" s="3516"/>
      <c r="X5" s="1499"/>
      <c r="Y5" s="3498"/>
      <c r="Z5" s="3499"/>
      <c r="AA5" s="3492"/>
      <c r="AB5" s="3492"/>
      <c r="AC5" s="3492"/>
    </row>
    <row r="6" spans="1:29" ht="15.75" thickBot="1">
      <c r="A6" s="510"/>
      <c r="B6" s="511"/>
      <c r="C6" s="3539" t="s">
        <v>2900</v>
      </c>
      <c r="D6" s="3518"/>
      <c r="E6" s="3540" t="s">
        <v>2900</v>
      </c>
      <c r="F6" s="3541"/>
      <c r="G6" s="3539" t="s">
        <v>2900</v>
      </c>
      <c r="H6" s="3518"/>
      <c r="I6" s="3539" t="s">
        <v>2900</v>
      </c>
      <c r="J6" s="3518"/>
      <c r="K6" s="507" t="s">
        <v>522</v>
      </c>
      <c r="L6" s="2012"/>
      <c r="M6" s="2013"/>
      <c r="N6" s="2013"/>
      <c r="O6" s="2013"/>
      <c r="P6" s="3514"/>
      <c r="Q6" s="3515"/>
      <c r="R6" s="3498"/>
      <c r="S6" s="3499"/>
      <c r="T6" s="3500"/>
      <c r="U6" s="3501"/>
      <c r="V6" s="3516"/>
      <c r="W6" s="3516"/>
      <c r="X6" s="1499"/>
      <c r="Y6" s="3500"/>
      <c r="Z6" s="3501"/>
      <c r="AA6" s="3493"/>
      <c r="AB6" s="3493"/>
      <c r="AC6" s="3493"/>
    </row>
    <row r="7" spans="1:29" s="1202" customFormat="1" ht="15.75" thickBot="1">
      <c r="A7" s="2626"/>
      <c r="B7" s="2633" t="s">
        <v>523</v>
      </c>
      <c r="C7" s="512">
        <f>'数据-取费表'!B2</f>
        <v>44234</v>
      </c>
      <c r="D7" s="513">
        <v>100</v>
      </c>
      <c r="E7" s="514"/>
      <c r="F7" s="515">
        <f>SUMIF(46:46,YEAR(E7)&amp;"-"&amp;MONTH(E7),47:47)</f>
        <v>0</v>
      </c>
      <c r="G7" s="516"/>
      <c r="H7" s="513">
        <f>SUMIF(46:46,YEAR(G7)&amp;"-"&amp;MONTH(G7),47:47)</f>
        <v>0</v>
      </c>
      <c r="I7" s="516"/>
      <c r="J7" s="513">
        <f>SUMIF(46:46,YEAR(I7)&amp;"-"&amp;MONTH(I7),47:47)</f>
        <v>0</v>
      </c>
      <c r="K7" s="517"/>
      <c r="L7" s="2014"/>
      <c r="M7" s="2015"/>
      <c r="N7" s="2015"/>
      <c r="O7" s="2015"/>
      <c r="P7" s="3494" t="s">
        <v>524</v>
      </c>
      <c r="Q7" s="3503"/>
      <c r="R7" s="1500" t="s">
        <v>8</v>
      </c>
      <c r="S7" s="1501">
        <f t="shared" ref="S7:S14" si="0">F7</f>
        <v>0</v>
      </c>
      <c r="T7" s="1500" t="s">
        <v>8</v>
      </c>
      <c r="U7" s="1501">
        <f t="shared" ref="U7:U14" si="1">H7</f>
        <v>0</v>
      </c>
      <c r="V7" s="1500" t="s">
        <v>8</v>
      </c>
      <c r="W7" s="1501">
        <f t="shared" ref="W7:W14" si="2">J7</f>
        <v>0</v>
      </c>
      <c r="X7" s="1502"/>
      <c r="Y7" s="3494" t="s">
        <v>524</v>
      </c>
      <c r="Z7" s="3495"/>
      <c r="AA7" s="1503" t="e">
        <f>D7/F7</f>
        <v>#DIV/0!</v>
      </c>
      <c r="AB7" s="1503" t="e">
        <f>D7/H7</f>
        <v>#DIV/0!</v>
      </c>
      <c r="AC7" s="1503" t="e">
        <f>D7/J7</f>
        <v>#DIV/0!</v>
      </c>
    </row>
    <row r="8" spans="1:29" s="1202" customFormat="1" ht="15.75" thickBot="1">
      <c r="A8" s="2627"/>
      <c r="B8" s="2634" t="s">
        <v>525</v>
      </c>
      <c r="C8" s="518" t="s">
        <v>570</v>
      </c>
      <c r="D8" s="513">
        <v>100</v>
      </c>
      <c r="E8" s="518"/>
      <c r="F8" s="515">
        <f>SUMIF(49:49,E8,50:50)-SUMIF(49:49,C8,50:50)+100</f>
        <v>0</v>
      </c>
      <c r="G8" s="518"/>
      <c r="H8" s="513">
        <f>SUMIF(49:49,G8,50:50)-SUMIF(49:49,C8,50:50)+100</f>
        <v>0</v>
      </c>
      <c r="I8" s="518"/>
      <c r="J8" s="513">
        <f>SUMIF(49:49,I8,50:50)-SUMIF(49:49,C8,50:50)+100</f>
        <v>0</v>
      </c>
      <c r="K8" s="517"/>
      <c r="L8" s="2014"/>
      <c r="M8" s="2015"/>
      <c r="N8" s="2015"/>
      <c r="O8" s="2015"/>
      <c r="P8" s="3494" t="s">
        <v>527</v>
      </c>
      <c r="Q8" s="3495"/>
      <c r="R8" s="1500" t="s">
        <v>8</v>
      </c>
      <c r="S8" s="1501">
        <f t="shared" si="0"/>
        <v>0</v>
      </c>
      <c r="T8" s="1500" t="s">
        <v>8</v>
      </c>
      <c r="U8" s="1501">
        <f t="shared" si="1"/>
        <v>0</v>
      </c>
      <c r="V8" s="1500" t="s">
        <v>8</v>
      </c>
      <c r="W8" s="1501">
        <f t="shared" si="2"/>
        <v>0</v>
      </c>
      <c r="X8" s="1502"/>
      <c r="Y8" s="3494" t="s">
        <v>527</v>
      </c>
      <c r="Z8" s="3495"/>
      <c r="AA8" s="1503" t="e">
        <f t="shared" ref="AA8:AA34" si="3">D8/F8</f>
        <v>#DIV/0!</v>
      </c>
      <c r="AB8" s="1503" t="e">
        <f t="shared" ref="AB8:AB34" si="4">D8/H8</f>
        <v>#DIV/0!</v>
      </c>
      <c r="AC8" s="1503" t="e">
        <f t="shared" ref="AC8:AC34" si="5">D8/J8</f>
        <v>#DIV/0!</v>
      </c>
    </row>
    <row r="9" spans="1:29" s="1202" customFormat="1" ht="15">
      <c r="A9" s="2628"/>
      <c r="B9" s="2635" t="s">
        <v>2736</v>
      </c>
      <c r="C9" s="845"/>
      <c r="D9" s="251">
        <v>100</v>
      </c>
      <c r="E9" s="848"/>
      <c r="F9" s="251">
        <f>SUMIF(51:51,E9,52:52)-SUMIF(51:51,C9,52:52)+100</f>
        <v>100</v>
      </c>
      <c r="G9" s="848"/>
      <c r="H9" s="251">
        <f>SUMIF(51:51,G9,52:52)-SUMIF(51:51,C9,52:52)+100</f>
        <v>100</v>
      </c>
      <c r="I9" s="848"/>
      <c r="J9" s="251">
        <f>SUMIF(51:51,I9,52:52)-SUMIF(51:51,C9,52:52)+100</f>
        <v>100</v>
      </c>
      <c r="K9" s="517"/>
      <c r="L9" s="2014"/>
      <c r="M9" s="2015"/>
      <c r="N9" s="2015"/>
      <c r="O9" s="2016"/>
      <c r="P9" s="3502" t="s">
        <v>529</v>
      </c>
      <c r="Q9" s="1133" t="str">
        <f t="shared" ref="Q9:Q14" si="6">B9</f>
        <v>用途</v>
      </c>
      <c r="R9" s="1500" t="s">
        <v>8</v>
      </c>
      <c r="S9" s="1501">
        <f t="shared" si="0"/>
        <v>100</v>
      </c>
      <c r="T9" s="1500" t="s">
        <v>8</v>
      </c>
      <c r="U9" s="1501">
        <f t="shared" si="1"/>
        <v>100</v>
      </c>
      <c r="V9" s="1500" t="s">
        <v>8</v>
      </c>
      <c r="W9" s="1501">
        <f t="shared" si="2"/>
        <v>100</v>
      </c>
      <c r="X9" s="1502"/>
      <c r="Y9" s="3453" t="s">
        <v>530</v>
      </c>
      <c r="Z9" s="1132" t="str">
        <f t="shared" ref="Z9:Z14" si="7">Q9</f>
        <v>用途</v>
      </c>
      <c r="AA9" s="1503">
        <f t="shared" si="3"/>
        <v>1</v>
      </c>
      <c r="AB9" s="1503">
        <f t="shared" si="4"/>
        <v>1</v>
      </c>
      <c r="AC9" s="1503">
        <f t="shared" si="5"/>
        <v>1</v>
      </c>
    </row>
    <row r="10" spans="1:29" s="1291" customFormat="1" ht="27">
      <c r="A10" s="2629"/>
      <c r="B10" s="2634" t="s">
        <v>2737</v>
      </c>
      <c r="C10" s="849"/>
      <c r="D10" s="252">
        <v>100</v>
      </c>
      <c r="E10" s="849"/>
      <c r="F10" s="252">
        <f>SUMIF(53:53,E10,54:54)-SUMIF(53:53,C10,54:54)+100</f>
        <v>100</v>
      </c>
      <c r="G10" s="850"/>
      <c r="H10" s="252">
        <f>SUMIF(53:53,G10,54:54)-SUMIF(53:53,C10,54:54)+100</f>
        <v>100</v>
      </c>
      <c r="I10" s="849"/>
      <c r="J10" s="252">
        <f>SUMIF(53:53,I10,54:54)-SUMIF(53:53,C10,54:54)+100</f>
        <v>100</v>
      </c>
      <c r="K10" s="577"/>
      <c r="L10" s="2017"/>
      <c r="M10" s="2056"/>
      <c r="N10" s="2056"/>
      <c r="O10" s="2018"/>
      <c r="P10" s="3502"/>
      <c r="Q10" s="1133" t="str">
        <f t="shared" si="6"/>
        <v>土地使用年限（年）</v>
      </c>
      <c r="R10" s="1500" t="s">
        <v>8</v>
      </c>
      <c r="S10" s="1501">
        <f t="shared" si="0"/>
        <v>100</v>
      </c>
      <c r="T10" s="1500" t="s">
        <v>8</v>
      </c>
      <c r="U10" s="1501">
        <f t="shared" si="1"/>
        <v>100</v>
      </c>
      <c r="V10" s="1500" t="s">
        <v>8</v>
      </c>
      <c r="W10" s="1501">
        <f t="shared" si="2"/>
        <v>100</v>
      </c>
      <c r="X10" s="1502"/>
      <c r="Y10" s="3453"/>
      <c r="Z10" s="1132" t="str">
        <f t="shared" si="7"/>
        <v>土地使用年限（年）</v>
      </c>
      <c r="AA10" s="1503">
        <f t="shared" si="3"/>
        <v>1</v>
      </c>
      <c r="AB10" s="1503">
        <f t="shared" si="4"/>
        <v>1</v>
      </c>
      <c r="AC10" s="1503">
        <f t="shared" si="5"/>
        <v>1</v>
      </c>
    </row>
    <row r="11" spans="1:29" ht="15">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19"/>
      <c r="M11" s="2013"/>
      <c r="N11" s="2013"/>
      <c r="O11" s="2020"/>
      <c r="P11" s="3502"/>
      <c r="Q11" s="1133">
        <f t="shared" si="6"/>
        <v>111</v>
      </c>
      <c r="R11" s="1500" t="s">
        <v>8</v>
      </c>
      <c r="S11" s="1501">
        <f t="shared" si="0"/>
        <v>100</v>
      </c>
      <c r="T11" s="1500" t="s">
        <v>8</v>
      </c>
      <c r="U11" s="1501">
        <f t="shared" si="1"/>
        <v>100</v>
      </c>
      <c r="V11" s="1500" t="s">
        <v>8</v>
      </c>
      <c r="W11" s="1501">
        <f t="shared" si="2"/>
        <v>100</v>
      </c>
      <c r="X11" s="1502"/>
      <c r="Y11" s="3453"/>
      <c r="Z11" s="1132">
        <f t="shared" si="7"/>
        <v>111</v>
      </c>
      <c r="AA11" s="1503">
        <f t="shared" si="3"/>
        <v>1</v>
      </c>
      <c r="AB11" s="1503">
        <f t="shared" si="4"/>
        <v>1</v>
      </c>
      <c r="AC11" s="1503">
        <f t="shared" si="5"/>
        <v>1</v>
      </c>
    </row>
    <row r="12" spans="1:29" s="1202" customFormat="1" ht="15">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4"/>
      <c r="M12" s="2015"/>
      <c r="N12" s="2015"/>
      <c r="O12" s="2016"/>
      <c r="P12" s="3502"/>
      <c r="Q12" s="1133">
        <f t="shared" si="6"/>
        <v>111</v>
      </c>
      <c r="R12" s="1500" t="s">
        <v>8</v>
      </c>
      <c r="S12" s="1501">
        <f t="shared" si="0"/>
        <v>100</v>
      </c>
      <c r="T12" s="1500" t="s">
        <v>8</v>
      </c>
      <c r="U12" s="1501">
        <f t="shared" si="1"/>
        <v>100</v>
      </c>
      <c r="V12" s="1500" t="s">
        <v>8</v>
      </c>
      <c r="W12" s="1501">
        <f t="shared" si="2"/>
        <v>100</v>
      </c>
      <c r="X12" s="1502"/>
      <c r="Y12" s="3453"/>
      <c r="Z12" s="1132">
        <f t="shared" si="7"/>
        <v>111</v>
      </c>
      <c r="AA12" s="1503">
        <f>D12/F12</f>
        <v>1</v>
      </c>
      <c r="AB12" s="1503">
        <f>D12/H12</f>
        <v>1</v>
      </c>
      <c r="AC12" s="1503">
        <f>D12/J12</f>
        <v>1</v>
      </c>
    </row>
    <row r="13" spans="1:29" ht="15.75"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1"/>
      <c r="M13" s="2013"/>
      <c r="N13" s="2013"/>
      <c r="O13" s="2020"/>
      <c r="P13" s="3502"/>
      <c r="Q13" s="1133">
        <f t="shared" si="6"/>
        <v>111</v>
      </c>
      <c r="R13" s="1500" t="s">
        <v>8</v>
      </c>
      <c r="S13" s="1501">
        <f t="shared" si="0"/>
        <v>100</v>
      </c>
      <c r="T13" s="1500" t="s">
        <v>8</v>
      </c>
      <c r="U13" s="1501">
        <f t="shared" si="1"/>
        <v>100</v>
      </c>
      <c r="V13" s="1500" t="s">
        <v>8</v>
      </c>
      <c r="W13" s="1501">
        <f t="shared" si="2"/>
        <v>100</v>
      </c>
      <c r="X13" s="1502"/>
      <c r="Y13" s="3453"/>
      <c r="Z13" s="1132">
        <f t="shared" si="7"/>
        <v>111</v>
      </c>
      <c r="AA13" s="1503">
        <f t="shared" si="3"/>
        <v>1</v>
      </c>
      <c r="AB13" s="1503">
        <f t="shared" si="4"/>
        <v>1</v>
      </c>
      <c r="AC13" s="1503">
        <f t="shared" si="5"/>
        <v>1</v>
      </c>
    </row>
    <row r="14" spans="1:29" ht="85.5">
      <c r="A14" s="2624" t="s">
        <v>2734</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1"/>
      <c r="M14" s="2013"/>
      <c r="N14" s="2013"/>
      <c r="O14" s="2020"/>
      <c r="P14" s="3504" t="s">
        <v>534</v>
      </c>
      <c r="Q14" s="1504" t="str">
        <f t="shared" si="6"/>
        <v>交通便捷度</v>
      </c>
      <c r="R14" s="1505" t="s">
        <v>8</v>
      </c>
      <c r="S14" s="1506">
        <f t="shared" si="0"/>
        <v>100</v>
      </c>
      <c r="T14" s="1505" t="s">
        <v>8</v>
      </c>
      <c r="U14" s="1506">
        <f t="shared" si="1"/>
        <v>100</v>
      </c>
      <c r="V14" s="1505" t="s">
        <v>8</v>
      </c>
      <c r="W14" s="1506">
        <f t="shared" si="2"/>
        <v>100</v>
      </c>
      <c r="X14" s="1499"/>
      <c r="Y14" s="3504" t="s">
        <v>534</v>
      </c>
      <c r="Z14" s="1507" t="str">
        <f t="shared" si="7"/>
        <v>交通便捷度</v>
      </c>
      <c r="AA14" s="1508">
        <f t="shared" si="3"/>
        <v>1</v>
      </c>
      <c r="AB14" s="1508">
        <f t="shared" si="4"/>
        <v>1</v>
      </c>
      <c r="AC14" s="1508">
        <f t="shared" si="5"/>
        <v>1</v>
      </c>
    </row>
    <row r="15" spans="1:29" ht="15">
      <c r="A15" s="525"/>
      <c r="B15" s="857"/>
      <c r="C15" s="569"/>
      <c r="D15" s="548"/>
      <c r="E15" s="569"/>
      <c r="F15" s="550"/>
      <c r="G15" s="569"/>
      <c r="H15" s="552"/>
      <c r="I15" s="569"/>
      <c r="J15" s="548"/>
      <c r="K15" s="887"/>
      <c r="L15" s="2021"/>
      <c r="M15" s="2013"/>
      <c r="N15" s="2013"/>
      <c r="O15" s="2020"/>
      <c r="P15" s="3505"/>
      <c r="Q15" s="1504"/>
      <c r="R15" s="1505"/>
      <c r="S15" s="1506"/>
      <c r="T15" s="1505"/>
      <c r="U15" s="1506"/>
      <c r="V15" s="1505"/>
      <c r="W15" s="1506"/>
      <c r="X15" s="1499"/>
      <c r="Y15" s="3505"/>
      <c r="Z15" s="1507"/>
      <c r="AA15" s="1508">
        <v>1</v>
      </c>
      <c r="AB15" s="1508">
        <v>1</v>
      </c>
      <c r="AC15" s="1508">
        <v>1</v>
      </c>
    </row>
    <row r="16" spans="1:29" ht="42.75">
      <c r="A16" s="525"/>
      <c r="B16" s="2444"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1"/>
      <c r="M16" s="2013"/>
      <c r="N16" s="2013"/>
      <c r="O16" s="2020"/>
      <c r="P16" s="3505"/>
      <c r="Q16" s="1504" t="str">
        <f>B16</f>
        <v>公共配套设施</v>
      </c>
      <c r="R16" s="1505" t="s">
        <v>8</v>
      </c>
      <c r="S16" s="1506">
        <f>F16</f>
        <v>100</v>
      </c>
      <c r="T16" s="1505" t="s">
        <v>8</v>
      </c>
      <c r="U16" s="1506">
        <f>H16</f>
        <v>100</v>
      </c>
      <c r="V16" s="1505" t="s">
        <v>8</v>
      </c>
      <c r="W16" s="1506">
        <f>J16</f>
        <v>100</v>
      </c>
      <c r="X16" s="1499"/>
      <c r="Y16" s="3505"/>
      <c r="Z16" s="1507" t="str">
        <f>Q16</f>
        <v>公共配套设施</v>
      </c>
      <c r="AA16" s="1508">
        <f t="shared" si="3"/>
        <v>1</v>
      </c>
      <c r="AB16" s="1508">
        <f t="shared" si="4"/>
        <v>1</v>
      </c>
      <c r="AC16" s="1508">
        <f t="shared" si="5"/>
        <v>1</v>
      </c>
    </row>
    <row r="17" spans="1:29" ht="15">
      <c r="A17" s="525"/>
      <c r="B17" s="559"/>
      <c r="C17" s="861"/>
      <c r="D17" s="548"/>
      <c r="E17" s="569"/>
      <c r="F17" s="550"/>
      <c r="G17" s="569"/>
      <c r="H17" s="548"/>
      <c r="I17" s="569"/>
      <c r="J17" s="548"/>
      <c r="K17" s="887"/>
      <c r="L17" s="2021"/>
      <c r="M17" s="2013"/>
      <c r="N17" s="2013"/>
      <c r="O17" s="2020"/>
      <c r="P17" s="3505"/>
      <c r="Q17" s="1504"/>
      <c r="R17" s="1505"/>
      <c r="S17" s="1506"/>
      <c r="T17" s="1505"/>
      <c r="U17" s="1506"/>
      <c r="V17" s="1505"/>
      <c r="W17" s="1506"/>
      <c r="X17" s="1499"/>
      <c r="Y17" s="3505"/>
      <c r="Z17" s="1507"/>
      <c r="AA17" s="1508">
        <v>1</v>
      </c>
      <c r="AB17" s="1508">
        <v>1</v>
      </c>
      <c r="AC17" s="1508">
        <v>1</v>
      </c>
    </row>
    <row r="18" spans="1:29" ht="28.5">
      <c r="A18" s="525"/>
      <c r="B18" s="2432"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1"/>
      <c r="M18" s="2013"/>
      <c r="N18" s="2013"/>
      <c r="O18" s="2020"/>
      <c r="P18" s="3505"/>
      <c r="Q18" s="2426" t="str">
        <f>B18</f>
        <v>基础设施水平</v>
      </c>
      <c r="R18" s="1505" t="s">
        <v>8</v>
      </c>
      <c r="S18" s="1506">
        <f>F18</f>
        <v>100</v>
      </c>
      <c r="T18" s="1505" t="s">
        <v>8</v>
      </c>
      <c r="U18" s="1506">
        <f>H18</f>
        <v>100</v>
      </c>
      <c r="V18" s="1505" t="s">
        <v>8</v>
      </c>
      <c r="W18" s="1506">
        <f>J18</f>
        <v>100</v>
      </c>
      <c r="X18" s="2428"/>
      <c r="Y18" s="3505"/>
      <c r="Z18" s="2427" t="str">
        <f>Q18</f>
        <v>基础设施水平</v>
      </c>
      <c r="AA18" s="1508">
        <f t="shared" ref="AA18" si="8">D18/F18</f>
        <v>1</v>
      </c>
      <c r="AB18" s="1508">
        <f t="shared" ref="AB18" si="9">D18/H18</f>
        <v>1</v>
      </c>
      <c r="AC18" s="1508">
        <f t="shared" ref="AC18" si="10">D18/J18</f>
        <v>1</v>
      </c>
    </row>
    <row r="19" spans="1:29" ht="15">
      <c r="A19" s="525"/>
      <c r="B19" s="571"/>
      <c r="C19" s="861"/>
      <c r="D19" s="552"/>
      <c r="E19" s="861"/>
      <c r="F19" s="556"/>
      <c r="G19" s="861"/>
      <c r="H19" s="548"/>
      <c r="I19" s="569"/>
      <c r="J19" s="548"/>
      <c r="K19" s="2443"/>
      <c r="L19" s="2021"/>
      <c r="M19" s="2013"/>
      <c r="N19" s="2013"/>
      <c r="O19" s="2020"/>
      <c r="P19" s="3505"/>
      <c r="Q19" s="2426"/>
      <c r="R19" s="1505"/>
      <c r="S19" s="1506"/>
      <c r="T19" s="1505"/>
      <c r="U19" s="1506"/>
      <c r="V19" s="1505"/>
      <c r="W19" s="1506"/>
      <c r="X19" s="2428"/>
      <c r="Y19" s="3505"/>
      <c r="Z19" s="2427"/>
      <c r="AA19" s="1508">
        <v>1</v>
      </c>
      <c r="AB19" s="1508">
        <v>1</v>
      </c>
      <c r="AC19" s="1508">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1"/>
      <c r="M20" s="2013"/>
      <c r="N20" s="2013"/>
      <c r="O20" s="2020"/>
      <c r="P20" s="3505"/>
      <c r="Q20" s="1504" t="str">
        <f>B20</f>
        <v>自然及人文环境</v>
      </c>
      <c r="R20" s="1505" t="s">
        <v>8</v>
      </c>
      <c r="S20" s="1506">
        <f>F20</f>
        <v>100</v>
      </c>
      <c r="T20" s="1505" t="s">
        <v>8</v>
      </c>
      <c r="U20" s="1506">
        <f>H20</f>
        <v>100</v>
      </c>
      <c r="V20" s="1505" t="s">
        <v>8</v>
      </c>
      <c r="W20" s="1506">
        <f>J20</f>
        <v>100</v>
      </c>
      <c r="X20" s="1499"/>
      <c r="Y20" s="3505"/>
      <c r="Z20" s="1507" t="str">
        <f>Q20</f>
        <v>自然及人文环境</v>
      </c>
      <c r="AA20" s="1508">
        <f t="shared" si="3"/>
        <v>1</v>
      </c>
      <c r="AB20" s="1508">
        <f t="shared" si="4"/>
        <v>1</v>
      </c>
      <c r="AC20" s="1508">
        <f t="shared" si="5"/>
        <v>1</v>
      </c>
    </row>
    <row r="21" spans="1:29" ht="15">
      <c r="A21" s="525"/>
      <c r="B21" s="588"/>
      <c r="C21" s="569"/>
      <c r="D21" s="548"/>
      <c r="E21" s="569"/>
      <c r="F21" s="550"/>
      <c r="G21" s="569"/>
      <c r="H21" s="548"/>
      <c r="I21" s="569"/>
      <c r="J21" s="548"/>
      <c r="K21" s="887"/>
      <c r="L21" s="2021"/>
      <c r="M21" s="2013"/>
      <c r="N21" s="2013"/>
      <c r="O21" s="2020"/>
      <c r="P21" s="3505"/>
      <c r="Q21" s="1504"/>
      <c r="R21" s="1505"/>
      <c r="S21" s="1506"/>
      <c r="T21" s="1505"/>
      <c r="U21" s="1506"/>
      <c r="V21" s="1505"/>
      <c r="W21" s="1506"/>
      <c r="X21" s="1499"/>
      <c r="Y21" s="3505"/>
      <c r="Z21" s="1507"/>
      <c r="AA21" s="1508">
        <v>1</v>
      </c>
      <c r="AB21" s="1508">
        <v>1</v>
      </c>
      <c r="AC21" s="1508">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1"/>
      <c r="M22" s="2013"/>
      <c r="N22" s="2013"/>
      <c r="O22" s="2020"/>
      <c r="P22" s="3505"/>
      <c r="Q22" s="1504" t="str">
        <f>B22</f>
        <v>楼层</v>
      </c>
      <c r="R22" s="1505" t="s">
        <v>8</v>
      </c>
      <c r="S22" s="1506">
        <f>F22</f>
        <v>100</v>
      </c>
      <c r="T22" s="1505" t="s">
        <v>8</v>
      </c>
      <c r="U22" s="1506">
        <f>H22</f>
        <v>100</v>
      </c>
      <c r="V22" s="1505" t="s">
        <v>8</v>
      </c>
      <c r="W22" s="1506">
        <f>J22</f>
        <v>100</v>
      </c>
      <c r="X22" s="1499"/>
      <c r="Y22" s="3505"/>
      <c r="Z22" s="1507" t="str">
        <f>Q22</f>
        <v>楼层</v>
      </c>
      <c r="AA22" s="1508">
        <f t="shared" si="3"/>
        <v>1</v>
      </c>
      <c r="AB22" s="1508">
        <f t="shared" si="4"/>
        <v>1</v>
      </c>
      <c r="AC22" s="1508">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1"/>
      <c r="M23" s="2013"/>
      <c r="N23" s="2013"/>
      <c r="O23" s="2020"/>
      <c r="P23" s="3505"/>
      <c r="Q23" s="1504">
        <f>B23</f>
        <v>111</v>
      </c>
      <c r="R23" s="1505" t="s">
        <v>8</v>
      </c>
      <c r="S23" s="1506">
        <f>F23</f>
        <v>100</v>
      </c>
      <c r="T23" s="1505" t="s">
        <v>8</v>
      </c>
      <c r="U23" s="1506">
        <f>H23</f>
        <v>100</v>
      </c>
      <c r="V23" s="1505" t="s">
        <v>8</v>
      </c>
      <c r="W23" s="1506">
        <f>J23</f>
        <v>100</v>
      </c>
      <c r="X23" s="1499"/>
      <c r="Y23" s="3505"/>
      <c r="Z23" s="1507">
        <f>Q23</f>
        <v>111</v>
      </c>
      <c r="AA23" s="1508">
        <f t="shared" si="3"/>
        <v>1</v>
      </c>
      <c r="AB23" s="1508">
        <f t="shared" si="4"/>
        <v>1</v>
      </c>
      <c r="AC23" s="1508">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1"/>
      <c r="M24" s="2013"/>
      <c r="N24" s="2013"/>
      <c r="O24" s="2020"/>
      <c r="P24" s="3505"/>
      <c r="Q24" s="1504">
        <f t="shared" ref="Q24:Q34" si="11">B24</f>
        <v>111</v>
      </c>
      <c r="R24" s="1505" t="s">
        <v>8</v>
      </c>
      <c r="S24" s="1506">
        <f>F24</f>
        <v>100</v>
      </c>
      <c r="T24" s="1505" t="s">
        <v>8</v>
      </c>
      <c r="U24" s="1506">
        <f>H24</f>
        <v>100</v>
      </c>
      <c r="V24" s="1505" t="s">
        <v>8</v>
      </c>
      <c r="W24" s="1506">
        <f>J24</f>
        <v>100</v>
      </c>
      <c r="X24" s="1499"/>
      <c r="Y24" s="3505"/>
      <c r="Z24" s="1507">
        <f>Q24</f>
        <v>111</v>
      </c>
      <c r="AA24" s="1508">
        <f t="shared" si="3"/>
        <v>1</v>
      </c>
      <c r="AB24" s="1508">
        <f t="shared" si="4"/>
        <v>1</v>
      </c>
      <c r="AC24" s="1508">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4"/>
      <c r="M25" s="2015"/>
      <c r="N25" s="2015"/>
      <c r="O25" s="2016"/>
      <c r="P25" s="3505"/>
      <c r="Q25" s="1133">
        <f t="shared" si="11"/>
        <v>111</v>
      </c>
      <c r="R25" s="1500" t="s">
        <v>8</v>
      </c>
      <c r="S25" s="1501">
        <f>F25</f>
        <v>100</v>
      </c>
      <c r="T25" s="1500" t="s">
        <v>8</v>
      </c>
      <c r="U25" s="1501">
        <f>H25</f>
        <v>100</v>
      </c>
      <c r="V25" s="1500" t="s">
        <v>8</v>
      </c>
      <c r="W25" s="1501">
        <f>J25</f>
        <v>100</v>
      </c>
      <c r="X25" s="1502"/>
      <c r="Y25" s="3505"/>
      <c r="Z25" s="1132">
        <f>Q25</f>
        <v>111</v>
      </c>
      <c r="AA25" s="1508">
        <f>D25/F25</f>
        <v>1</v>
      </c>
      <c r="AB25" s="1508">
        <f>D25/H25</f>
        <v>1</v>
      </c>
      <c r="AC25" s="1508">
        <f>D25/J25</f>
        <v>1</v>
      </c>
    </row>
    <row r="26" spans="1:29" ht="15">
      <c r="A26" s="2621" t="s">
        <v>2735</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1"/>
      <c r="M26" s="2013"/>
      <c r="N26" s="2013"/>
      <c r="O26" s="2020"/>
      <c r="P26" s="3506"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07" t="s">
        <v>815</v>
      </c>
      <c r="Z26" s="1507" t="str">
        <f t="shared" ref="Z26:Z34" si="15">Q26</f>
        <v>公共部分装修</v>
      </c>
      <c r="AA26" s="1508">
        <f t="shared" si="3"/>
        <v>1</v>
      </c>
      <c r="AB26" s="1508">
        <f t="shared" si="4"/>
        <v>1</v>
      </c>
      <c r="AC26" s="1508">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19"/>
      <c r="M27" s="2049"/>
      <c r="N27" s="2049"/>
      <c r="O27" s="2022"/>
      <c r="P27" s="3507"/>
      <c r="Q27" s="1533" t="str">
        <f t="shared" si="11"/>
        <v>成新率</v>
      </c>
      <c r="R27" s="1509" t="s">
        <v>8</v>
      </c>
      <c r="S27" s="1510" t="e">
        <f t="shared" si="12"/>
        <v>#N/A</v>
      </c>
      <c r="T27" s="1509" t="s">
        <v>8</v>
      </c>
      <c r="U27" s="1510" t="e">
        <f t="shared" si="13"/>
        <v>#N/A</v>
      </c>
      <c r="V27" s="1509" t="s">
        <v>8</v>
      </c>
      <c r="W27" s="1510" t="e">
        <f t="shared" si="14"/>
        <v>#N/A</v>
      </c>
      <c r="X27" s="1511"/>
      <c r="Y27" s="3507"/>
      <c r="Z27" s="1512" t="str">
        <f t="shared" si="15"/>
        <v>成新率</v>
      </c>
      <c r="AA27" s="1508" t="e">
        <f t="shared" si="3"/>
        <v>#N/A</v>
      </c>
      <c r="AB27" s="1508" t="e">
        <f t="shared" si="4"/>
        <v>#N/A</v>
      </c>
      <c r="AC27" s="1508"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1"/>
      <c r="M28" s="2013"/>
      <c r="N28" s="2013"/>
      <c r="O28" s="2020"/>
      <c r="P28" s="3507"/>
      <c r="Q28" s="1504" t="str">
        <f t="shared" si="11"/>
        <v>物业等级</v>
      </c>
      <c r="R28" s="1505" t="s">
        <v>8</v>
      </c>
      <c r="S28" s="1506">
        <f t="shared" si="12"/>
        <v>100</v>
      </c>
      <c r="T28" s="1505" t="s">
        <v>8</v>
      </c>
      <c r="U28" s="1506">
        <f t="shared" si="13"/>
        <v>100</v>
      </c>
      <c r="V28" s="1505" t="s">
        <v>8</v>
      </c>
      <c r="W28" s="1506">
        <f t="shared" si="14"/>
        <v>100</v>
      </c>
      <c r="X28" s="1499"/>
      <c r="Y28" s="3507"/>
      <c r="Z28" s="1507" t="str">
        <f t="shared" si="15"/>
        <v>物业等级</v>
      </c>
      <c r="AA28" s="1508">
        <f t="shared" si="3"/>
        <v>1</v>
      </c>
      <c r="AB28" s="1508">
        <f t="shared" si="4"/>
        <v>1</v>
      </c>
      <c r="AC28" s="1508">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1"/>
      <c r="M29" s="2013"/>
      <c r="N29" s="2013"/>
      <c r="O29" s="2020"/>
      <c r="P29" s="3507"/>
      <c r="Q29" s="1504" t="str">
        <f t="shared" si="11"/>
        <v>有无电梯</v>
      </c>
      <c r="R29" s="1505" t="s">
        <v>8</v>
      </c>
      <c r="S29" s="1506">
        <f t="shared" si="12"/>
        <v>100</v>
      </c>
      <c r="T29" s="1505" t="s">
        <v>8</v>
      </c>
      <c r="U29" s="1506">
        <f t="shared" si="13"/>
        <v>100</v>
      </c>
      <c r="V29" s="1505" t="s">
        <v>8</v>
      </c>
      <c r="W29" s="1506">
        <f t="shared" si="14"/>
        <v>100</v>
      </c>
      <c r="X29" s="1499"/>
      <c r="Y29" s="3507"/>
      <c r="Z29" s="1507" t="str">
        <f t="shared" si="15"/>
        <v>有无电梯</v>
      </c>
      <c r="AA29" s="1508">
        <f t="shared" si="3"/>
        <v>1</v>
      </c>
      <c r="AB29" s="1508">
        <f t="shared" si="4"/>
        <v>1</v>
      </c>
      <c r="AC29" s="1508">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1"/>
      <c r="M30" s="2013"/>
      <c r="N30" s="2013"/>
      <c r="O30" s="2020"/>
      <c r="P30" s="3507"/>
      <c r="Q30" s="1504" t="str">
        <f t="shared" si="11"/>
        <v>建筑面积</v>
      </c>
      <c r="R30" s="1505" t="s">
        <v>8</v>
      </c>
      <c r="S30" s="1506" t="e">
        <f t="shared" si="12"/>
        <v>#N/A</v>
      </c>
      <c r="T30" s="1505" t="s">
        <v>8</v>
      </c>
      <c r="U30" s="1506" t="e">
        <f t="shared" si="13"/>
        <v>#N/A</v>
      </c>
      <c r="V30" s="1505" t="s">
        <v>8</v>
      </c>
      <c r="W30" s="1506" t="e">
        <f t="shared" si="14"/>
        <v>#N/A</v>
      </c>
      <c r="X30" s="1499"/>
      <c r="Y30" s="3507"/>
      <c r="Z30" s="1507" t="str">
        <f t="shared" si="15"/>
        <v>建筑面积</v>
      </c>
      <c r="AA30" s="1508" t="e">
        <f t="shared" si="3"/>
        <v>#N/A</v>
      </c>
      <c r="AB30" s="1508" t="e">
        <f t="shared" si="4"/>
        <v>#N/A</v>
      </c>
      <c r="AC30" s="1508"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4"/>
      <c r="M31" s="2015"/>
      <c r="N31" s="2015"/>
      <c r="O31" s="2016"/>
      <c r="P31" s="3507"/>
      <c r="Q31" s="1133" t="str">
        <f t="shared" si="11"/>
        <v>是否封闭</v>
      </c>
      <c r="R31" s="1500" t="s">
        <v>8</v>
      </c>
      <c r="S31" s="1501">
        <f t="shared" si="12"/>
        <v>100</v>
      </c>
      <c r="T31" s="1500" t="s">
        <v>8</v>
      </c>
      <c r="U31" s="1501">
        <f t="shared" si="13"/>
        <v>100</v>
      </c>
      <c r="V31" s="1500" t="s">
        <v>8</v>
      </c>
      <c r="W31" s="1501">
        <f t="shared" si="14"/>
        <v>100</v>
      </c>
      <c r="X31" s="1502"/>
      <c r="Y31" s="3507"/>
      <c r="Z31" s="1132" t="str">
        <f t="shared" si="15"/>
        <v>是否封闭</v>
      </c>
      <c r="AA31" s="1503">
        <f t="shared" si="3"/>
        <v>1</v>
      </c>
      <c r="AB31" s="1503">
        <f t="shared" si="4"/>
        <v>1</v>
      </c>
      <c r="AC31" s="1503">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1"/>
      <c r="M32" s="2013"/>
      <c r="N32" s="2013"/>
      <c r="O32" s="2020"/>
      <c r="P32" s="3507" t="s">
        <v>544</v>
      </c>
      <c r="Q32" s="1504">
        <f t="shared" si="11"/>
        <v>111</v>
      </c>
      <c r="R32" s="1505" t="s">
        <v>8</v>
      </c>
      <c r="S32" s="1506">
        <f t="shared" si="12"/>
        <v>100</v>
      </c>
      <c r="T32" s="1505" t="s">
        <v>8</v>
      </c>
      <c r="U32" s="1506">
        <f t="shared" si="13"/>
        <v>100</v>
      </c>
      <c r="V32" s="1505" t="s">
        <v>8</v>
      </c>
      <c r="W32" s="1506">
        <f t="shared" si="14"/>
        <v>100</v>
      </c>
      <c r="X32" s="1499"/>
      <c r="Y32" s="3507" t="s">
        <v>544</v>
      </c>
      <c r="Z32" s="1507">
        <f t="shared" si="15"/>
        <v>111</v>
      </c>
      <c r="AA32" s="1508">
        <f t="shared" si="3"/>
        <v>1</v>
      </c>
      <c r="AB32" s="1508">
        <f t="shared" si="4"/>
        <v>1</v>
      </c>
      <c r="AC32" s="1508">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1"/>
      <c r="M33" s="2013"/>
      <c r="N33" s="2013"/>
      <c r="O33" s="2020"/>
      <c r="P33" s="3507"/>
      <c r="Q33" s="1504">
        <f t="shared" si="11"/>
        <v>111</v>
      </c>
      <c r="R33" s="1505" t="s">
        <v>8</v>
      </c>
      <c r="S33" s="1506">
        <f t="shared" si="12"/>
        <v>100</v>
      </c>
      <c r="T33" s="1505" t="s">
        <v>8</v>
      </c>
      <c r="U33" s="1506">
        <f t="shared" si="13"/>
        <v>100</v>
      </c>
      <c r="V33" s="1505" t="s">
        <v>8</v>
      </c>
      <c r="W33" s="1506">
        <f t="shared" si="14"/>
        <v>100</v>
      </c>
      <c r="X33" s="1499"/>
      <c r="Y33" s="3507"/>
      <c r="Z33" s="1507">
        <f t="shared" si="15"/>
        <v>111</v>
      </c>
      <c r="AA33" s="1508">
        <f t="shared" si="3"/>
        <v>1</v>
      </c>
      <c r="AB33" s="1508">
        <f t="shared" si="4"/>
        <v>1</v>
      </c>
      <c r="AC33" s="1508">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1"/>
      <c r="M34" s="2013"/>
      <c r="N34" s="2013"/>
      <c r="O34" s="2020"/>
      <c r="P34" s="3507"/>
      <c r="Q34" s="1504">
        <f t="shared" si="11"/>
        <v>111</v>
      </c>
      <c r="R34" s="1505" t="s">
        <v>8</v>
      </c>
      <c r="S34" s="1506">
        <f t="shared" si="12"/>
        <v>100</v>
      </c>
      <c r="T34" s="1505" t="s">
        <v>8</v>
      </c>
      <c r="U34" s="1506">
        <f t="shared" si="13"/>
        <v>100</v>
      </c>
      <c r="V34" s="1505" t="s">
        <v>8</v>
      </c>
      <c r="W34" s="1506">
        <f t="shared" si="14"/>
        <v>100</v>
      </c>
      <c r="X34" s="1499"/>
      <c r="Y34" s="3507"/>
      <c r="Z34" s="1507">
        <f t="shared" si="15"/>
        <v>111</v>
      </c>
      <c r="AA34" s="1508">
        <f t="shared" si="3"/>
        <v>1</v>
      </c>
      <c r="AB34" s="1508">
        <f t="shared" si="4"/>
        <v>1</v>
      </c>
      <c r="AC34" s="1508">
        <f t="shared" si="5"/>
        <v>1</v>
      </c>
    </row>
    <row r="35" spans="1:29" ht="15">
      <c r="A35" s="600" t="s">
        <v>730</v>
      </c>
      <c r="B35" s="875"/>
      <c r="C35" s="2467" t="s">
        <v>1</v>
      </c>
      <c r="D35" s="2468"/>
      <c r="E35" s="2469"/>
      <c r="F35" s="2470"/>
      <c r="G35" s="2471"/>
      <c r="H35" s="2472"/>
      <c r="I35" s="2469"/>
      <c r="J35" s="2472"/>
      <c r="K35" s="1538"/>
      <c r="L35" s="2023"/>
      <c r="M35" s="2024"/>
      <c r="N35" s="2013"/>
      <c r="O35" s="2024"/>
      <c r="P35" s="3502" t="str">
        <f>A35</f>
        <v>成交单价（元/平方米）</v>
      </c>
      <c r="Q35" s="3502"/>
      <c r="R35" s="3589">
        <f>E35</f>
        <v>0</v>
      </c>
      <c r="S35" s="3589"/>
      <c r="T35" s="3589">
        <f>G35</f>
        <v>0</v>
      </c>
      <c r="U35" s="3589"/>
      <c r="V35" s="3589">
        <f>I35</f>
        <v>0</v>
      </c>
      <c r="W35" s="3589"/>
      <c r="X35" s="1494"/>
      <c r="Y35" s="1513"/>
      <c r="Z35" s="1494"/>
      <c r="AA35" s="1494"/>
      <c r="AB35" s="1494"/>
      <c r="AC35" s="1494"/>
    </row>
    <row r="36" spans="1:29" ht="15.75" thickBot="1">
      <c r="A36" s="608" t="s">
        <v>2740</v>
      </c>
      <c r="B36" s="876"/>
      <c r="C36" s="2473" t="e">
        <f>R37</f>
        <v>#DIV/0!</v>
      </c>
      <c r="D36" s="3011" t="s">
        <v>2971</v>
      </c>
      <c r="E36" s="2474" t="e">
        <f>R36</f>
        <v>#DIV/0!</v>
      </c>
      <c r="F36" s="3012"/>
      <c r="G36" s="2473" t="e">
        <f>T36</f>
        <v>#DIV/0!</v>
      </c>
      <c r="H36" s="3012"/>
      <c r="I36" s="2474" t="e">
        <f>V36</f>
        <v>#DIV/0!</v>
      </c>
      <c r="J36" s="3012"/>
      <c r="K36" s="3020">
        <f>F36+H36+J36</f>
        <v>0</v>
      </c>
      <c r="L36" s="2023"/>
      <c r="M36" s="2024"/>
      <c r="N36" s="2013"/>
      <c r="O36" s="2024"/>
      <c r="P36" s="3502" t="str">
        <f>A36</f>
        <v>比较价格（元/平方米）</v>
      </c>
      <c r="Q36" s="3502"/>
      <c r="R36" s="3589" t="e">
        <f>IF(F1="售价",ROUND(PRODUCT(R35,AA7:AA34),0),ROUND(PRODUCT(R35,AA7:AA34),1))</f>
        <v>#DIV/0!</v>
      </c>
      <c r="S36" s="3589"/>
      <c r="T36" s="3589" t="e">
        <f>IF(F1="售价",ROUND(PRODUCT(T35,AB7:AB34),0),ROUND(PRODUCT(T35,AB7:AB34),1))</f>
        <v>#DIV/0!</v>
      </c>
      <c r="U36" s="3589"/>
      <c r="V36" s="3589" t="e">
        <f>IF(F1="售价",ROUND(PRODUCT(V35,AC7:AC34),0),ROUND(PRODUCT(V35,AC7:AC34),1))</f>
        <v>#DIV/0!</v>
      </c>
      <c r="W36" s="3589"/>
      <c r="X36" s="1494"/>
      <c r="Y36" s="1494"/>
      <c r="Z36" s="1494"/>
      <c r="AA36" s="1494"/>
      <c r="AB36" s="1494"/>
      <c r="AC36" s="1494"/>
    </row>
    <row r="37" spans="1:29" ht="15.75" thickBot="1">
      <c r="A37" s="612" t="s">
        <v>2902</v>
      </c>
      <c r="B37" s="613"/>
      <c r="C37" s="2475" t="e">
        <f>R37</f>
        <v>#DIV/0!</v>
      </c>
      <c r="D37" s="2475"/>
      <c r="E37" s="2475"/>
      <c r="F37" s="2475"/>
      <c r="G37" s="2475"/>
      <c r="H37" s="2475"/>
      <c r="I37" s="2475"/>
      <c r="J37" s="2475"/>
      <c r="K37" s="1539"/>
      <c r="L37" s="2023"/>
      <c r="M37" s="2024"/>
      <c r="N37" s="2024"/>
      <c r="O37" s="2024"/>
      <c r="P37" s="3525" t="str">
        <f>A37</f>
        <v>估价对象XX用房的比较价格（楼面单价，元/平方米）</v>
      </c>
      <c r="Q37" s="3526"/>
      <c r="R37" s="3588" t="e">
        <f>IF(F1="售价",ROUND(IF(D36="简单平均",AVERAGE(R36:W36),R36*F36+T36*H36+V36*J36),0),ROUND(IF(D36="简单平均",AVERAGE(R36:V36),R36*F36+T36*H36+V36*J36),1))</f>
        <v>#DIV/0!</v>
      </c>
      <c r="S37" s="3588"/>
      <c r="T37" s="3588"/>
      <c r="U37" s="3588"/>
      <c r="V37" s="3588"/>
      <c r="W37" s="3588"/>
      <c r="X37" s="1494"/>
      <c r="Y37" s="1494"/>
      <c r="Z37" s="1494"/>
      <c r="AA37" s="1494"/>
      <c r="AB37" s="1494"/>
      <c r="AC37" s="1494"/>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7" customFormat="1" ht="13.5" customHeight="1">
      <c r="A42" s="3212"/>
      <c r="B42" s="3212"/>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7"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9" customFormat="1" ht="15">
      <c r="A46" s="636" t="s">
        <v>523</v>
      </c>
      <c r="B46" s="637"/>
      <c r="C46" s="2516" t="str">
        <f>YEAR(C7)&amp;"-"&amp;MONTH(C7)</f>
        <v>2021-2</v>
      </c>
      <c r="D46" s="2518">
        <f>EDATE(C46,-1)</f>
        <v>44197</v>
      </c>
      <c r="E46" s="2518">
        <f t="shared" ref="E46:O46" si="16">EDATE(D46,-1)</f>
        <v>44166</v>
      </c>
      <c r="F46" s="2518">
        <f t="shared" si="16"/>
        <v>44136</v>
      </c>
      <c r="G46" s="2518">
        <f t="shared" si="16"/>
        <v>44105</v>
      </c>
      <c r="H46" s="2518">
        <f t="shared" si="16"/>
        <v>44075</v>
      </c>
      <c r="I46" s="2518">
        <f t="shared" si="16"/>
        <v>44044</v>
      </c>
      <c r="J46" s="2518">
        <f t="shared" si="16"/>
        <v>44013</v>
      </c>
      <c r="K46" s="2518">
        <f t="shared" si="16"/>
        <v>43983</v>
      </c>
      <c r="L46" s="2518">
        <f t="shared" si="16"/>
        <v>43952</v>
      </c>
      <c r="M46" s="2518">
        <f t="shared" si="16"/>
        <v>43922</v>
      </c>
      <c r="N46" s="2518">
        <f t="shared" si="16"/>
        <v>43891</v>
      </c>
      <c r="O46" s="2518">
        <f t="shared" si="16"/>
        <v>43862</v>
      </c>
      <c r="P46" s="2038"/>
      <c r="Q46" s="2039"/>
      <c r="R46" s="2039"/>
      <c r="S46" s="2039"/>
      <c r="T46" s="2039"/>
      <c r="U46" s="2039"/>
      <c r="V46" s="2039"/>
      <c r="W46" s="2039"/>
      <c r="X46" s="2039"/>
      <c r="Y46" s="2039"/>
      <c r="Z46" s="2039"/>
      <c r="AA46" s="2039"/>
      <c r="AB46" s="2039"/>
      <c r="AC46" s="2039"/>
    </row>
    <row r="47" spans="1:29" s="1202" customFormat="1" ht="15">
      <c r="A47" s="638"/>
      <c r="B47" s="639"/>
      <c r="C47" s="640">
        <v>100</v>
      </c>
      <c r="D47" s="641"/>
      <c r="E47" s="641"/>
      <c r="F47" s="641"/>
      <c r="G47" s="641"/>
      <c r="H47" s="641"/>
      <c r="I47" s="641"/>
      <c r="J47" s="641"/>
      <c r="K47" s="641"/>
      <c r="L47" s="641"/>
      <c r="M47" s="642"/>
      <c r="N47" s="641"/>
      <c r="O47" s="643"/>
      <c r="P47" s="2036"/>
      <c r="Q47" s="1902"/>
      <c r="R47" s="1902"/>
      <c r="S47" s="1902"/>
      <c r="T47" s="1902"/>
      <c r="U47" s="1902"/>
      <c r="V47" s="1902"/>
      <c r="W47" s="1902"/>
      <c r="X47" s="1902"/>
      <c r="Y47" s="1902"/>
      <c r="Z47" s="1902"/>
      <c r="AA47" s="1902"/>
      <c r="AB47" s="1902"/>
      <c r="AC47" s="1902"/>
    </row>
    <row r="48" spans="1:29" s="1202" customFormat="1" ht="15.75" thickBot="1">
      <c r="A48" s="644" t="s">
        <v>569</v>
      </c>
      <c r="B48" s="645"/>
      <c r="C48" s="646"/>
      <c r="D48" s="647"/>
      <c r="E48" s="647"/>
      <c r="F48" s="647"/>
      <c r="G48" s="647"/>
      <c r="H48" s="647"/>
      <c r="I48" s="647"/>
      <c r="J48" s="647"/>
      <c r="K48" s="647"/>
      <c r="L48" s="647"/>
      <c r="M48" s="648"/>
      <c r="N48" s="647"/>
      <c r="O48" s="649"/>
      <c r="P48" s="2036"/>
      <c r="Q48" s="2036"/>
      <c r="R48" s="1902"/>
      <c r="S48" s="1902"/>
      <c r="T48" s="1902"/>
      <c r="U48" s="1902"/>
      <c r="V48" s="1902"/>
      <c r="W48" s="1902"/>
      <c r="X48" s="1902"/>
      <c r="Y48" s="1902"/>
      <c r="Z48" s="1902"/>
      <c r="AA48" s="1902"/>
      <c r="AB48" s="1902"/>
      <c r="AC48" s="1902"/>
    </row>
    <row r="49" spans="1:29" s="1202" customFormat="1" ht="15">
      <c r="A49" s="650" t="s">
        <v>525</v>
      </c>
      <c r="B49" s="639"/>
      <c r="C49" s="651" t="s">
        <v>570</v>
      </c>
      <c r="D49" s="652"/>
      <c r="E49" s="652"/>
      <c r="F49" s="652"/>
      <c r="G49" s="652"/>
      <c r="H49" s="652"/>
      <c r="I49" s="652"/>
      <c r="J49" s="652"/>
      <c r="K49" s="652"/>
      <c r="L49" s="653"/>
      <c r="M49" s="654"/>
      <c r="N49" s="2040"/>
      <c r="O49" s="2040"/>
      <c r="P49" s="2041"/>
      <c r="Q49" s="2036"/>
      <c r="R49" s="1902"/>
      <c r="S49" s="1902"/>
      <c r="T49" s="1902"/>
      <c r="U49" s="1902"/>
      <c r="V49" s="1902"/>
      <c r="W49" s="1902"/>
      <c r="X49" s="1902"/>
      <c r="Y49" s="1902"/>
      <c r="Z49" s="1902"/>
      <c r="AA49" s="1902"/>
      <c r="AB49" s="1902"/>
      <c r="AC49" s="1902"/>
    </row>
    <row r="50" spans="1:29" s="1202" customFormat="1" ht="15.75" thickBot="1">
      <c r="A50" s="650"/>
      <c r="B50" s="639"/>
      <c r="C50" s="640">
        <v>100</v>
      </c>
      <c r="D50" s="641"/>
      <c r="E50" s="641"/>
      <c r="F50" s="641"/>
      <c r="G50" s="641"/>
      <c r="H50" s="641"/>
      <c r="I50" s="641"/>
      <c r="J50" s="641"/>
      <c r="K50" s="641"/>
      <c r="L50" s="641"/>
      <c r="M50" s="643"/>
      <c r="N50" s="2040"/>
      <c r="O50" s="2040"/>
      <c r="P50" s="2036"/>
      <c r="Q50" s="2036"/>
      <c r="R50" s="1902"/>
      <c r="S50" s="1902"/>
      <c r="T50" s="1902"/>
      <c r="U50" s="1902"/>
      <c r="V50" s="1902"/>
      <c r="W50" s="1902"/>
      <c r="X50" s="1902"/>
      <c r="Y50" s="1902"/>
      <c r="Z50" s="1902"/>
      <c r="AA50" s="1902"/>
      <c r="AB50" s="1902"/>
      <c r="AC50" s="1902"/>
    </row>
    <row r="51" spans="1:29">
      <c r="A51" s="655" t="s">
        <v>571</v>
      </c>
      <c r="B51" s="656" t="s">
        <v>528</v>
      </c>
      <c r="C51" s="695">
        <f>C9</f>
        <v>0</v>
      </c>
      <c r="D51" s="591"/>
      <c r="E51" s="591"/>
      <c r="F51" s="591"/>
      <c r="G51" s="591"/>
      <c r="H51" s="591"/>
      <c r="I51" s="591"/>
      <c r="J51" s="591"/>
      <c r="K51" s="657"/>
      <c r="L51" s="658"/>
      <c r="M51" s="659"/>
      <c r="N51" s="2042"/>
      <c r="O51" s="2042"/>
      <c r="P51" s="2043"/>
      <c r="Q51" s="2036"/>
      <c r="R51" s="2024"/>
      <c r="S51" s="2024"/>
      <c r="T51" s="2024"/>
      <c r="U51" s="2024"/>
      <c r="V51" s="2024"/>
      <c r="W51" s="2024"/>
      <c r="X51" s="2024"/>
      <c r="Y51" s="2024"/>
      <c r="Z51" s="2024"/>
      <c r="AA51" s="2024"/>
      <c r="AB51" s="2024"/>
      <c r="AC51" s="2024"/>
    </row>
    <row r="52" spans="1:29" ht="15.75" thickBot="1">
      <c r="A52" s="660"/>
      <c r="B52" s="661"/>
      <c r="C52" s="662">
        <v>100</v>
      </c>
      <c r="D52" s="662"/>
      <c r="E52" s="662"/>
      <c r="F52" s="662"/>
      <c r="G52" s="662"/>
      <c r="H52" s="662"/>
      <c r="I52" s="662"/>
      <c r="J52" s="662"/>
      <c r="K52" s="662"/>
      <c r="L52" s="662"/>
      <c r="M52" s="663"/>
      <c r="N52" s="2044"/>
      <c r="O52" s="2044"/>
      <c r="P52" s="2043"/>
      <c r="Q52" s="2036"/>
      <c r="R52" s="2024"/>
      <c r="S52" s="2024"/>
      <c r="T52" s="2024"/>
      <c r="U52" s="2024"/>
      <c r="V52" s="2024"/>
      <c r="W52" s="2024"/>
      <c r="X52" s="2024"/>
      <c r="Y52" s="2024"/>
      <c r="Z52" s="2024"/>
      <c r="AA52" s="2024"/>
      <c r="AB52" s="2024"/>
      <c r="AC52" s="2024"/>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2"/>
      <c r="O53" s="2042"/>
      <c r="P53" s="2043"/>
      <c r="Q53" s="2036"/>
      <c r="R53" s="2024"/>
      <c r="S53" s="2024"/>
      <c r="T53" s="2024"/>
      <c r="U53" s="2024"/>
      <c r="V53" s="2024"/>
      <c r="W53" s="2024"/>
      <c r="X53" s="2024"/>
      <c r="Y53" s="2024"/>
      <c r="Z53" s="2024"/>
      <c r="AA53" s="2024"/>
      <c r="AB53" s="2024"/>
      <c r="AC53" s="2024"/>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4"/>
      <c r="O54" s="2044"/>
      <c r="P54" s="2043"/>
      <c r="Q54" s="2036"/>
      <c r="R54" s="2024"/>
      <c r="S54" s="2024"/>
      <c r="T54" s="2024"/>
      <c r="U54" s="2024"/>
      <c r="V54" s="2024"/>
      <c r="W54" s="2024"/>
      <c r="X54" s="2024"/>
      <c r="Y54" s="2024"/>
      <c r="Z54" s="2024"/>
      <c r="AA54" s="2024"/>
      <c r="AB54" s="2024"/>
      <c r="AC54" s="2024"/>
    </row>
    <row r="55" spans="1:29" ht="15.75" thickTop="1">
      <c r="A55" s="660"/>
      <c r="B55" s="923">
        <f>B11</f>
        <v>111</v>
      </c>
      <c r="C55" s="534"/>
      <c r="D55" s="534"/>
      <c r="E55" s="534"/>
      <c r="F55" s="534"/>
      <c r="G55" s="534"/>
      <c r="H55" s="534"/>
      <c r="I55" s="534"/>
      <c r="J55" s="534"/>
      <c r="K55" s="675"/>
      <c r="L55" s="676"/>
      <c r="M55" s="677"/>
      <c r="N55" s="2042"/>
      <c r="O55" s="2042"/>
      <c r="P55" s="2043"/>
      <c r="Q55" s="2036"/>
      <c r="R55" s="2024"/>
      <c r="S55" s="2024"/>
      <c r="T55" s="2024"/>
      <c r="U55" s="2024"/>
      <c r="V55" s="2024"/>
      <c r="W55" s="2024"/>
      <c r="X55" s="2024"/>
      <c r="Y55" s="2024"/>
      <c r="Z55" s="2024"/>
      <c r="AA55" s="2024"/>
      <c r="AB55" s="2024"/>
      <c r="AC55" s="2024"/>
    </row>
    <row r="56" spans="1:29" ht="15.75" thickBot="1">
      <c r="A56" s="660"/>
      <c r="B56" s="661"/>
      <c r="C56" s="683"/>
      <c r="D56" s="662"/>
      <c r="E56" s="662"/>
      <c r="F56" s="662"/>
      <c r="G56" s="662"/>
      <c r="H56" s="662"/>
      <c r="I56" s="662"/>
      <c r="J56" s="662"/>
      <c r="K56" s="662"/>
      <c r="L56" s="662"/>
      <c r="M56" s="663"/>
      <c r="N56" s="2044"/>
      <c r="O56" s="2044"/>
      <c r="P56" s="2043"/>
      <c r="Q56" s="2036"/>
      <c r="R56" s="2024"/>
      <c r="S56" s="2024"/>
      <c r="T56" s="2024"/>
      <c r="U56" s="2024"/>
      <c r="V56" s="2024"/>
      <c r="W56" s="2024"/>
      <c r="X56" s="2024"/>
      <c r="Y56" s="2024"/>
      <c r="Z56" s="2024"/>
      <c r="AA56" s="2024"/>
      <c r="AB56" s="2024"/>
      <c r="AC56" s="2024"/>
    </row>
    <row r="57" spans="1:29" s="1292" customFormat="1" ht="15.75" thickTop="1">
      <c r="A57" s="678"/>
      <c r="B57" s="664">
        <f>B12</f>
        <v>111</v>
      </c>
      <c r="C57" s="534"/>
      <c r="D57" s="534"/>
      <c r="E57" s="534"/>
      <c r="F57" s="534"/>
      <c r="G57" s="679"/>
      <c r="H57" s="680"/>
      <c r="I57" s="680"/>
      <c r="J57" s="680"/>
      <c r="K57" s="680"/>
      <c r="L57" s="681"/>
      <c r="M57" s="682"/>
      <c r="N57" s="2045"/>
      <c r="O57" s="2045"/>
      <c r="P57" s="2046"/>
      <c r="Q57" s="2047"/>
      <c r="R57" s="2048"/>
      <c r="S57" s="2048"/>
      <c r="T57" s="2048"/>
      <c r="U57" s="2048"/>
      <c r="V57" s="2048"/>
      <c r="W57" s="2048"/>
      <c r="X57" s="2048"/>
      <c r="Y57" s="2048"/>
      <c r="Z57" s="2048"/>
      <c r="AA57" s="2048"/>
      <c r="AB57" s="2048"/>
      <c r="AC57" s="2048"/>
    </row>
    <row r="58" spans="1:29" s="1292" customFormat="1" ht="15.75" thickBot="1">
      <c r="A58" s="678"/>
      <c r="B58" s="669"/>
      <c r="C58" s="683"/>
      <c r="D58" s="662"/>
      <c r="E58" s="662"/>
      <c r="F58" s="662"/>
      <c r="G58" s="662"/>
      <c r="H58" s="662"/>
      <c r="I58" s="662"/>
      <c r="J58" s="662"/>
      <c r="K58" s="662"/>
      <c r="L58" s="662"/>
      <c r="M58" s="663"/>
      <c r="N58" s="2044"/>
      <c r="O58" s="2044"/>
      <c r="P58" s="2046"/>
      <c r="Q58" s="2047"/>
      <c r="R58" s="2048"/>
      <c r="S58" s="2048"/>
      <c r="T58" s="2048"/>
      <c r="U58" s="2048"/>
      <c r="V58" s="2048"/>
      <c r="W58" s="2048"/>
      <c r="X58" s="2048"/>
      <c r="Y58" s="2048"/>
      <c r="Z58" s="2048"/>
      <c r="AA58" s="2048"/>
      <c r="AB58" s="2048"/>
      <c r="AC58" s="2048"/>
    </row>
    <row r="59" spans="1:29" s="1292" customFormat="1" ht="15.75" thickTop="1">
      <c r="A59" s="678"/>
      <c r="B59" s="664">
        <f>B13</f>
        <v>111</v>
      </c>
      <c r="C59" s="534"/>
      <c r="D59" s="534"/>
      <c r="E59" s="534"/>
      <c r="F59" s="534"/>
      <c r="G59" s="679"/>
      <c r="H59" s="680"/>
      <c r="I59" s="680"/>
      <c r="J59" s="680"/>
      <c r="K59" s="680"/>
      <c r="L59" s="681"/>
      <c r="M59" s="682"/>
      <c r="N59" s="2045"/>
      <c r="O59" s="2045"/>
      <c r="P59" s="2049"/>
      <c r="Q59" s="2050"/>
      <c r="R59" s="2048"/>
      <c r="S59" s="2048"/>
      <c r="T59" s="2048"/>
      <c r="U59" s="2048"/>
      <c r="V59" s="2048"/>
      <c r="W59" s="2048"/>
      <c r="X59" s="2048"/>
      <c r="Y59" s="2048"/>
      <c r="Z59" s="2048"/>
      <c r="AA59" s="2048"/>
      <c r="AB59" s="2048"/>
      <c r="AC59" s="2048"/>
    </row>
    <row r="60" spans="1:29" s="1292" customFormat="1" ht="15.75" thickBot="1">
      <c r="A60" s="678"/>
      <c r="B60" s="669"/>
      <c r="C60" s="683"/>
      <c r="D60" s="683"/>
      <c r="E60" s="683"/>
      <c r="F60" s="683"/>
      <c r="G60" s="683"/>
      <c r="H60" s="684"/>
      <c r="I60" s="684"/>
      <c r="J60" s="684"/>
      <c r="K60" s="684"/>
      <c r="L60" s="684"/>
      <c r="M60" s="685"/>
      <c r="N60" s="2045"/>
      <c r="O60" s="2045"/>
      <c r="P60" s="2046"/>
      <c r="Q60" s="2047"/>
      <c r="R60" s="2048"/>
      <c r="S60" s="2048"/>
      <c r="T60" s="2048"/>
      <c r="U60" s="2048"/>
      <c r="V60" s="2048"/>
      <c r="W60" s="2048"/>
      <c r="X60" s="2048"/>
      <c r="Y60" s="2048"/>
      <c r="Z60" s="2048"/>
      <c r="AA60" s="2048"/>
      <c r="AB60" s="2048"/>
      <c r="AC60" s="2048"/>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2"/>
      <c r="O61" s="2042"/>
      <c r="P61" s="2052"/>
      <c r="Q61" s="2036"/>
      <c r="R61" s="2024"/>
      <c r="S61" s="2024"/>
      <c r="T61" s="2024"/>
      <c r="U61" s="2024"/>
      <c r="V61" s="2024"/>
      <c r="W61" s="2024"/>
      <c r="X61" s="2024"/>
      <c r="Y61" s="2024"/>
      <c r="Z61" s="2024"/>
      <c r="AA61" s="2024"/>
      <c r="AB61" s="2024"/>
      <c r="AC61" s="2024"/>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4"/>
      <c r="O62" s="2044"/>
      <c r="P62" s="2043"/>
      <c r="Q62" s="2036"/>
      <c r="R62" s="2024"/>
      <c r="S62" s="2024"/>
      <c r="T62" s="2024"/>
      <c r="U62" s="2024"/>
      <c r="V62" s="2024"/>
      <c r="W62" s="2024"/>
      <c r="X62" s="2024"/>
      <c r="Y62" s="2024"/>
      <c r="Z62" s="2024"/>
      <c r="AA62" s="2024"/>
      <c r="AB62" s="2024"/>
      <c r="AC62" s="2024"/>
    </row>
    <row r="63" spans="1:29" ht="15.75" thickTop="1">
      <c r="A63" s="660"/>
      <c r="B63" s="1807" t="s">
        <v>2538</v>
      </c>
      <c r="C63" s="699" t="s">
        <v>573</v>
      </c>
      <c r="D63" s="699" t="s">
        <v>574</v>
      </c>
      <c r="E63" s="699" t="s">
        <v>575</v>
      </c>
      <c r="F63" s="699" t="s">
        <v>576</v>
      </c>
      <c r="G63" s="699" t="s">
        <v>577</v>
      </c>
      <c r="H63" s="665"/>
      <c r="I63" s="665"/>
      <c r="J63" s="665"/>
      <c r="K63" s="666"/>
      <c r="L63" s="667"/>
      <c r="M63" s="668"/>
      <c r="N63" s="2042"/>
      <c r="O63" s="2042"/>
      <c r="P63" s="2043"/>
      <c r="Q63" s="2036"/>
      <c r="R63" s="2024"/>
      <c r="S63" s="2024"/>
      <c r="T63" s="2024"/>
      <c r="U63" s="2024"/>
      <c r="V63" s="2024"/>
      <c r="W63" s="2024"/>
      <c r="X63" s="2024"/>
      <c r="Y63" s="2024"/>
      <c r="Z63" s="2024"/>
      <c r="AA63" s="2024"/>
      <c r="AB63" s="2024"/>
      <c r="AC63" s="2024"/>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2438" t="s">
        <v>2539</v>
      </c>
      <c r="C65" s="2439" t="s">
        <v>2540</v>
      </c>
      <c r="D65" s="2439" t="s">
        <v>2541</v>
      </c>
      <c r="E65" s="2439" t="s">
        <v>2542</v>
      </c>
      <c r="F65" s="2439" t="s">
        <v>2543</v>
      </c>
      <c r="G65" s="2439" t="s">
        <v>2544</v>
      </c>
      <c r="H65" s="665"/>
      <c r="I65" s="665"/>
      <c r="J65" s="665"/>
      <c r="K65" s="665"/>
      <c r="L65" s="665"/>
      <c r="M65" s="2442"/>
      <c r="N65" s="2044"/>
      <c r="O65" s="2044"/>
      <c r="P65" s="2043"/>
      <c r="Q65" s="2036"/>
      <c r="R65" s="2024"/>
      <c r="S65" s="2024"/>
      <c r="T65" s="2024"/>
      <c r="U65" s="2024"/>
      <c r="V65" s="2024"/>
      <c r="W65" s="2024"/>
      <c r="X65" s="2024"/>
      <c r="Y65" s="2024"/>
      <c r="Z65" s="2024"/>
      <c r="AA65" s="2024"/>
      <c r="AB65" s="2024"/>
      <c r="AC65" s="2024"/>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4"/>
      <c r="O66" s="2044"/>
      <c r="P66" s="2043"/>
      <c r="Q66" s="2036"/>
      <c r="R66" s="2024"/>
      <c r="S66" s="2024"/>
      <c r="T66" s="2024"/>
      <c r="U66" s="2024"/>
      <c r="V66" s="2024"/>
      <c r="W66" s="2024"/>
      <c r="X66" s="2024"/>
      <c r="Y66" s="2024"/>
      <c r="Z66" s="2024"/>
      <c r="AA66" s="2024"/>
      <c r="AB66" s="2024"/>
      <c r="AC66" s="2024"/>
    </row>
    <row r="67" spans="1:29" ht="15.75" thickTop="1">
      <c r="A67" s="660"/>
      <c r="B67" s="664" t="s">
        <v>738</v>
      </c>
      <c r="C67" s="699" t="s">
        <v>573</v>
      </c>
      <c r="D67" s="699" t="s">
        <v>574</v>
      </c>
      <c r="E67" s="699" t="s">
        <v>575</v>
      </c>
      <c r="F67" s="699" t="s">
        <v>576</v>
      </c>
      <c r="G67" s="699" t="s">
        <v>577</v>
      </c>
      <c r="H67" s="665"/>
      <c r="I67" s="665"/>
      <c r="J67" s="665"/>
      <c r="K67" s="666"/>
      <c r="L67" s="667"/>
      <c r="M67" s="668"/>
      <c r="N67" s="2042"/>
      <c r="O67" s="2042"/>
      <c r="P67" s="2043"/>
      <c r="Q67" s="2036"/>
      <c r="R67" s="2024"/>
      <c r="S67" s="2024"/>
      <c r="T67" s="2024"/>
      <c r="U67" s="2024"/>
      <c r="V67" s="2024"/>
      <c r="W67" s="2024"/>
      <c r="X67" s="2024"/>
      <c r="Y67" s="2024"/>
      <c r="Z67" s="2024"/>
      <c r="AA67" s="2024"/>
      <c r="AB67" s="2024"/>
      <c r="AC67" s="2024"/>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739</v>
      </c>
      <c r="C69" s="679"/>
      <c r="D69" s="679"/>
      <c r="E69" s="679"/>
      <c r="F69" s="679"/>
      <c r="G69" s="679"/>
      <c r="H69" s="709"/>
      <c r="I69" s="709"/>
      <c r="J69" s="709"/>
      <c r="K69" s="710"/>
      <c r="L69" s="711"/>
      <c r="M69" s="712"/>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C70-$K22</f>
        <v>100</v>
      </c>
      <c r="E70" s="670"/>
      <c r="F70" s="670"/>
      <c r="G70" s="670"/>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s="1202" customFormat="1" ht="15.75" thickTop="1">
      <c r="A71" s="700"/>
      <c r="B71" s="664">
        <f>B23</f>
        <v>111</v>
      </c>
      <c r="C71" s="534"/>
      <c r="D71" s="534"/>
      <c r="E71" s="534"/>
      <c r="F71" s="534"/>
      <c r="G71" s="679"/>
      <c r="H71" s="679"/>
      <c r="I71" s="679"/>
      <c r="J71" s="679"/>
      <c r="K71" s="679"/>
      <c r="L71" s="878"/>
      <c r="M71" s="879"/>
      <c r="N71" s="2040"/>
      <c r="O71" s="2040"/>
      <c r="P71" s="2043"/>
      <c r="Q71" s="2036"/>
      <c r="R71" s="1902"/>
      <c r="S71" s="1902"/>
      <c r="T71" s="1902"/>
      <c r="U71" s="1902"/>
      <c r="V71" s="1902"/>
      <c r="W71" s="1902"/>
      <c r="X71" s="1902"/>
      <c r="Y71" s="1902"/>
      <c r="Z71" s="1902"/>
      <c r="AA71" s="1902"/>
      <c r="AB71" s="1902"/>
      <c r="AC71" s="1902"/>
    </row>
    <row r="72" spans="1:29" s="1202" customFormat="1" ht="15.75" thickBot="1">
      <c r="A72" s="700"/>
      <c r="B72" s="669"/>
      <c r="C72" s="683"/>
      <c r="D72" s="662"/>
      <c r="E72" s="662"/>
      <c r="F72" s="662"/>
      <c r="G72" s="662"/>
      <c r="H72" s="662"/>
      <c r="I72" s="662"/>
      <c r="J72" s="662"/>
      <c r="K72" s="662"/>
      <c r="L72" s="662"/>
      <c r="M72" s="663"/>
      <c r="N72" s="2044"/>
      <c r="O72" s="2044"/>
      <c r="P72" s="2043"/>
      <c r="Q72" s="2036"/>
      <c r="R72" s="1902"/>
      <c r="S72" s="1902"/>
      <c r="T72" s="1902"/>
      <c r="U72" s="1902"/>
      <c r="V72" s="1902"/>
      <c r="W72" s="1902"/>
      <c r="X72" s="1902"/>
      <c r="Y72" s="1902"/>
      <c r="Z72" s="1902"/>
      <c r="AA72" s="1902"/>
      <c r="AB72" s="1902"/>
      <c r="AC72" s="1902"/>
    </row>
    <row r="73" spans="1:29" s="1202" customFormat="1" ht="15.75" thickTop="1">
      <c r="A73" s="700"/>
      <c r="B73" s="664">
        <f>B24</f>
        <v>111</v>
      </c>
      <c r="C73" s="534"/>
      <c r="D73" s="534"/>
      <c r="E73" s="534"/>
      <c r="F73" s="534"/>
      <c r="G73" s="679"/>
      <c r="H73" s="679"/>
      <c r="I73" s="679"/>
      <c r="J73" s="679"/>
      <c r="K73" s="679"/>
      <c r="L73" s="679"/>
      <c r="M73" s="879"/>
      <c r="N73" s="2040"/>
      <c r="O73" s="2040"/>
      <c r="P73" s="2043"/>
      <c r="Q73" s="2036"/>
      <c r="R73" s="1902"/>
      <c r="S73" s="1902"/>
      <c r="T73" s="1902"/>
      <c r="U73" s="1902"/>
      <c r="V73" s="1902"/>
      <c r="W73" s="1902"/>
      <c r="X73" s="1902"/>
      <c r="Y73" s="1902"/>
      <c r="Z73" s="1902"/>
      <c r="AA73" s="1902"/>
      <c r="AB73" s="1902"/>
      <c r="AC73" s="1902"/>
    </row>
    <row r="74" spans="1:29" s="1202"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92" customFormat="1" ht="15.75" thickTop="1">
      <c r="A75" s="678"/>
      <c r="B75" s="664">
        <f>B25</f>
        <v>111</v>
      </c>
      <c r="C75" s="534"/>
      <c r="D75" s="534"/>
      <c r="E75" s="534"/>
      <c r="F75" s="534"/>
      <c r="G75" s="679"/>
      <c r="H75" s="680"/>
      <c r="I75" s="680"/>
      <c r="J75" s="680"/>
      <c r="K75" s="680"/>
      <c r="L75" s="681"/>
      <c r="M75" s="682"/>
      <c r="N75" s="2045"/>
      <c r="O75" s="2045"/>
      <c r="P75" s="2046"/>
      <c r="Q75" s="2047"/>
      <c r="R75" s="2048"/>
      <c r="S75" s="2048"/>
      <c r="T75" s="2048"/>
      <c r="U75" s="2048"/>
      <c r="V75" s="2048"/>
      <c r="W75" s="2048"/>
      <c r="X75" s="2048"/>
      <c r="Y75" s="2048"/>
      <c r="Z75" s="2048"/>
      <c r="AA75" s="2048"/>
      <c r="AB75" s="2048"/>
      <c r="AC75" s="2048"/>
    </row>
    <row r="76" spans="1:29" s="1292" customFormat="1" ht="15.75" thickBot="1">
      <c r="A76" s="678"/>
      <c r="B76" s="669"/>
      <c r="C76" s="683"/>
      <c r="D76" s="683"/>
      <c r="E76" s="683"/>
      <c r="F76" s="683"/>
      <c r="G76" s="662"/>
      <c r="H76" s="662"/>
      <c r="I76" s="662"/>
      <c r="J76" s="662"/>
      <c r="K76" s="662"/>
      <c r="L76" s="662"/>
      <c r="M76" s="663"/>
      <c r="N76" s="2045"/>
      <c r="O76" s="2045"/>
      <c r="P76" s="2046"/>
      <c r="Q76" s="2047"/>
      <c r="R76" s="2048"/>
      <c r="S76" s="2048"/>
      <c r="T76" s="2048"/>
      <c r="U76" s="2048"/>
      <c r="V76" s="2048"/>
      <c r="W76" s="2048"/>
      <c r="X76" s="2048"/>
      <c r="Y76" s="2048"/>
      <c r="Z76" s="2048"/>
      <c r="AA76" s="2048"/>
      <c r="AB76" s="2048"/>
      <c r="AC76" s="2048"/>
    </row>
    <row r="77" spans="1:29" ht="15" thickTop="1">
      <c r="A77" s="655" t="s">
        <v>545</v>
      </c>
      <c r="B77" s="656" t="s">
        <v>745</v>
      </c>
      <c r="C77" s="679"/>
      <c r="D77" s="679"/>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0"/>
      <c r="O79" s="2040"/>
      <c r="P79" s="2043"/>
      <c r="Q79" s="2036"/>
      <c r="R79" s="2024"/>
      <c r="S79" s="2024"/>
      <c r="T79" s="2024"/>
      <c r="U79" s="2024"/>
      <c r="V79" s="2024"/>
      <c r="W79" s="2024"/>
      <c r="X79" s="2024"/>
      <c r="Y79" s="2024"/>
      <c r="Z79" s="2024"/>
      <c r="AA79" s="2024"/>
      <c r="AB79" s="2024"/>
      <c r="AC79" s="2024"/>
    </row>
    <row r="80" spans="1:29" ht="15">
      <c r="A80" s="660"/>
      <c r="B80" s="672"/>
      <c r="C80" s="882">
        <v>0.5</v>
      </c>
      <c r="D80" s="882">
        <v>0.6</v>
      </c>
      <c r="E80" s="882">
        <v>0.7</v>
      </c>
      <c r="F80" s="882">
        <v>0.8</v>
      </c>
      <c r="G80" s="882">
        <v>0.9</v>
      </c>
      <c r="H80" s="882">
        <v>1.0001</v>
      </c>
      <c r="I80" s="923"/>
      <c r="J80" s="923"/>
      <c r="K80" s="933"/>
      <c r="L80" s="934"/>
      <c r="M80" s="935"/>
      <c r="N80" s="2040"/>
      <c r="O80" s="2040"/>
      <c r="P80" s="2043"/>
      <c r="Q80" s="2036"/>
      <c r="R80" s="2024"/>
      <c r="S80" s="2024"/>
      <c r="T80" s="2024"/>
      <c r="U80" s="2024"/>
      <c r="V80" s="2024"/>
      <c r="W80" s="2024"/>
      <c r="X80" s="2024"/>
      <c r="Y80" s="2024"/>
      <c r="Z80" s="2024"/>
      <c r="AA80" s="2024"/>
      <c r="AB80" s="2024"/>
      <c r="AC80" s="2024"/>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6"/>
      <c r="B82" s="672" t="s">
        <v>811</v>
      </c>
      <c r="C82" s="679"/>
      <c r="D82" s="679"/>
      <c r="E82" s="709"/>
      <c r="F82" s="709"/>
      <c r="G82" s="709"/>
      <c r="H82" s="709"/>
      <c r="I82" s="709"/>
      <c r="J82" s="709"/>
      <c r="K82" s="710"/>
      <c r="L82" s="711"/>
      <c r="M82" s="712"/>
      <c r="N82" s="2042"/>
      <c r="O82" s="2042"/>
      <c r="P82" s="2043"/>
      <c r="Q82" s="2036"/>
      <c r="R82" s="2024"/>
      <c r="S82" s="2024"/>
      <c r="T82" s="2024"/>
      <c r="U82" s="2024"/>
      <c r="V82" s="2024"/>
      <c r="W82" s="2024"/>
      <c r="X82" s="2024"/>
      <c r="Y82" s="2024"/>
      <c r="Z82" s="2024"/>
      <c r="AA82" s="2024"/>
      <c r="AB82" s="2024"/>
      <c r="AC82" s="2024"/>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6"/>
      <c r="B84" s="664" t="s">
        <v>819</v>
      </c>
      <c r="C84" s="679"/>
      <c r="D84" s="679"/>
      <c r="E84" s="679"/>
      <c r="F84" s="679"/>
      <c r="G84" s="679"/>
      <c r="H84" s="679"/>
      <c r="I84" s="709"/>
      <c r="J84" s="709"/>
      <c r="K84" s="710"/>
      <c r="L84" s="711"/>
      <c r="M84" s="712"/>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2"/>
      <c r="O86" s="2042"/>
      <c r="P86" s="2043"/>
      <c r="Q86" s="2036"/>
      <c r="R86" s="2024"/>
      <c r="S86" s="2024"/>
      <c r="T86" s="2024"/>
      <c r="U86" s="2024"/>
      <c r="V86" s="2024"/>
      <c r="W86" s="2024"/>
      <c r="X86" s="2024"/>
      <c r="Y86" s="2024"/>
      <c r="Z86" s="2024"/>
      <c r="AA86" s="2024"/>
      <c r="AB86" s="2024"/>
      <c r="AC86" s="2024"/>
    </row>
    <row r="87" spans="1:29">
      <c r="A87" s="726"/>
      <c r="B87" s="672"/>
      <c r="C87" s="721"/>
      <c r="D87" s="721"/>
      <c r="E87" s="721"/>
      <c r="F87" s="721"/>
      <c r="G87" s="721"/>
      <c r="H87" s="721"/>
      <c r="I87" s="721"/>
      <c r="J87" s="722"/>
      <c r="K87" s="722"/>
      <c r="L87" s="723"/>
      <c r="M87" s="724"/>
      <c r="N87" s="2042"/>
      <c r="O87" s="2042"/>
      <c r="P87" s="2043"/>
      <c r="Q87" s="2036"/>
      <c r="R87" s="2024"/>
      <c r="S87" s="2024"/>
      <c r="T87" s="2024"/>
      <c r="U87" s="2024"/>
      <c r="V87" s="2024"/>
      <c r="W87" s="2024"/>
      <c r="X87" s="2024"/>
      <c r="Y87" s="2024"/>
      <c r="Z87" s="2024"/>
      <c r="AA87" s="2024"/>
      <c r="AB87" s="2024"/>
      <c r="AC87" s="2024"/>
    </row>
    <row r="88" spans="1:29" ht="15.75" thickBot="1">
      <c r="A88" s="660"/>
      <c r="B88" s="669"/>
      <c r="C88" s="683"/>
      <c r="D88" s="662"/>
      <c r="E88" s="662"/>
      <c r="F88" s="662"/>
      <c r="G88" s="662"/>
      <c r="H88" s="662"/>
      <c r="I88" s="662"/>
      <c r="J88" s="662"/>
      <c r="K88" s="662"/>
      <c r="L88" s="662"/>
      <c r="M88" s="662"/>
      <c r="N88" s="2044"/>
      <c r="O88" s="2044"/>
      <c r="P88" s="2043"/>
      <c r="Q88" s="2036"/>
      <c r="R88" s="2024"/>
      <c r="S88" s="2024"/>
      <c r="T88" s="2024"/>
      <c r="U88" s="2024"/>
      <c r="V88" s="2024"/>
      <c r="W88" s="2024"/>
      <c r="X88" s="2024"/>
      <c r="Y88" s="2024"/>
      <c r="Z88" s="2024"/>
      <c r="AA88" s="2024"/>
      <c r="AB88" s="2024"/>
      <c r="AC88" s="2024"/>
    </row>
    <row r="89" spans="1:29" s="1292" customFormat="1" ht="15" thickTop="1">
      <c r="A89" s="719"/>
      <c r="B89" s="664" t="s">
        <v>821</v>
      </c>
      <c r="C89" s="679"/>
      <c r="D89" s="679"/>
      <c r="E89" s="679"/>
      <c r="F89" s="679"/>
      <c r="G89" s="679"/>
      <c r="H89" s="679"/>
      <c r="I89" s="679"/>
      <c r="J89" s="679"/>
      <c r="K89" s="679"/>
      <c r="L89" s="679"/>
      <c r="M89" s="879"/>
      <c r="N89" s="2045"/>
      <c r="O89" s="2045"/>
      <c r="P89" s="2046"/>
      <c r="Q89" s="2047"/>
      <c r="R89" s="2048"/>
      <c r="S89" s="2048"/>
      <c r="T89" s="2048"/>
      <c r="U89" s="2048"/>
      <c r="V89" s="2048"/>
      <c r="W89" s="2048"/>
      <c r="X89" s="2048"/>
      <c r="Y89" s="2048"/>
      <c r="Z89" s="2048"/>
      <c r="AA89" s="2048"/>
      <c r="AB89" s="2048"/>
      <c r="AC89" s="2048"/>
    </row>
    <row r="90" spans="1:29" s="1292" customFormat="1" ht="15.75" thickBot="1">
      <c r="A90" s="678"/>
      <c r="B90" s="669"/>
      <c r="C90" s="683"/>
      <c r="D90" s="662"/>
      <c r="E90" s="662"/>
      <c r="F90" s="662"/>
      <c r="G90" s="662"/>
      <c r="H90" s="662"/>
      <c r="I90" s="662"/>
      <c r="J90" s="662"/>
      <c r="K90" s="662"/>
      <c r="L90" s="662"/>
      <c r="M90" s="663"/>
      <c r="N90" s="2045"/>
      <c r="O90" s="2045"/>
      <c r="P90" s="2046"/>
      <c r="Q90" s="2047"/>
      <c r="R90" s="2048"/>
      <c r="S90" s="2048"/>
      <c r="T90" s="2048"/>
      <c r="U90" s="2048"/>
      <c r="V90" s="2048"/>
      <c r="W90" s="2048"/>
      <c r="X90" s="2048"/>
      <c r="Y90" s="2048"/>
      <c r="Z90" s="2048"/>
      <c r="AA90" s="2048"/>
      <c r="AB90" s="2048"/>
      <c r="AC90" s="2048"/>
    </row>
    <row r="91" spans="1:29" ht="15" thickTop="1">
      <c r="A91" s="726"/>
      <c r="B91" s="664">
        <f>B32</f>
        <v>111</v>
      </c>
      <c r="C91" s="534"/>
      <c r="D91" s="534"/>
      <c r="E91" s="534"/>
      <c r="F91" s="534"/>
      <c r="G91" s="679"/>
      <c r="H91" s="680"/>
      <c r="I91" s="680"/>
      <c r="J91" s="680"/>
      <c r="K91" s="680"/>
      <c r="L91" s="681"/>
      <c r="M91" s="682"/>
      <c r="N91" s="2042"/>
      <c r="O91" s="2042"/>
      <c r="P91" s="2043"/>
      <c r="Q91" s="2036"/>
      <c r="R91" s="2024"/>
      <c r="S91" s="2024"/>
      <c r="T91" s="2024"/>
      <c r="U91" s="2024"/>
      <c r="V91" s="2024"/>
      <c r="W91" s="2024"/>
      <c r="X91" s="2024"/>
      <c r="Y91" s="2024"/>
      <c r="Z91" s="2024"/>
      <c r="AA91" s="2024"/>
      <c r="AB91" s="2024"/>
      <c r="AC91" s="2024"/>
    </row>
    <row r="92" spans="1:29" ht="15.75" thickBot="1">
      <c r="A92" s="660"/>
      <c r="B92" s="669"/>
      <c r="C92" s="683"/>
      <c r="D92" s="662"/>
      <c r="E92" s="662"/>
      <c r="F92" s="662"/>
      <c r="G92" s="683"/>
      <c r="H92" s="684"/>
      <c r="I92" s="684"/>
      <c r="J92" s="684"/>
      <c r="K92" s="684"/>
      <c r="L92" s="684"/>
      <c r="M92" s="685"/>
      <c r="N92" s="2044"/>
      <c r="O92" s="2044"/>
      <c r="P92" s="2043"/>
      <c r="Q92" s="2036"/>
      <c r="R92" s="2024"/>
      <c r="S92" s="2024"/>
      <c r="T92" s="2024"/>
      <c r="U92" s="2024"/>
      <c r="V92" s="2024"/>
      <c r="W92" s="2024"/>
      <c r="X92" s="2024"/>
      <c r="Y92" s="2024"/>
      <c r="Z92" s="2024"/>
      <c r="AA92" s="2024"/>
      <c r="AB92" s="2024"/>
      <c r="AC92" s="2024"/>
    </row>
    <row r="93" spans="1:29" ht="15" thickTop="1">
      <c r="A93" s="726"/>
      <c r="B93" s="664">
        <f>B33</f>
        <v>111</v>
      </c>
      <c r="C93" s="534"/>
      <c r="D93" s="534"/>
      <c r="E93" s="534"/>
      <c r="F93" s="534"/>
      <c r="G93" s="679"/>
      <c r="H93" s="680"/>
      <c r="I93" s="680"/>
      <c r="J93" s="680"/>
      <c r="K93" s="680"/>
      <c r="L93" s="681"/>
      <c r="M93" s="68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83"/>
      <c r="H94" s="684"/>
      <c r="I94" s="684"/>
      <c r="J94" s="684"/>
      <c r="K94" s="684"/>
      <c r="L94" s="684"/>
      <c r="M94" s="685"/>
      <c r="N94" s="2044"/>
      <c r="O94" s="2044"/>
      <c r="P94" s="2043"/>
      <c r="Q94" s="2036"/>
      <c r="R94" s="2024"/>
      <c r="S94" s="2024"/>
      <c r="T94" s="2024"/>
      <c r="U94" s="2024"/>
      <c r="V94" s="2024"/>
      <c r="W94" s="2024"/>
      <c r="X94" s="2024"/>
      <c r="Y94" s="2024"/>
      <c r="Z94" s="2024"/>
      <c r="AA94" s="2024"/>
      <c r="AB94" s="2024"/>
      <c r="AC94" s="2024"/>
    </row>
    <row r="95" spans="1:29" ht="15" thickTop="1">
      <c r="A95" s="726"/>
      <c r="B95" s="905">
        <f>B34</f>
        <v>111</v>
      </c>
      <c r="C95" s="534"/>
      <c r="D95" s="534"/>
      <c r="E95" s="534"/>
      <c r="F95" s="534"/>
      <c r="G95" s="679"/>
      <c r="H95" s="680"/>
      <c r="I95" s="680"/>
      <c r="J95" s="680"/>
      <c r="K95" s="680"/>
      <c r="L95" s="681"/>
      <c r="M95" s="682"/>
      <c r="N95" s="2044"/>
      <c r="O95" s="2044"/>
      <c r="P95" s="2083"/>
      <c r="Q95" s="2084"/>
      <c r="R95" s="2024"/>
      <c r="S95" s="2024"/>
      <c r="T95" s="2024"/>
      <c r="U95" s="2024"/>
      <c r="V95" s="2024"/>
      <c r="W95" s="2024"/>
      <c r="X95" s="2024"/>
      <c r="Y95" s="2024"/>
      <c r="Z95" s="2024"/>
      <c r="AA95" s="2024"/>
      <c r="AB95" s="2024"/>
      <c r="AC95" s="2024"/>
    </row>
    <row r="96" spans="1:29" ht="15.75" thickBot="1">
      <c r="A96" s="660"/>
      <c r="B96" s="669"/>
      <c r="C96" s="683"/>
      <c r="D96" s="683"/>
      <c r="E96" s="683"/>
      <c r="F96" s="683"/>
      <c r="G96" s="683"/>
      <c r="H96" s="684"/>
      <c r="I96" s="684"/>
      <c r="J96" s="684"/>
      <c r="K96" s="684"/>
      <c r="L96" s="684"/>
      <c r="M96" s="685"/>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2"/>
    <col min="19" max="19" width="9" style="1203"/>
    <col min="20" max="35" width="9" style="254"/>
    <col min="36" max="16384" width="9" style="1203"/>
  </cols>
  <sheetData>
    <row r="1" spans="1:45" s="254" customFormat="1" ht="14.25" customHeight="1" thickBot="1">
      <c r="A1" s="362"/>
      <c r="B1" s="2111" t="s">
        <v>2290</v>
      </c>
      <c r="C1" s="3621" t="s">
        <v>2291</v>
      </c>
      <c r="D1" s="3622"/>
      <c r="E1" s="3622"/>
      <c r="F1" s="3622"/>
      <c r="G1" s="3622"/>
      <c r="H1" s="3622"/>
      <c r="I1" s="3622"/>
      <c r="J1" s="3622"/>
      <c r="K1" s="3622"/>
      <c r="L1" s="3622"/>
      <c r="M1" s="3622"/>
      <c r="N1" s="3622"/>
      <c r="O1" s="3622"/>
      <c r="P1" s="3622"/>
      <c r="Q1" s="3622"/>
      <c r="R1" s="3622"/>
      <c r="S1" s="3623"/>
      <c r="T1" s="2111" t="s">
        <v>2292</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3" t="str">
        <f>S3&amp;"(含)"&amp;"-"</f>
        <v>(含)-</v>
      </c>
      <c r="T2" s="939"/>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40"/>
      <c r="C3" s="941"/>
      <c r="D3" s="942"/>
      <c r="E3" s="942"/>
      <c r="F3" s="942"/>
      <c r="G3" s="942"/>
      <c r="H3" s="942"/>
      <c r="I3" s="942"/>
      <c r="J3" s="943"/>
      <c r="K3" s="943"/>
      <c r="L3" s="944"/>
      <c r="M3" s="2116"/>
      <c r="N3" s="2117"/>
      <c r="O3" s="942"/>
      <c r="P3" s="942"/>
      <c r="Q3" s="942"/>
      <c r="R3" s="942"/>
      <c r="S3" s="2118"/>
      <c r="T3" s="945"/>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2895</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2894</v>
      </c>
      <c r="C7" s="1872"/>
      <c r="D7" s="1873"/>
      <c r="E7" s="1873"/>
      <c r="F7" s="1873"/>
      <c r="G7" s="1873"/>
      <c r="H7" s="1873"/>
      <c r="I7" s="1873"/>
      <c r="J7" s="1873"/>
      <c r="K7" s="1873"/>
      <c r="L7" s="1873"/>
      <c r="M7" s="2136"/>
      <c r="N7" s="2137"/>
      <c r="O7" s="2138"/>
      <c r="P7" s="2139"/>
      <c r="Q7" s="2140"/>
      <c r="R7" s="2141"/>
      <c r="S7" s="2142"/>
      <c r="T7" s="946"/>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2893</v>
      </c>
      <c r="C9" s="1872"/>
      <c r="D9" s="1873"/>
      <c r="E9" s="1873"/>
      <c r="F9" s="1873"/>
      <c r="G9" s="1873"/>
      <c r="H9" s="1873"/>
      <c r="I9" s="1873"/>
      <c r="J9" s="1873"/>
      <c r="K9" s="1873"/>
      <c r="L9" s="1874"/>
      <c r="M9" s="2136"/>
      <c r="N9" s="2137"/>
      <c r="O9" s="2138"/>
      <c r="P9" s="2139"/>
      <c r="Q9" s="2140"/>
      <c r="R9" s="2141"/>
      <c r="S9" s="2142"/>
      <c r="T9" s="946"/>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4" t="s">
        <v>2906</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4" t="s">
        <v>2892</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4" t="s">
        <v>2891</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2294</v>
      </c>
      <c r="B17" s="2155" t="s">
        <v>2295</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8"/>
      <c r="B19" s="936"/>
      <c r="C19" s="1899"/>
      <c r="D19" s="1899"/>
      <c r="E19" s="1899"/>
      <c r="F19" s="1899"/>
      <c r="G19" s="1899"/>
      <c r="H19" s="1899"/>
      <c r="I19" s="1899"/>
      <c r="J19" s="1899"/>
      <c r="K19" s="1899"/>
      <c r="L19" s="1899"/>
      <c r="M19" s="1899"/>
      <c r="N19" s="1899"/>
      <c r="O19" s="1899"/>
      <c r="P19" s="1899"/>
      <c r="Q19" s="1899"/>
      <c r="R19" s="2102"/>
      <c r="S19" s="1908"/>
    </row>
    <row r="20" spans="1:45" ht="15.75">
      <c r="A20" s="947" t="s">
        <v>822</v>
      </c>
      <c r="B20" s="764">
        <f>S22</f>
        <v>0</v>
      </c>
      <c r="C20" s="1899"/>
      <c r="D20" s="1899"/>
      <c r="E20" s="1899"/>
      <c r="F20" s="1899"/>
      <c r="G20" s="1899"/>
      <c r="H20" s="1899"/>
      <c r="I20" s="1899"/>
      <c r="J20" s="1899"/>
      <c r="K20" s="1899"/>
      <c r="L20" s="1899"/>
      <c r="M20" s="1899"/>
      <c r="N20" s="1899"/>
      <c r="O20" s="1899"/>
      <c r="P20" s="1899"/>
      <c r="Q20" s="1899"/>
      <c r="R20" s="2102"/>
      <c r="S20" s="1908"/>
    </row>
    <row r="21" spans="1:45" ht="15.75">
      <c r="A21" s="947" t="str">
        <f>IF(B23="土地面积","地面单价","楼面单价")</f>
        <v>楼面单价</v>
      </c>
      <c r="B21" s="764" t="e">
        <f>R22</f>
        <v>#DIV/0!</v>
      </c>
      <c r="C21" s="1899"/>
      <c r="D21" s="1899"/>
      <c r="E21" s="1899"/>
      <c r="F21" s="1899"/>
      <c r="G21" s="1899"/>
      <c r="H21" s="1899"/>
      <c r="I21" s="1899"/>
      <c r="J21" s="1899"/>
      <c r="K21" s="1899"/>
      <c r="L21" s="1899"/>
      <c r="M21" s="1899"/>
      <c r="N21" s="1899"/>
      <c r="O21" s="1899"/>
      <c r="P21" s="1899"/>
      <c r="Q21" s="1899"/>
      <c r="R21" s="2102"/>
      <c r="S21" s="1908"/>
    </row>
    <row r="22" spans="1:45">
      <c r="A22" s="788" t="s">
        <v>823</v>
      </c>
      <c r="B22" s="53">
        <f>SUM(B24:B10000)</f>
        <v>0</v>
      </c>
      <c r="C22" s="3618" t="s">
        <v>20</v>
      </c>
      <c r="D22" s="3619"/>
      <c r="E22" s="3619"/>
      <c r="F22" s="3619"/>
      <c r="G22" s="3619"/>
      <c r="H22" s="3619"/>
      <c r="I22" s="3619"/>
      <c r="J22" s="3619"/>
      <c r="K22" s="3619"/>
      <c r="L22" s="3619"/>
      <c r="M22" s="3619"/>
      <c r="N22" s="3619"/>
      <c r="O22" s="3619"/>
      <c r="P22" s="3619"/>
      <c r="Q22" s="3620"/>
      <c r="R22" s="483" t="e">
        <f>ROUND(S22*10000/B22,0)</f>
        <v>#DIV/0!</v>
      </c>
      <c r="S22" s="53">
        <f>SUM(S24:S10000)</f>
        <v>0</v>
      </c>
    </row>
    <row r="23" spans="1:45" s="1540" customFormat="1" ht="24">
      <c r="A23" s="17" t="s">
        <v>824</v>
      </c>
      <c r="B23" s="2858"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1"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3"/>
      <c r="S525" s="254"/>
    </row>
    <row r="526" spans="1:19">
      <c r="A526" s="254"/>
      <c r="B526" s="57"/>
      <c r="C526" s="57"/>
      <c r="D526" s="57"/>
      <c r="E526" s="57"/>
      <c r="F526" s="57"/>
      <c r="G526" s="57"/>
      <c r="H526" s="57"/>
      <c r="I526" s="57"/>
      <c r="J526" s="57"/>
      <c r="K526" s="57"/>
      <c r="L526" s="57"/>
      <c r="M526" s="57"/>
      <c r="N526" s="57"/>
      <c r="O526" s="57"/>
      <c r="P526" s="57"/>
      <c r="Q526" s="57"/>
      <c r="R526" s="2103"/>
      <c r="S526" s="254"/>
    </row>
    <row r="527" spans="1:19">
      <c r="A527" s="254"/>
      <c r="B527" s="57"/>
      <c r="C527" s="57"/>
      <c r="D527" s="57"/>
      <c r="E527" s="57"/>
      <c r="F527" s="57"/>
      <c r="G527" s="57"/>
      <c r="H527" s="57"/>
      <c r="I527" s="57"/>
      <c r="J527" s="57"/>
      <c r="K527" s="57"/>
      <c r="L527" s="57"/>
      <c r="M527" s="57"/>
      <c r="N527" s="57"/>
      <c r="O527" s="57"/>
      <c r="P527" s="57"/>
      <c r="Q527" s="57"/>
      <c r="R527" s="2103"/>
      <c r="S527" s="254"/>
    </row>
    <row r="528" spans="1:19">
      <c r="A528" s="254"/>
      <c r="B528" s="57"/>
      <c r="C528" s="57"/>
      <c r="D528" s="57"/>
      <c r="E528" s="57"/>
      <c r="F528" s="57"/>
      <c r="G528" s="57"/>
      <c r="H528" s="57"/>
      <c r="I528" s="57"/>
      <c r="J528" s="57"/>
      <c r="K528" s="57"/>
      <c r="L528" s="57"/>
      <c r="M528" s="57"/>
      <c r="N528" s="57"/>
      <c r="O528" s="57"/>
      <c r="P528" s="57"/>
      <c r="Q528" s="57"/>
      <c r="R528" s="2103"/>
      <c r="S528" s="254"/>
    </row>
    <row r="529" spans="1:19">
      <c r="A529" s="254"/>
      <c r="B529" s="57"/>
      <c r="C529" s="57"/>
      <c r="D529" s="57"/>
      <c r="E529" s="57"/>
      <c r="F529" s="57"/>
      <c r="G529" s="57"/>
      <c r="H529" s="57"/>
      <c r="I529" s="57"/>
      <c r="J529" s="57"/>
      <c r="K529" s="57"/>
      <c r="L529" s="57"/>
      <c r="M529" s="57"/>
      <c r="N529" s="57"/>
      <c r="O529" s="57"/>
      <c r="P529" s="57"/>
      <c r="Q529" s="57"/>
      <c r="R529" s="2103"/>
      <c r="S529" s="254"/>
    </row>
    <row r="530" spans="1:19">
      <c r="A530" s="254"/>
      <c r="B530" s="57"/>
      <c r="C530" s="57"/>
      <c r="D530" s="57"/>
      <c r="E530" s="57"/>
      <c r="F530" s="57"/>
      <c r="G530" s="57"/>
      <c r="H530" s="57"/>
      <c r="I530" s="57"/>
      <c r="J530" s="57"/>
      <c r="K530" s="57"/>
      <c r="L530" s="57"/>
      <c r="M530" s="57"/>
      <c r="N530" s="57"/>
      <c r="O530" s="57"/>
      <c r="P530" s="57"/>
      <c r="Q530" s="57"/>
      <c r="R530" s="2103"/>
      <c r="S530" s="254"/>
    </row>
    <row r="531" spans="1:19">
      <c r="A531" s="254"/>
      <c r="B531" s="57"/>
      <c r="C531" s="57"/>
      <c r="D531" s="57"/>
      <c r="E531" s="57"/>
      <c r="F531" s="57"/>
      <c r="G531" s="57"/>
      <c r="H531" s="57"/>
      <c r="I531" s="57"/>
      <c r="J531" s="57"/>
      <c r="K531" s="57"/>
      <c r="L531" s="57"/>
      <c r="M531" s="57"/>
      <c r="N531" s="57"/>
      <c r="O531" s="57"/>
      <c r="P531" s="57"/>
      <c r="Q531" s="57"/>
      <c r="R531" s="2103"/>
      <c r="S531" s="254"/>
    </row>
    <row r="532" spans="1:19">
      <c r="A532" s="254"/>
      <c r="B532" s="57"/>
      <c r="C532" s="57"/>
      <c r="D532" s="57"/>
      <c r="E532" s="57"/>
      <c r="F532" s="57"/>
      <c r="G532" s="57"/>
      <c r="H532" s="57"/>
      <c r="I532" s="57"/>
      <c r="J532" s="57"/>
      <c r="K532" s="57"/>
      <c r="L532" s="57"/>
      <c r="M532" s="57"/>
      <c r="N532" s="57"/>
      <c r="O532" s="57"/>
      <c r="P532" s="57"/>
      <c r="Q532" s="57"/>
      <c r="R532" s="2103"/>
      <c r="S532" s="254"/>
    </row>
    <row r="533" spans="1:19">
      <c r="A533" s="254"/>
      <c r="B533" s="57"/>
      <c r="C533" s="57"/>
      <c r="D533" s="57"/>
      <c r="E533" s="57"/>
      <c r="F533" s="57"/>
      <c r="G533" s="57"/>
      <c r="H533" s="57"/>
      <c r="I533" s="57"/>
      <c r="J533" s="57"/>
      <c r="K533" s="57"/>
      <c r="L533" s="57"/>
      <c r="M533" s="57"/>
      <c r="N533" s="57"/>
      <c r="O533" s="57"/>
      <c r="P533" s="57"/>
      <c r="Q533" s="57"/>
      <c r="R533" s="2103"/>
      <c r="S533" s="254"/>
    </row>
    <row r="534" spans="1:19">
      <c r="A534" s="254"/>
      <c r="B534" s="57"/>
      <c r="C534" s="57"/>
      <c r="D534" s="57"/>
      <c r="E534" s="57"/>
      <c r="F534" s="57"/>
      <c r="G534" s="57"/>
      <c r="H534" s="57"/>
      <c r="I534" s="57"/>
      <c r="J534" s="57"/>
      <c r="K534" s="57"/>
      <c r="L534" s="57"/>
      <c r="M534" s="57"/>
      <c r="N534" s="57"/>
      <c r="O534" s="57"/>
      <c r="P534" s="57"/>
      <c r="Q534" s="57"/>
      <c r="R534" s="2103"/>
      <c r="S534" s="254"/>
    </row>
    <row r="535" spans="1:19">
      <c r="A535" s="254"/>
      <c r="B535" s="57"/>
      <c r="C535" s="57"/>
      <c r="D535" s="57"/>
      <c r="E535" s="57"/>
      <c r="F535" s="57"/>
      <c r="G535" s="57"/>
      <c r="H535" s="57"/>
      <c r="I535" s="57"/>
      <c r="J535" s="57"/>
      <c r="K535" s="57"/>
      <c r="L535" s="57"/>
      <c r="M535" s="57"/>
      <c r="N535" s="57"/>
      <c r="O535" s="57"/>
      <c r="P535" s="57"/>
      <c r="Q535" s="57"/>
      <c r="R535" s="2103"/>
      <c r="S535" s="254"/>
    </row>
    <row r="536" spans="1:19">
      <c r="A536" s="254"/>
      <c r="B536" s="57"/>
      <c r="C536" s="57"/>
      <c r="D536" s="57"/>
      <c r="E536" s="57"/>
      <c r="F536" s="57"/>
      <c r="G536" s="57"/>
      <c r="H536" s="57"/>
      <c r="I536" s="57"/>
      <c r="J536" s="57"/>
      <c r="K536" s="57"/>
      <c r="L536" s="57"/>
      <c r="M536" s="57"/>
      <c r="N536" s="57"/>
      <c r="O536" s="57"/>
      <c r="P536" s="57"/>
      <c r="Q536" s="57"/>
      <c r="R536" s="2103"/>
      <c r="S536" s="254"/>
    </row>
    <row r="537" spans="1:19">
      <c r="A537" s="254"/>
      <c r="B537" s="57"/>
      <c r="C537" s="57"/>
      <c r="D537" s="57"/>
      <c r="E537" s="57"/>
      <c r="F537" s="57"/>
      <c r="G537" s="57"/>
      <c r="H537" s="57"/>
      <c r="I537" s="57"/>
      <c r="J537" s="57"/>
      <c r="K537" s="57"/>
      <c r="L537" s="57"/>
      <c r="M537" s="57"/>
      <c r="N537" s="57"/>
      <c r="O537" s="57"/>
      <c r="P537" s="57"/>
      <c r="Q537" s="57"/>
      <c r="R537" s="2103"/>
      <c r="S537" s="254"/>
    </row>
    <row r="538" spans="1:19">
      <c r="A538" s="254"/>
      <c r="B538" s="57"/>
      <c r="C538" s="57"/>
      <c r="D538" s="57"/>
      <c r="E538" s="57"/>
      <c r="F538" s="57"/>
      <c r="G538" s="57"/>
      <c r="H538" s="57"/>
      <c r="I538" s="57"/>
      <c r="J538" s="57"/>
      <c r="K538" s="57"/>
      <c r="L538" s="57"/>
      <c r="M538" s="57"/>
      <c r="N538" s="57"/>
      <c r="O538" s="57"/>
      <c r="P538" s="57"/>
      <c r="Q538" s="57"/>
      <c r="R538" s="2103"/>
      <c r="S538" s="254"/>
    </row>
    <row r="539" spans="1:19">
      <c r="A539" s="254"/>
      <c r="B539" s="57"/>
      <c r="C539" s="57"/>
      <c r="D539" s="57"/>
      <c r="E539" s="57"/>
      <c r="F539" s="57"/>
      <c r="G539" s="57"/>
      <c r="H539" s="57"/>
      <c r="I539" s="57"/>
      <c r="J539" s="57"/>
      <c r="K539" s="57"/>
      <c r="L539" s="57"/>
      <c r="M539" s="57"/>
      <c r="N539" s="57"/>
      <c r="O539" s="57"/>
      <c r="P539" s="57"/>
      <c r="Q539" s="57"/>
      <c r="R539" s="2103"/>
      <c r="S539" s="254"/>
    </row>
    <row r="540" spans="1:19">
      <c r="A540" s="254"/>
      <c r="B540" s="57"/>
      <c r="C540" s="57"/>
      <c r="D540" s="57"/>
      <c r="E540" s="57"/>
      <c r="F540" s="57"/>
      <c r="G540" s="57"/>
      <c r="H540" s="57"/>
      <c r="I540" s="57"/>
      <c r="J540" s="57"/>
      <c r="K540" s="57"/>
      <c r="L540" s="57"/>
      <c r="M540" s="57"/>
      <c r="N540" s="57"/>
      <c r="O540" s="57"/>
      <c r="P540" s="57"/>
      <c r="Q540" s="57"/>
      <c r="R540" s="2103"/>
      <c r="S540" s="254"/>
    </row>
    <row r="541" spans="1:19">
      <c r="A541" s="254"/>
      <c r="B541" s="57"/>
      <c r="C541" s="57"/>
      <c r="D541" s="57"/>
      <c r="E541" s="57"/>
      <c r="F541" s="57"/>
      <c r="G541" s="57"/>
      <c r="H541" s="57"/>
      <c r="I541" s="57"/>
      <c r="J541" s="57"/>
      <c r="K541" s="57"/>
      <c r="L541" s="57"/>
      <c r="M541" s="57"/>
      <c r="N541" s="57"/>
      <c r="O541" s="57"/>
      <c r="P541" s="57"/>
      <c r="Q541" s="57"/>
      <c r="R541" s="2103"/>
      <c r="S541" s="254"/>
    </row>
    <row r="542" spans="1:19">
      <c r="A542" s="254"/>
      <c r="B542" s="57"/>
      <c r="C542" s="57"/>
      <c r="D542" s="57"/>
      <c r="E542" s="57"/>
      <c r="F542" s="57"/>
      <c r="G542" s="57"/>
      <c r="H542" s="57"/>
      <c r="I542" s="57"/>
      <c r="J542" s="57"/>
      <c r="K542" s="57"/>
      <c r="L542" s="57"/>
      <c r="M542" s="57"/>
      <c r="N542" s="57"/>
      <c r="O542" s="57"/>
      <c r="P542" s="57"/>
      <c r="Q542" s="57"/>
      <c r="R542" s="2103"/>
      <c r="S542" s="254"/>
    </row>
    <row r="543" spans="1:19">
      <c r="A543" s="254"/>
      <c r="B543" s="57"/>
      <c r="C543" s="57"/>
      <c r="D543" s="57"/>
      <c r="E543" s="57"/>
      <c r="F543" s="57"/>
      <c r="G543" s="57"/>
      <c r="H543" s="57"/>
      <c r="I543" s="57"/>
      <c r="J543" s="57"/>
      <c r="K543" s="57"/>
      <c r="L543" s="57"/>
      <c r="M543" s="57"/>
      <c r="N543" s="57"/>
      <c r="O543" s="57"/>
      <c r="P543" s="57"/>
      <c r="Q543" s="57"/>
      <c r="R543" s="2103"/>
      <c r="S543" s="254"/>
    </row>
    <row r="544" spans="1:19">
      <c r="A544" s="254"/>
      <c r="B544" s="57"/>
      <c r="C544" s="57"/>
      <c r="D544" s="57"/>
      <c r="E544" s="57"/>
      <c r="F544" s="57"/>
      <c r="G544" s="57"/>
      <c r="H544" s="57"/>
      <c r="I544" s="57"/>
      <c r="J544" s="57"/>
      <c r="K544" s="57"/>
      <c r="L544" s="57"/>
      <c r="M544" s="57"/>
      <c r="N544" s="57"/>
      <c r="O544" s="57"/>
      <c r="P544" s="57"/>
      <c r="Q544" s="57"/>
      <c r="R544" s="2103"/>
      <c r="S544" s="254"/>
    </row>
    <row r="545" spans="1:19">
      <c r="A545" s="254"/>
      <c r="B545" s="57"/>
      <c r="C545" s="57"/>
      <c r="D545" s="57"/>
      <c r="E545" s="57"/>
      <c r="F545" s="57"/>
      <c r="G545" s="57"/>
      <c r="H545" s="57"/>
      <c r="I545" s="57"/>
      <c r="J545" s="57"/>
      <c r="K545" s="57"/>
      <c r="L545" s="57"/>
      <c r="M545" s="57"/>
      <c r="N545" s="57"/>
      <c r="O545" s="57"/>
      <c r="P545" s="57"/>
      <c r="Q545" s="57"/>
      <c r="R545" s="2103"/>
      <c r="S545" s="254"/>
    </row>
    <row r="546" spans="1:19">
      <c r="A546" s="254"/>
      <c r="B546" s="57"/>
      <c r="C546" s="57"/>
      <c r="D546" s="57"/>
      <c r="E546" s="57"/>
      <c r="F546" s="57"/>
      <c r="G546" s="57"/>
      <c r="H546" s="57"/>
      <c r="I546" s="57"/>
      <c r="J546" s="57"/>
      <c r="K546" s="57"/>
      <c r="L546" s="57"/>
      <c r="M546" s="57"/>
      <c r="N546" s="57"/>
      <c r="O546" s="57"/>
      <c r="P546" s="57"/>
      <c r="Q546" s="57"/>
      <c r="R546" s="2103"/>
      <c r="S546" s="254"/>
    </row>
    <row r="547" spans="1:19">
      <c r="A547" s="254"/>
      <c r="B547" s="57"/>
      <c r="C547" s="57"/>
      <c r="D547" s="57"/>
      <c r="E547" s="57"/>
      <c r="F547" s="57"/>
      <c r="G547" s="57"/>
      <c r="H547" s="57"/>
      <c r="I547" s="57"/>
      <c r="J547" s="57"/>
      <c r="K547" s="57"/>
      <c r="L547" s="57"/>
      <c r="M547" s="57"/>
      <c r="N547" s="57"/>
      <c r="O547" s="57"/>
      <c r="P547" s="57"/>
      <c r="Q547" s="57"/>
      <c r="R547" s="2103"/>
      <c r="S547" s="254"/>
    </row>
    <row r="548" spans="1:19">
      <c r="A548" s="254"/>
      <c r="B548" s="57"/>
      <c r="C548" s="57"/>
      <c r="D548" s="57"/>
      <c r="E548" s="57"/>
      <c r="F548" s="57"/>
      <c r="G548" s="57"/>
      <c r="H548" s="57"/>
      <c r="I548" s="57"/>
      <c r="J548" s="57"/>
      <c r="K548" s="57"/>
      <c r="L548" s="57"/>
      <c r="M548" s="57"/>
      <c r="N548" s="57"/>
      <c r="O548" s="57"/>
      <c r="P548" s="57"/>
      <c r="Q548" s="57"/>
      <c r="R548" s="2103"/>
      <c r="S548" s="254"/>
    </row>
    <row r="549" spans="1:19">
      <c r="A549" s="254"/>
      <c r="B549" s="57"/>
      <c r="C549" s="57"/>
      <c r="D549" s="57"/>
      <c r="E549" s="57"/>
      <c r="F549" s="57"/>
      <c r="G549" s="57"/>
      <c r="H549" s="57"/>
      <c r="I549" s="57"/>
      <c r="J549" s="57"/>
      <c r="K549" s="57"/>
      <c r="L549" s="57"/>
      <c r="M549" s="57"/>
      <c r="N549" s="57"/>
      <c r="O549" s="57"/>
      <c r="P549" s="57"/>
      <c r="Q549" s="57"/>
      <c r="R549" s="2103"/>
      <c r="S549" s="254"/>
    </row>
    <row r="550" spans="1:19">
      <c r="A550" s="254"/>
      <c r="B550" s="57"/>
      <c r="C550" s="57"/>
      <c r="D550" s="57"/>
      <c r="E550" s="57"/>
      <c r="F550" s="57"/>
      <c r="G550" s="57"/>
      <c r="H550" s="57"/>
      <c r="I550" s="57"/>
      <c r="J550" s="57"/>
      <c r="K550" s="57"/>
      <c r="L550" s="57"/>
      <c r="M550" s="57"/>
      <c r="N550" s="57"/>
      <c r="O550" s="57"/>
      <c r="P550" s="57"/>
      <c r="Q550" s="57"/>
      <c r="R550" s="2103"/>
      <c r="S550" s="254"/>
    </row>
    <row r="551" spans="1:19">
      <c r="A551" s="254"/>
      <c r="B551" s="57"/>
      <c r="C551" s="57"/>
      <c r="D551" s="57"/>
      <c r="E551" s="57"/>
      <c r="F551" s="57"/>
      <c r="G551" s="57"/>
      <c r="H551" s="57"/>
      <c r="I551" s="57"/>
      <c r="J551" s="57"/>
      <c r="K551" s="57"/>
      <c r="L551" s="57"/>
      <c r="M551" s="57"/>
      <c r="N551" s="57"/>
      <c r="O551" s="57"/>
      <c r="P551" s="57"/>
      <c r="Q551" s="57"/>
      <c r="R551" s="2103"/>
      <c r="S551" s="254"/>
    </row>
    <row r="552" spans="1:19">
      <c r="A552" s="254"/>
      <c r="B552" s="57"/>
      <c r="C552" s="57"/>
      <c r="D552" s="57"/>
      <c r="E552" s="57"/>
      <c r="F552" s="57"/>
      <c r="G552" s="57"/>
      <c r="H552" s="57"/>
      <c r="I552" s="57"/>
      <c r="J552" s="57"/>
      <c r="K552" s="57"/>
      <c r="L552" s="57"/>
      <c r="M552" s="57"/>
      <c r="N552" s="57"/>
      <c r="O552" s="57"/>
      <c r="P552" s="57"/>
      <c r="Q552" s="57"/>
      <c r="R552" s="2103"/>
      <c r="S552" s="254"/>
    </row>
    <row r="553" spans="1:19">
      <c r="A553" s="254"/>
      <c r="B553" s="57"/>
      <c r="C553" s="57"/>
      <c r="D553" s="57"/>
      <c r="E553" s="57"/>
      <c r="F553" s="57"/>
      <c r="G553" s="57"/>
      <c r="H553" s="57"/>
      <c r="I553" s="57"/>
      <c r="J553" s="57"/>
      <c r="K553" s="57"/>
      <c r="L553" s="57"/>
      <c r="M553" s="57"/>
      <c r="N553" s="57"/>
      <c r="O553" s="57"/>
      <c r="P553" s="57"/>
      <c r="Q553" s="57"/>
      <c r="R553" s="2103"/>
      <c r="S553" s="254"/>
    </row>
    <row r="554" spans="1:19">
      <c r="A554" s="254"/>
      <c r="B554" s="57"/>
      <c r="C554" s="57"/>
      <c r="D554" s="57"/>
      <c r="E554" s="57"/>
      <c r="F554" s="57"/>
      <c r="G554" s="57"/>
      <c r="H554" s="57"/>
      <c r="I554" s="57"/>
      <c r="J554" s="57"/>
      <c r="K554" s="57"/>
      <c r="L554" s="57"/>
      <c r="M554" s="57"/>
      <c r="N554" s="57"/>
      <c r="O554" s="57"/>
      <c r="P554" s="57"/>
      <c r="Q554" s="57"/>
      <c r="R554" s="2103"/>
      <c r="S554" s="254"/>
    </row>
    <row r="555" spans="1:19">
      <c r="A555" s="254"/>
      <c r="B555" s="57"/>
      <c r="C555" s="57"/>
      <c r="D555" s="57"/>
      <c r="E555" s="57"/>
      <c r="F555" s="57"/>
      <c r="G555" s="57"/>
      <c r="H555" s="57"/>
      <c r="I555" s="57"/>
      <c r="J555" s="57"/>
      <c r="K555" s="57"/>
      <c r="L555" s="57"/>
      <c r="M555" s="57"/>
      <c r="N555" s="57"/>
      <c r="O555" s="57"/>
      <c r="P555" s="57"/>
      <c r="Q555" s="57"/>
      <c r="R555" s="2103"/>
      <c r="S555" s="254"/>
    </row>
    <row r="556" spans="1:19">
      <c r="A556" s="254"/>
      <c r="B556" s="57"/>
      <c r="C556" s="57"/>
      <c r="D556" s="57"/>
      <c r="E556" s="57"/>
      <c r="F556" s="57"/>
      <c r="G556" s="57"/>
      <c r="H556" s="57"/>
      <c r="I556" s="57"/>
      <c r="J556" s="57"/>
      <c r="K556" s="57"/>
      <c r="L556" s="57"/>
      <c r="M556" s="57"/>
      <c r="N556" s="57"/>
      <c r="O556" s="57"/>
      <c r="P556" s="57"/>
      <c r="Q556" s="57"/>
      <c r="R556" s="2103"/>
      <c r="S556" s="254"/>
    </row>
    <row r="557" spans="1:19">
      <c r="A557" s="254"/>
      <c r="B557" s="57"/>
      <c r="C557" s="57"/>
      <c r="D557" s="57"/>
      <c r="E557" s="57"/>
      <c r="F557" s="57"/>
      <c r="G557" s="57"/>
      <c r="H557" s="57"/>
      <c r="I557" s="57"/>
      <c r="J557" s="57"/>
      <c r="K557" s="57"/>
      <c r="L557" s="57"/>
      <c r="M557" s="57"/>
      <c r="N557" s="57"/>
      <c r="O557" s="57"/>
      <c r="P557" s="57"/>
      <c r="Q557" s="57"/>
      <c r="R557" s="2103"/>
      <c r="S557" s="254"/>
    </row>
    <row r="558" spans="1:19">
      <c r="A558" s="254"/>
      <c r="B558" s="57"/>
      <c r="C558" s="57"/>
      <c r="D558" s="57"/>
      <c r="E558" s="57"/>
      <c r="F558" s="57"/>
      <c r="G558" s="57"/>
      <c r="H558" s="57"/>
      <c r="I558" s="57"/>
      <c r="J558" s="57"/>
      <c r="K558" s="57"/>
      <c r="L558" s="57"/>
      <c r="M558" s="57"/>
      <c r="N558" s="57"/>
      <c r="O558" s="57"/>
      <c r="P558" s="57"/>
      <c r="Q558" s="57"/>
      <c r="R558" s="2103"/>
      <c r="S558" s="254"/>
    </row>
    <row r="559" spans="1:19">
      <c r="A559" s="254"/>
      <c r="B559" s="57"/>
      <c r="C559" s="57"/>
      <c r="D559" s="57"/>
      <c r="E559" s="57"/>
      <c r="F559" s="57"/>
      <c r="G559" s="57"/>
      <c r="H559" s="57"/>
      <c r="I559" s="57"/>
      <c r="J559" s="57"/>
      <c r="K559" s="57"/>
      <c r="L559" s="57"/>
      <c r="M559" s="57"/>
      <c r="N559" s="57"/>
      <c r="O559" s="57"/>
      <c r="P559" s="57"/>
      <c r="Q559" s="57"/>
      <c r="R559" s="2103"/>
      <c r="S559" s="254"/>
    </row>
    <row r="560" spans="1:19">
      <c r="A560" s="254"/>
      <c r="B560" s="57"/>
      <c r="C560" s="57"/>
      <c r="D560" s="57"/>
      <c r="E560" s="57"/>
      <c r="F560" s="57"/>
      <c r="G560" s="57"/>
      <c r="H560" s="57"/>
      <c r="I560" s="57"/>
      <c r="J560" s="57"/>
      <c r="K560" s="57"/>
      <c r="L560" s="57"/>
      <c r="M560" s="57"/>
      <c r="N560" s="57"/>
      <c r="O560" s="57"/>
      <c r="P560" s="57"/>
      <c r="Q560" s="57"/>
      <c r="R560" s="2103"/>
      <c r="S560" s="254"/>
    </row>
    <row r="561" spans="1:19">
      <c r="A561" s="254"/>
      <c r="B561" s="57"/>
      <c r="C561" s="57"/>
      <c r="D561" s="57"/>
      <c r="E561" s="57"/>
      <c r="F561" s="57"/>
      <c r="G561" s="57"/>
      <c r="H561" s="57"/>
      <c r="I561" s="57"/>
      <c r="J561" s="57"/>
      <c r="K561" s="57"/>
      <c r="L561" s="57"/>
      <c r="M561" s="57"/>
      <c r="N561" s="57"/>
      <c r="O561" s="57"/>
      <c r="P561" s="57"/>
      <c r="Q561" s="57"/>
      <c r="R561" s="2103"/>
      <c r="S561" s="254"/>
    </row>
    <row r="562" spans="1:19">
      <c r="A562" s="254"/>
      <c r="B562" s="57"/>
      <c r="C562" s="57"/>
      <c r="D562" s="57"/>
      <c r="E562" s="57"/>
      <c r="F562" s="57"/>
      <c r="G562" s="57"/>
      <c r="H562" s="57"/>
      <c r="I562" s="57"/>
      <c r="J562" s="57"/>
      <c r="K562" s="57"/>
      <c r="L562" s="57"/>
      <c r="M562" s="57"/>
      <c r="N562" s="57"/>
      <c r="O562" s="57"/>
      <c r="P562" s="57"/>
      <c r="Q562" s="57"/>
      <c r="R562" s="2103"/>
      <c r="S562" s="254"/>
    </row>
    <row r="563" spans="1:19">
      <c r="A563" s="254"/>
      <c r="B563" s="57"/>
      <c r="C563" s="57"/>
      <c r="D563" s="57"/>
      <c r="E563" s="57"/>
      <c r="F563" s="57"/>
      <c r="G563" s="57"/>
      <c r="H563" s="57"/>
      <c r="I563" s="57"/>
      <c r="J563" s="57"/>
      <c r="K563" s="57"/>
      <c r="L563" s="57"/>
      <c r="M563" s="57"/>
      <c r="N563" s="57"/>
      <c r="O563" s="57"/>
      <c r="P563" s="57"/>
      <c r="Q563" s="57"/>
      <c r="R563" s="2103"/>
      <c r="S563" s="254"/>
    </row>
    <row r="564" spans="1:19">
      <c r="A564" s="254"/>
      <c r="B564" s="57"/>
      <c r="C564" s="57"/>
      <c r="D564" s="57"/>
      <c r="E564" s="57"/>
      <c r="F564" s="57"/>
      <c r="G564" s="57"/>
      <c r="H564" s="57"/>
      <c r="I564" s="57"/>
      <c r="J564" s="57"/>
      <c r="K564" s="57"/>
      <c r="L564" s="57"/>
      <c r="M564" s="57"/>
      <c r="N564" s="57"/>
      <c r="O564" s="57"/>
      <c r="P564" s="57"/>
      <c r="Q564" s="57"/>
      <c r="R564" s="2103"/>
      <c r="S564" s="254"/>
    </row>
    <row r="565" spans="1:19">
      <c r="A565" s="254"/>
      <c r="B565" s="57"/>
      <c r="C565" s="57"/>
      <c r="D565" s="57"/>
      <c r="E565" s="57"/>
      <c r="F565" s="57"/>
      <c r="G565" s="57"/>
      <c r="H565" s="57"/>
      <c r="I565" s="57"/>
      <c r="J565" s="57"/>
      <c r="K565" s="57"/>
      <c r="L565" s="57"/>
      <c r="M565" s="57"/>
      <c r="N565" s="57"/>
      <c r="O565" s="57"/>
      <c r="P565" s="57"/>
      <c r="Q565" s="57"/>
      <c r="R565" s="2103"/>
      <c r="S565" s="254"/>
    </row>
    <row r="566" spans="1:19">
      <c r="A566" s="254"/>
      <c r="B566" s="57"/>
      <c r="C566" s="57"/>
      <c r="D566" s="57"/>
      <c r="E566" s="57"/>
      <c r="F566" s="57"/>
      <c r="G566" s="57"/>
      <c r="H566" s="57"/>
      <c r="I566" s="57"/>
      <c r="J566" s="57"/>
      <c r="K566" s="57"/>
      <c r="L566" s="57"/>
      <c r="M566" s="57"/>
      <c r="N566" s="57"/>
      <c r="O566" s="57"/>
      <c r="P566" s="57"/>
      <c r="Q566" s="57"/>
      <c r="R566" s="2103"/>
      <c r="S566" s="254"/>
    </row>
    <row r="567" spans="1:19">
      <c r="A567" s="254"/>
      <c r="B567" s="57"/>
      <c r="C567" s="57"/>
      <c r="D567" s="57"/>
      <c r="E567" s="57"/>
      <c r="F567" s="57"/>
      <c r="G567" s="57"/>
      <c r="H567" s="57"/>
      <c r="I567" s="57"/>
      <c r="J567" s="57"/>
      <c r="K567" s="57"/>
      <c r="L567" s="57"/>
      <c r="M567" s="57"/>
      <c r="N567" s="57"/>
      <c r="O567" s="57"/>
      <c r="P567" s="57"/>
      <c r="Q567" s="57"/>
      <c r="R567" s="2103"/>
      <c r="S567" s="254"/>
    </row>
    <row r="568" spans="1:19">
      <c r="A568" s="254"/>
      <c r="B568" s="57"/>
      <c r="C568" s="57"/>
      <c r="D568" s="57"/>
      <c r="E568" s="57"/>
      <c r="F568" s="57"/>
      <c r="G568" s="57"/>
      <c r="H568" s="57"/>
      <c r="I568" s="57"/>
      <c r="J568" s="57"/>
      <c r="K568" s="57"/>
      <c r="L568" s="57"/>
      <c r="M568" s="57"/>
      <c r="N568" s="57"/>
      <c r="O568" s="57"/>
      <c r="P568" s="57"/>
      <c r="Q568" s="57"/>
      <c r="R568" s="2103"/>
      <c r="S568" s="254"/>
    </row>
    <row r="569" spans="1:19">
      <c r="A569" s="254"/>
      <c r="B569" s="57"/>
      <c r="C569" s="57"/>
      <c r="D569" s="57"/>
      <c r="E569" s="57"/>
      <c r="F569" s="57"/>
      <c r="G569" s="57"/>
      <c r="H569" s="57"/>
      <c r="I569" s="57"/>
      <c r="J569" s="57"/>
      <c r="K569" s="57"/>
      <c r="L569" s="57"/>
      <c r="M569" s="57"/>
      <c r="N569" s="57"/>
      <c r="O569" s="57"/>
      <c r="P569" s="57"/>
      <c r="Q569" s="57"/>
      <c r="R569" s="2103"/>
      <c r="S569" s="254"/>
    </row>
    <row r="570" spans="1:19">
      <c r="A570" s="254"/>
      <c r="B570" s="57"/>
      <c r="C570" s="57"/>
      <c r="D570" s="57"/>
      <c r="E570" s="57"/>
      <c r="F570" s="57"/>
      <c r="G570" s="57"/>
      <c r="H570" s="57"/>
      <c r="I570" s="57"/>
      <c r="J570" s="57"/>
      <c r="K570" s="57"/>
      <c r="L570" s="57"/>
      <c r="M570" s="57"/>
      <c r="N570" s="57"/>
      <c r="O570" s="57"/>
      <c r="P570" s="57"/>
      <c r="Q570" s="57"/>
      <c r="R570" s="2103"/>
      <c r="S570" s="254"/>
    </row>
    <row r="571" spans="1:19">
      <c r="A571" s="254"/>
      <c r="B571" s="57"/>
      <c r="C571" s="57"/>
      <c r="D571" s="57"/>
      <c r="E571" s="57"/>
      <c r="F571" s="57"/>
      <c r="G571" s="57"/>
      <c r="H571" s="57"/>
      <c r="I571" s="57"/>
      <c r="J571" s="57"/>
      <c r="K571" s="57"/>
      <c r="L571" s="57"/>
      <c r="M571" s="57"/>
      <c r="N571" s="57"/>
      <c r="O571" s="57"/>
      <c r="P571" s="57"/>
      <c r="Q571" s="57"/>
      <c r="R571" s="2103"/>
      <c r="S571" s="254"/>
    </row>
    <row r="572" spans="1:19">
      <c r="A572" s="254"/>
      <c r="B572" s="57"/>
      <c r="C572" s="57"/>
      <c r="D572" s="57"/>
      <c r="E572" s="57"/>
      <c r="F572" s="57"/>
      <c r="G572" s="57"/>
      <c r="H572" s="57"/>
      <c r="I572" s="57"/>
      <c r="J572" s="57"/>
      <c r="K572" s="57"/>
      <c r="L572" s="57"/>
      <c r="M572" s="57"/>
      <c r="N572" s="57"/>
      <c r="O572" s="57"/>
      <c r="P572" s="57"/>
      <c r="Q572" s="57"/>
      <c r="R572" s="2103"/>
      <c r="S572" s="254"/>
    </row>
    <row r="573" spans="1:19">
      <c r="A573" s="254"/>
      <c r="B573" s="57"/>
      <c r="C573" s="57"/>
      <c r="D573" s="57"/>
      <c r="E573" s="57"/>
      <c r="F573" s="57"/>
      <c r="G573" s="57"/>
      <c r="H573" s="57"/>
      <c r="I573" s="57"/>
      <c r="J573" s="57"/>
      <c r="K573" s="57"/>
      <c r="L573" s="57"/>
      <c r="M573" s="57"/>
      <c r="N573" s="57"/>
      <c r="O573" s="57"/>
      <c r="P573" s="57"/>
      <c r="Q573" s="57"/>
      <c r="R573" s="2103"/>
      <c r="S573" s="254"/>
    </row>
    <row r="574" spans="1:19">
      <c r="A574" s="254"/>
      <c r="B574" s="57"/>
      <c r="C574" s="57"/>
      <c r="D574" s="57"/>
      <c r="E574" s="57"/>
      <c r="F574" s="57"/>
      <c r="G574" s="57"/>
      <c r="H574" s="57"/>
      <c r="I574" s="57"/>
      <c r="J574" s="57"/>
      <c r="K574" s="57"/>
      <c r="L574" s="57"/>
      <c r="M574" s="57"/>
      <c r="N574" s="57"/>
      <c r="O574" s="57"/>
      <c r="P574" s="57"/>
      <c r="Q574" s="57"/>
      <c r="R574" s="2103"/>
      <c r="S574" s="254"/>
    </row>
    <row r="575" spans="1:19">
      <c r="A575" s="254"/>
      <c r="B575" s="57"/>
      <c r="C575" s="57"/>
      <c r="D575" s="57"/>
      <c r="E575" s="57"/>
      <c r="F575" s="57"/>
      <c r="G575" s="57"/>
      <c r="H575" s="57"/>
      <c r="I575" s="57"/>
      <c r="J575" s="57"/>
      <c r="K575" s="57"/>
      <c r="L575" s="57"/>
      <c r="M575" s="57"/>
      <c r="N575" s="57"/>
      <c r="O575" s="57"/>
      <c r="P575" s="57"/>
      <c r="Q575" s="57"/>
      <c r="R575" s="2103"/>
      <c r="S575" s="254"/>
    </row>
    <row r="576" spans="1:19">
      <c r="A576" s="254"/>
      <c r="B576" s="57"/>
      <c r="C576" s="57"/>
      <c r="D576" s="57"/>
      <c r="E576" s="57"/>
      <c r="F576" s="57"/>
      <c r="G576" s="57"/>
      <c r="H576" s="57"/>
      <c r="I576" s="57"/>
      <c r="J576" s="57"/>
      <c r="K576" s="57"/>
      <c r="L576" s="57"/>
      <c r="M576" s="57"/>
      <c r="N576" s="57"/>
      <c r="O576" s="57"/>
      <c r="P576" s="57"/>
      <c r="Q576" s="57"/>
      <c r="R576" s="2103"/>
      <c r="S576" s="254"/>
    </row>
    <row r="577" spans="1:19">
      <c r="A577" s="254"/>
      <c r="B577" s="57"/>
      <c r="C577" s="57"/>
      <c r="D577" s="57"/>
      <c r="E577" s="57"/>
      <c r="F577" s="57"/>
      <c r="G577" s="57"/>
      <c r="H577" s="57"/>
      <c r="I577" s="57"/>
      <c r="J577" s="57"/>
      <c r="K577" s="57"/>
      <c r="L577" s="57"/>
      <c r="M577" s="57"/>
      <c r="N577" s="57"/>
      <c r="O577" s="57"/>
      <c r="P577" s="57"/>
      <c r="Q577" s="57"/>
      <c r="R577" s="2103"/>
      <c r="S577" s="254"/>
    </row>
    <row r="578" spans="1:19">
      <c r="A578" s="254"/>
      <c r="B578" s="57"/>
      <c r="C578" s="57"/>
      <c r="D578" s="57"/>
      <c r="E578" s="57"/>
      <c r="F578" s="57"/>
      <c r="G578" s="57"/>
      <c r="H578" s="57"/>
      <c r="I578" s="57"/>
      <c r="J578" s="57"/>
      <c r="K578" s="57"/>
      <c r="L578" s="57"/>
      <c r="M578" s="57"/>
      <c r="N578" s="57"/>
      <c r="O578" s="57"/>
      <c r="P578" s="57"/>
      <c r="Q578" s="57"/>
      <c r="R578" s="2103"/>
      <c r="S578" s="254"/>
    </row>
    <row r="579" spans="1:19">
      <c r="A579" s="254"/>
      <c r="B579" s="57"/>
      <c r="C579" s="57"/>
      <c r="D579" s="57"/>
      <c r="E579" s="57"/>
      <c r="F579" s="57"/>
      <c r="G579" s="57"/>
      <c r="H579" s="57"/>
      <c r="I579" s="57"/>
      <c r="J579" s="57"/>
      <c r="K579" s="57"/>
      <c r="L579" s="57"/>
      <c r="M579" s="57"/>
      <c r="N579" s="57"/>
      <c r="O579" s="57"/>
      <c r="P579" s="57"/>
      <c r="Q579" s="57"/>
      <c r="R579" s="2103"/>
      <c r="S579" s="254"/>
    </row>
    <row r="580" spans="1:19">
      <c r="A580" s="254"/>
      <c r="B580" s="57"/>
      <c r="C580" s="57"/>
      <c r="D580" s="57"/>
      <c r="E580" s="57"/>
      <c r="F580" s="57"/>
      <c r="G580" s="57"/>
      <c r="H580" s="57"/>
      <c r="I580" s="57"/>
      <c r="J580" s="57"/>
      <c r="K580" s="57"/>
      <c r="L580" s="57"/>
      <c r="M580" s="57"/>
      <c r="N580" s="57"/>
      <c r="O580" s="57"/>
      <c r="P580" s="57"/>
      <c r="Q580" s="57"/>
      <c r="R580" s="2103"/>
      <c r="S580" s="254"/>
    </row>
    <row r="581" spans="1:19">
      <c r="A581" s="254"/>
      <c r="B581" s="57"/>
      <c r="C581" s="57"/>
      <c r="D581" s="57"/>
      <c r="E581" s="57"/>
      <c r="F581" s="57"/>
      <c r="G581" s="57"/>
      <c r="H581" s="57"/>
      <c r="I581" s="57"/>
      <c r="J581" s="57"/>
      <c r="K581" s="57"/>
      <c r="L581" s="57"/>
      <c r="M581" s="57"/>
      <c r="N581" s="57"/>
      <c r="O581" s="57"/>
      <c r="P581" s="57"/>
      <c r="Q581" s="57"/>
      <c r="R581" s="2103"/>
      <c r="S581" s="254"/>
    </row>
    <row r="582" spans="1:19">
      <c r="A582" s="254"/>
      <c r="B582" s="57"/>
      <c r="C582" s="57"/>
      <c r="D582" s="57"/>
      <c r="E582" s="57"/>
      <c r="F582" s="57"/>
      <c r="G582" s="57"/>
      <c r="H582" s="57"/>
      <c r="I582" s="57"/>
      <c r="J582" s="57"/>
      <c r="K582" s="57"/>
      <c r="L582" s="57"/>
      <c r="M582" s="57"/>
      <c r="N582" s="57"/>
      <c r="O582" s="57"/>
      <c r="P582" s="57"/>
      <c r="Q582" s="57"/>
      <c r="R582" s="2103"/>
      <c r="S582" s="254"/>
    </row>
    <row r="583" spans="1:19">
      <c r="A583" s="254"/>
      <c r="B583" s="57"/>
      <c r="C583" s="57"/>
      <c r="D583" s="57"/>
      <c r="E583" s="57"/>
      <c r="F583" s="57"/>
      <c r="G583" s="57"/>
      <c r="H583" s="57"/>
      <c r="I583" s="57"/>
      <c r="J583" s="57"/>
      <c r="K583" s="57"/>
      <c r="L583" s="57"/>
      <c r="M583" s="57"/>
      <c r="N583" s="57"/>
      <c r="O583" s="57"/>
      <c r="P583" s="57"/>
      <c r="Q583" s="57"/>
      <c r="R583" s="2103"/>
      <c r="S583" s="254"/>
    </row>
    <row r="584" spans="1:19">
      <c r="A584" s="254"/>
      <c r="B584" s="57"/>
      <c r="C584" s="57"/>
      <c r="D584" s="57"/>
      <c r="E584" s="57"/>
      <c r="F584" s="57"/>
      <c r="G584" s="57"/>
      <c r="H584" s="57"/>
      <c r="I584" s="57"/>
      <c r="J584" s="57"/>
      <c r="K584" s="57"/>
      <c r="L584" s="57"/>
      <c r="M584" s="57"/>
      <c r="N584" s="57"/>
      <c r="O584" s="57"/>
      <c r="P584" s="57"/>
      <c r="Q584" s="57"/>
      <c r="R584" s="2103"/>
      <c r="S584" s="254"/>
    </row>
    <row r="585" spans="1:19">
      <c r="A585" s="254"/>
      <c r="B585" s="57"/>
      <c r="C585" s="57"/>
      <c r="D585" s="57"/>
      <c r="E585" s="57"/>
      <c r="F585" s="57"/>
      <c r="G585" s="57"/>
      <c r="H585" s="57"/>
      <c r="I585" s="57"/>
      <c r="J585" s="57"/>
      <c r="K585" s="57"/>
      <c r="L585" s="57"/>
      <c r="M585" s="57"/>
      <c r="N585" s="57"/>
      <c r="O585" s="57"/>
      <c r="P585" s="57"/>
      <c r="Q585" s="57"/>
      <c r="R585" s="2103"/>
      <c r="S585" s="254"/>
    </row>
    <row r="586" spans="1:19">
      <c r="A586" s="254"/>
      <c r="B586" s="57"/>
      <c r="C586" s="57"/>
      <c r="D586" s="57"/>
      <c r="E586" s="57"/>
      <c r="F586" s="57"/>
      <c r="G586" s="57"/>
      <c r="H586" s="57"/>
      <c r="I586" s="57"/>
      <c r="J586" s="57"/>
      <c r="K586" s="57"/>
      <c r="L586" s="57"/>
      <c r="M586" s="57"/>
      <c r="N586" s="57"/>
      <c r="O586" s="57"/>
      <c r="P586" s="57"/>
      <c r="Q586" s="57"/>
      <c r="R586" s="2103"/>
      <c r="S586" s="254"/>
    </row>
    <row r="587" spans="1:19">
      <c r="A587" s="254"/>
      <c r="B587" s="57"/>
      <c r="C587" s="57"/>
      <c r="D587" s="57"/>
      <c r="E587" s="57"/>
      <c r="F587" s="57"/>
      <c r="G587" s="57"/>
      <c r="H587" s="57"/>
      <c r="I587" s="57"/>
      <c r="J587" s="57"/>
      <c r="K587" s="57"/>
      <c r="L587" s="57"/>
      <c r="M587" s="57"/>
      <c r="N587" s="57"/>
      <c r="O587" s="57"/>
      <c r="P587" s="57"/>
      <c r="Q587" s="57"/>
      <c r="R587" s="2103"/>
      <c r="S587" s="254"/>
    </row>
    <row r="588" spans="1:19">
      <c r="A588" s="254"/>
      <c r="B588" s="57"/>
      <c r="C588" s="57"/>
      <c r="D588" s="57"/>
      <c r="E588" s="57"/>
      <c r="F588" s="57"/>
      <c r="G588" s="57"/>
      <c r="H588" s="57"/>
      <c r="I588" s="57"/>
      <c r="J588" s="57"/>
      <c r="K588" s="57"/>
      <c r="L588" s="57"/>
      <c r="M588" s="57"/>
      <c r="N588" s="57"/>
      <c r="O588" s="57"/>
      <c r="P588" s="57"/>
      <c r="Q588" s="57"/>
      <c r="R588" s="2103"/>
      <c r="S588" s="254"/>
    </row>
    <row r="589" spans="1:19">
      <c r="A589" s="254"/>
      <c r="B589" s="57"/>
      <c r="C589" s="57"/>
      <c r="D589" s="57"/>
      <c r="E589" s="57"/>
      <c r="F589" s="57"/>
      <c r="G589" s="57"/>
      <c r="H589" s="57"/>
      <c r="I589" s="57"/>
      <c r="J589" s="57"/>
      <c r="K589" s="57"/>
      <c r="L589" s="57"/>
      <c r="M589" s="57"/>
      <c r="N589" s="57"/>
      <c r="O589" s="57"/>
      <c r="P589" s="57"/>
      <c r="Q589" s="57"/>
      <c r="R589" s="2103"/>
      <c r="S589" s="254"/>
    </row>
    <row r="590" spans="1:19">
      <c r="A590" s="254"/>
      <c r="B590" s="57"/>
      <c r="C590" s="57"/>
      <c r="D590" s="57"/>
      <c r="E590" s="57"/>
      <c r="F590" s="57"/>
      <c r="G590" s="57"/>
      <c r="H590" s="57"/>
      <c r="I590" s="57"/>
      <c r="J590" s="57"/>
      <c r="K590" s="57"/>
      <c r="L590" s="57"/>
      <c r="M590" s="57"/>
      <c r="N590" s="57"/>
      <c r="O590" s="57"/>
      <c r="P590" s="57"/>
      <c r="Q590" s="57"/>
      <c r="R590" s="2103"/>
      <c r="S590" s="254"/>
    </row>
    <row r="591" spans="1:19">
      <c r="A591" s="254"/>
      <c r="B591" s="57"/>
      <c r="C591" s="57"/>
      <c r="D591" s="57"/>
      <c r="E591" s="57"/>
      <c r="F591" s="57"/>
      <c r="G591" s="57"/>
      <c r="H591" s="57"/>
      <c r="I591" s="57"/>
      <c r="J591" s="57"/>
      <c r="K591" s="57"/>
      <c r="L591" s="57"/>
      <c r="M591" s="57"/>
      <c r="N591" s="57"/>
      <c r="O591" s="57"/>
      <c r="P591" s="57"/>
      <c r="Q591" s="57"/>
      <c r="R591" s="2103"/>
      <c r="S591" s="254"/>
    </row>
    <row r="592" spans="1:19">
      <c r="A592" s="254"/>
      <c r="B592" s="57"/>
      <c r="C592" s="57"/>
      <c r="D592" s="57"/>
      <c r="E592" s="57"/>
      <c r="F592" s="57"/>
      <c r="G592" s="57"/>
      <c r="H592" s="57"/>
      <c r="I592" s="57"/>
      <c r="J592" s="57"/>
      <c r="K592" s="57"/>
      <c r="L592" s="57"/>
      <c r="M592" s="57"/>
      <c r="N592" s="57"/>
      <c r="O592" s="57"/>
      <c r="P592" s="57"/>
      <c r="Q592" s="57"/>
      <c r="R592" s="2103"/>
      <c r="S592" s="254"/>
    </row>
    <row r="593" spans="1:19">
      <c r="A593" s="254"/>
      <c r="B593" s="57"/>
      <c r="C593" s="57"/>
      <c r="D593" s="57"/>
      <c r="E593" s="57"/>
      <c r="F593" s="57"/>
      <c r="G593" s="57"/>
      <c r="H593" s="57"/>
      <c r="I593" s="57"/>
      <c r="J593" s="57"/>
      <c r="K593" s="57"/>
      <c r="L593" s="57"/>
      <c r="M593" s="57"/>
      <c r="N593" s="57"/>
      <c r="O593" s="57"/>
      <c r="P593" s="57"/>
      <c r="Q593" s="57"/>
      <c r="R593" s="2103"/>
      <c r="S593" s="254"/>
    </row>
    <row r="594" spans="1:19">
      <c r="A594" s="254"/>
      <c r="B594" s="57"/>
      <c r="C594" s="57"/>
      <c r="D594" s="57"/>
      <c r="E594" s="57"/>
      <c r="F594" s="57"/>
      <c r="G594" s="57"/>
      <c r="H594" s="57"/>
      <c r="I594" s="57"/>
      <c r="J594" s="57"/>
      <c r="K594" s="57"/>
      <c r="L594" s="57"/>
      <c r="M594" s="57"/>
      <c r="N594" s="57"/>
      <c r="O594" s="57"/>
      <c r="P594" s="57"/>
      <c r="Q594" s="57"/>
      <c r="R594" s="2103"/>
      <c r="S594" s="254"/>
    </row>
    <row r="595" spans="1:19">
      <c r="A595" s="254"/>
      <c r="B595" s="57"/>
      <c r="C595" s="57"/>
      <c r="D595" s="57"/>
      <c r="E595" s="57"/>
      <c r="F595" s="57"/>
      <c r="G595" s="57"/>
      <c r="H595" s="57"/>
      <c r="I595" s="57"/>
      <c r="J595" s="57"/>
      <c r="K595" s="57"/>
      <c r="L595" s="57"/>
      <c r="M595" s="57"/>
      <c r="N595" s="57"/>
      <c r="O595" s="57"/>
      <c r="P595" s="57"/>
      <c r="Q595" s="57"/>
      <c r="R595" s="2103"/>
      <c r="S595" s="254"/>
    </row>
    <row r="596" spans="1:19">
      <c r="A596" s="254"/>
      <c r="B596" s="57"/>
      <c r="C596" s="57"/>
      <c r="D596" s="57"/>
      <c r="E596" s="57"/>
      <c r="F596" s="57"/>
      <c r="G596" s="57"/>
      <c r="H596" s="57"/>
      <c r="I596" s="57"/>
      <c r="J596" s="57"/>
      <c r="K596" s="57"/>
      <c r="L596" s="57"/>
      <c r="M596" s="57"/>
      <c r="N596" s="57"/>
      <c r="O596" s="57"/>
      <c r="P596" s="57"/>
      <c r="Q596" s="57"/>
      <c r="R596" s="2103"/>
      <c r="S596" s="254"/>
    </row>
    <row r="597" spans="1:19">
      <c r="A597" s="254"/>
      <c r="B597" s="57"/>
      <c r="C597" s="57"/>
      <c r="D597" s="57"/>
      <c r="E597" s="57"/>
      <c r="F597" s="57"/>
      <c r="G597" s="57"/>
      <c r="H597" s="57"/>
      <c r="I597" s="57"/>
      <c r="J597" s="57"/>
      <c r="K597" s="57"/>
      <c r="L597" s="57"/>
      <c r="M597" s="57"/>
      <c r="N597" s="57"/>
      <c r="O597" s="57"/>
      <c r="P597" s="57"/>
      <c r="Q597" s="57"/>
      <c r="R597" s="2103"/>
      <c r="S597" s="254"/>
    </row>
    <row r="598" spans="1:19">
      <c r="A598" s="254"/>
      <c r="B598" s="57"/>
      <c r="C598" s="57"/>
      <c r="D598" s="57"/>
      <c r="E598" s="57"/>
      <c r="F598" s="57"/>
      <c r="G598" s="57"/>
      <c r="H598" s="57"/>
      <c r="I598" s="57"/>
      <c r="J598" s="57"/>
      <c r="K598" s="57"/>
      <c r="L598" s="57"/>
      <c r="M598" s="57"/>
      <c r="N598" s="57"/>
      <c r="O598" s="57"/>
      <c r="P598" s="57"/>
      <c r="Q598" s="57"/>
      <c r="R598" s="2103"/>
      <c r="S598" s="254"/>
    </row>
    <row r="599" spans="1:19">
      <c r="A599" s="254"/>
      <c r="B599" s="57"/>
      <c r="C599" s="57"/>
      <c r="D599" s="57"/>
      <c r="E599" s="57"/>
      <c r="F599" s="57"/>
      <c r="G599" s="57"/>
      <c r="H599" s="57"/>
      <c r="I599" s="57"/>
      <c r="J599" s="57"/>
      <c r="K599" s="57"/>
      <c r="L599" s="57"/>
      <c r="M599" s="57"/>
      <c r="N599" s="57"/>
      <c r="O599" s="57"/>
      <c r="P599" s="57"/>
      <c r="Q599" s="57"/>
      <c r="R599" s="2103"/>
      <c r="S599" s="254"/>
    </row>
    <row r="600" spans="1:19">
      <c r="A600" s="254"/>
      <c r="B600" s="57"/>
      <c r="C600" s="57"/>
      <c r="D600" s="57"/>
      <c r="E600" s="57"/>
      <c r="F600" s="57"/>
      <c r="G600" s="57"/>
      <c r="H600" s="57"/>
      <c r="I600" s="57"/>
      <c r="J600" s="57"/>
      <c r="K600" s="57"/>
      <c r="L600" s="57"/>
      <c r="M600" s="57"/>
      <c r="N600" s="57"/>
      <c r="O600" s="57"/>
      <c r="P600" s="57"/>
      <c r="Q600" s="57"/>
      <c r="R600" s="2103"/>
      <c r="S600" s="254"/>
    </row>
    <row r="601" spans="1:19">
      <c r="A601" s="254"/>
      <c r="B601" s="57"/>
      <c r="C601" s="57"/>
      <c r="D601" s="57"/>
      <c r="E601" s="57"/>
      <c r="F601" s="57"/>
      <c r="G601" s="57"/>
      <c r="H601" s="57"/>
      <c r="I601" s="57"/>
      <c r="J601" s="57"/>
      <c r="K601" s="57"/>
      <c r="L601" s="57"/>
      <c r="M601" s="57"/>
      <c r="N601" s="57"/>
      <c r="O601" s="57"/>
      <c r="P601" s="57"/>
      <c r="Q601" s="57"/>
      <c r="R601" s="2103"/>
      <c r="S601" s="254"/>
    </row>
    <row r="602" spans="1:19">
      <c r="A602" s="254"/>
      <c r="B602" s="57"/>
      <c r="C602" s="57"/>
      <c r="D602" s="57"/>
      <c r="E602" s="57"/>
      <c r="F602" s="57"/>
      <c r="G602" s="57"/>
      <c r="H602" s="57"/>
      <c r="I602" s="57"/>
      <c r="J602" s="57"/>
      <c r="K602" s="57"/>
      <c r="L602" s="57"/>
      <c r="M602" s="57"/>
      <c r="N602" s="57"/>
      <c r="O602" s="57"/>
      <c r="P602" s="57"/>
      <c r="Q602" s="57"/>
      <c r="R602" s="2103"/>
      <c r="S602" s="254"/>
    </row>
    <row r="603" spans="1:19">
      <c r="A603" s="254"/>
      <c r="B603" s="57"/>
      <c r="C603" s="57"/>
      <c r="D603" s="57"/>
      <c r="E603" s="57"/>
      <c r="F603" s="57"/>
      <c r="G603" s="57"/>
      <c r="H603" s="57"/>
      <c r="I603" s="57"/>
      <c r="J603" s="57"/>
      <c r="K603" s="57"/>
      <c r="L603" s="57"/>
      <c r="M603" s="57"/>
      <c r="N603" s="57"/>
      <c r="O603" s="57"/>
      <c r="P603" s="57"/>
      <c r="Q603" s="57"/>
      <c r="R603" s="2103"/>
      <c r="S603" s="254"/>
    </row>
    <row r="604" spans="1:19">
      <c r="A604" s="254"/>
      <c r="B604" s="57"/>
      <c r="C604" s="57"/>
      <c r="D604" s="57"/>
      <c r="E604" s="57"/>
      <c r="F604" s="57"/>
      <c r="G604" s="57"/>
      <c r="H604" s="57"/>
      <c r="I604" s="57"/>
      <c r="J604" s="57"/>
      <c r="K604" s="57"/>
      <c r="L604" s="57"/>
      <c r="M604" s="57"/>
      <c r="N604" s="57"/>
      <c r="O604" s="57"/>
      <c r="P604" s="57"/>
      <c r="Q604" s="57"/>
      <c r="R604" s="2103"/>
      <c r="S604" s="254"/>
    </row>
    <row r="605" spans="1:19">
      <c r="A605" s="254"/>
      <c r="B605" s="57"/>
      <c r="C605" s="57"/>
      <c r="D605" s="57"/>
      <c r="E605" s="57"/>
      <c r="F605" s="57"/>
      <c r="G605" s="57"/>
      <c r="H605" s="57"/>
      <c r="I605" s="57"/>
      <c r="J605" s="57"/>
      <c r="K605" s="57"/>
      <c r="L605" s="57"/>
      <c r="M605" s="57"/>
      <c r="N605" s="57"/>
      <c r="O605" s="57"/>
      <c r="P605" s="57"/>
      <c r="Q605" s="57"/>
      <c r="R605" s="2103"/>
      <c r="S605" s="254"/>
    </row>
    <row r="606" spans="1:19">
      <c r="A606" s="254"/>
      <c r="B606" s="57"/>
      <c r="C606" s="57"/>
      <c r="D606" s="57"/>
      <c r="E606" s="57"/>
      <c r="F606" s="57"/>
      <c r="G606" s="57"/>
      <c r="H606" s="57"/>
      <c r="I606" s="57"/>
      <c r="J606" s="57"/>
      <c r="K606" s="57"/>
      <c r="L606" s="57"/>
      <c r="M606" s="57"/>
      <c r="N606" s="57"/>
      <c r="O606" s="57"/>
      <c r="P606" s="57"/>
      <c r="Q606" s="57"/>
      <c r="R606" s="2103"/>
      <c r="S606" s="254"/>
    </row>
    <row r="607" spans="1:19">
      <c r="A607" s="254"/>
      <c r="B607" s="57"/>
      <c r="C607" s="57"/>
      <c r="D607" s="57"/>
      <c r="E607" s="57"/>
      <c r="F607" s="57"/>
      <c r="G607" s="57"/>
      <c r="H607" s="57"/>
      <c r="I607" s="57"/>
      <c r="J607" s="57"/>
      <c r="K607" s="57"/>
      <c r="L607" s="57"/>
      <c r="M607" s="57"/>
      <c r="N607" s="57"/>
      <c r="O607" s="57"/>
      <c r="P607" s="57"/>
      <c r="Q607" s="57"/>
      <c r="R607" s="2103"/>
      <c r="S607" s="254"/>
    </row>
    <row r="608" spans="1:19">
      <c r="A608" s="254"/>
      <c r="B608" s="57"/>
      <c r="C608" s="57"/>
      <c r="D608" s="57"/>
      <c r="E608" s="57"/>
      <c r="F608" s="57"/>
      <c r="G608" s="57"/>
      <c r="H608" s="57"/>
      <c r="I608" s="57"/>
      <c r="J608" s="57"/>
      <c r="K608" s="57"/>
      <c r="L608" s="57"/>
      <c r="M608" s="57"/>
      <c r="N608" s="57"/>
      <c r="O608" s="57"/>
      <c r="P608" s="57"/>
      <c r="Q608" s="57"/>
      <c r="R608" s="2103"/>
      <c r="S608" s="254"/>
    </row>
    <row r="609" spans="1:19">
      <c r="A609" s="254"/>
      <c r="B609" s="57"/>
      <c r="C609" s="57"/>
      <c r="D609" s="57"/>
      <c r="E609" s="57"/>
      <c r="F609" s="57"/>
      <c r="G609" s="57"/>
      <c r="H609" s="57"/>
      <c r="I609" s="57"/>
      <c r="J609" s="57"/>
      <c r="K609" s="57"/>
      <c r="L609" s="57"/>
      <c r="M609" s="57"/>
      <c r="N609" s="57"/>
      <c r="O609" s="57"/>
      <c r="P609" s="57"/>
      <c r="Q609" s="57"/>
      <c r="R609" s="2103"/>
      <c r="S609" s="254"/>
    </row>
    <row r="610" spans="1:19">
      <c r="A610" s="254"/>
      <c r="B610" s="57"/>
      <c r="C610" s="57"/>
      <c r="D610" s="57"/>
      <c r="E610" s="57"/>
      <c r="F610" s="57"/>
      <c r="G610" s="57"/>
      <c r="H610" s="57"/>
      <c r="I610" s="57"/>
      <c r="J610" s="57"/>
      <c r="K610" s="57"/>
      <c r="L610" s="57"/>
      <c r="M610" s="57"/>
      <c r="N610" s="57"/>
      <c r="O610" s="57"/>
      <c r="P610" s="57"/>
      <c r="Q610" s="57"/>
      <c r="R610" s="2103"/>
      <c r="S610" s="254"/>
    </row>
    <row r="611" spans="1:19">
      <c r="A611" s="254"/>
      <c r="B611" s="57"/>
      <c r="C611" s="57"/>
      <c r="D611" s="57"/>
      <c r="E611" s="57"/>
      <c r="F611" s="57"/>
      <c r="G611" s="57"/>
      <c r="H611" s="57"/>
      <c r="I611" s="57"/>
      <c r="J611" s="57"/>
      <c r="K611" s="57"/>
      <c r="L611" s="57"/>
      <c r="M611" s="57"/>
      <c r="N611" s="57"/>
      <c r="O611" s="57"/>
      <c r="P611" s="57"/>
      <c r="Q611" s="57"/>
      <c r="R611" s="2103"/>
      <c r="S611" s="254"/>
    </row>
    <row r="612" spans="1:19">
      <c r="A612" s="254"/>
      <c r="B612" s="57"/>
      <c r="C612" s="57"/>
      <c r="D612" s="57"/>
      <c r="E612" s="57"/>
      <c r="F612" s="57"/>
      <c r="G612" s="57"/>
      <c r="H612" s="57"/>
      <c r="I612" s="57"/>
      <c r="J612" s="57"/>
      <c r="K612" s="57"/>
      <c r="L612" s="57"/>
      <c r="M612" s="57"/>
      <c r="N612" s="57"/>
      <c r="O612" s="57"/>
      <c r="P612" s="57"/>
      <c r="Q612" s="57"/>
      <c r="R612" s="2103"/>
      <c r="S612" s="254"/>
    </row>
    <row r="613" spans="1:19">
      <c r="A613" s="254"/>
      <c r="B613" s="57"/>
      <c r="C613" s="57"/>
      <c r="D613" s="57"/>
      <c r="E613" s="57"/>
      <c r="F613" s="57"/>
      <c r="G613" s="57"/>
      <c r="H613" s="57"/>
      <c r="I613" s="57"/>
      <c r="J613" s="57"/>
      <c r="K613" s="57"/>
      <c r="L613" s="57"/>
      <c r="M613" s="57"/>
      <c r="N613" s="57"/>
      <c r="O613" s="57"/>
      <c r="P613" s="57"/>
      <c r="Q613" s="57"/>
      <c r="R613" s="2103"/>
      <c r="S613" s="254"/>
    </row>
    <row r="614" spans="1:19">
      <c r="A614" s="254"/>
      <c r="B614" s="57"/>
      <c r="C614" s="57"/>
      <c r="D614" s="57"/>
      <c r="E614" s="57"/>
      <c r="F614" s="57"/>
      <c r="G614" s="57"/>
      <c r="H614" s="57"/>
      <c r="I614" s="57"/>
      <c r="J614" s="57"/>
      <c r="K614" s="57"/>
      <c r="L614" s="57"/>
      <c r="M614" s="57"/>
      <c r="N614" s="57"/>
      <c r="O614" s="57"/>
      <c r="P614" s="57"/>
      <c r="Q614" s="57"/>
      <c r="R614" s="2103"/>
      <c r="S614" s="254"/>
    </row>
    <row r="615" spans="1:19">
      <c r="A615" s="254"/>
      <c r="B615" s="57"/>
      <c r="C615" s="57"/>
      <c r="D615" s="57"/>
      <c r="E615" s="57"/>
      <c r="F615" s="57"/>
      <c r="G615" s="57"/>
      <c r="H615" s="57"/>
      <c r="I615" s="57"/>
      <c r="J615" s="57"/>
      <c r="K615" s="57"/>
      <c r="L615" s="57"/>
      <c r="M615" s="57"/>
      <c r="N615" s="57"/>
      <c r="O615" s="57"/>
      <c r="P615" s="57"/>
      <c r="Q615" s="57"/>
      <c r="R615" s="2103"/>
      <c r="S615" s="254"/>
    </row>
    <row r="616" spans="1:19">
      <c r="A616" s="254"/>
      <c r="B616" s="57"/>
      <c r="C616" s="57"/>
      <c r="D616" s="57"/>
      <c r="E616" s="57"/>
      <c r="F616" s="57"/>
      <c r="G616" s="57"/>
      <c r="H616" s="57"/>
      <c r="I616" s="57"/>
      <c r="J616" s="57"/>
      <c r="K616" s="57"/>
      <c r="L616" s="57"/>
      <c r="M616" s="57"/>
      <c r="N616" s="57"/>
      <c r="O616" s="57"/>
      <c r="P616" s="57"/>
      <c r="Q616" s="57"/>
      <c r="R616" s="2103"/>
      <c r="S616" s="254"/>
    </row>
    <row r="617" spans="1:19">
      <c r="A617" s="254"/>
      <c r="B617" s="57"/>
      <c r="C617" s="57"/>
      <c r="D617" s="57"/>
      <c r="E617" s="57"/>
      <c r="F617" s="57"/>
      <c r="G617" s="57"/>
      <c r="H617" s="57"/>
      <c r="I617" s="57"/>
      <c r="J617" s="57"/>
      <c r="K617" s="57"/>
      <c r="L617" s="57"/>
      <c r="M617" s="57"/>
      <c r="N617" s="57"/>
      <c r="O617" s="57"/>
      <c r="P617" s="57"/>
      <c r="Q617" s="57"/>
      <c r="R617" s="2103"/>
      <c r="S617" s="254"/>
    </row>
    <row r="618" spans="1:19">
      <c r="A618" s="254"/>
      <c r="B618" s="57"/>
      <c r="C618" s="57"/>
      <c r="D618" s="57"/>
      <c r="E618" s="57"/>
      <c r="F618" s="57"/>
      <c r="G618" s="57"/>
      <c r="H618" s="57"/>
      <c r="I618" s="57"/>
      <c r="J618" s="57"/>
      <c r="K618" s="57"/>
      <c r="L618" s="57"/>
      <c r="M618" s="57"/>
      <c r="N618" s="57"/>
      <c r="O618" s="57"/>
      <c r="P618" s="57"/>
      <c r="Q618" s="57"/>
      <c r="R618" s="2103"/>
      <c r="S618" s="254"/>
    </row>
    <row r="619" spans="1:19">
      <c r="A619" s="254"/>
      <c r="B619" s="57"/>
      <c r="C619" s="57"/>
      <c r="D619" s="57"/>
      <c r="E619" s="57"/>
      <c r="F619" s="57"/>
      <c r="G619" s="57"/>
      <c r="H619" s="57"/>
      <c r="I619" s="57"/>
      <c r="J619" s="57"/>
      <c r="K619" s="57"/>
      <c r="L619" s="57"/>
      <c r="M619" s="57"/>
      <c r="N619" s="57"/>
      <c r="O619" s="57"/>
      <c r="P619" s="57"/>
      <c r="Q619" s="57"/>
      <c r="R619" s="2103"/>
      <c r="S619" s="254"/>
    </row>
    <row r="620" spans="1:19">
      <c r="A620" s="254"/>
      <c r="B620" s="57"/>
      <c r="C620" s="57"/>
      <c r="D620" s="57"/>
      <c r="E620" s="57"/>
      <c r="F620" s="57"/>
      <c r="G620" s="57"/>
      <c r="H620" s="57"/>
      <c r="I620" s="57"/>
      <c r="J620" s="57"/>
      <c r="K620" s="57"/>
      <c r="L620" s="57"/>
      <c r="M620" s="57"/>
      <c r="N620" s="57"/>
      <c r="O620" s="57"/>
      <c r="P620" s="57"/>
      <c r="Q620" s="57"/>
      <c r="R620" s="2103"/>
      <c r="S620" s="254"/>
    </row>
    <row r="621" spans="1:19">
      <c r="A621" s="254"/>
      <c r="B621" s="57"/>
      <c r="C621" s="57"/>
      <c r="D621" s="57"/>
      <c r="E621" s="57"/>
      <c r="F621" s="57"/>
      <c r="G621" s="57"/>
      <c r="H621" s="57"/>
      <c r="I621" s="57"/>
      <c r="J621" s="57"/>
      <c r="K621" s="57"/>
      <c r="L621" s="57"/>
      <c r="M621" s="57"/>
      <c r="N621" s="57"/>
      <c r="O621" s="57"/>
      <c r="P621" s="57"/>
      <c r="Q621" s="57"/>
      <c r="R621" s="2103"/>
      <c r="S621" s="254"/>
    </row>
    <row r="622" spans="1:19">
      <c r="A622" s="254"/>
      <c r="B622" s="57"/>
      <c r="C622" s="57"/>
      <c r="D622" s="57"/>
      <c r="E622" s="57"/>
      <c r="F622" s="57"/>
      <c r="G622" s="57"/>
      <c r="H622" s="57"/>
      <c r="I622" s="57"/>
      <c r="J622" s="57"/>
      <c r="K622" s="57"/>
      <c r="L622" s="57"/>
      <c r="M622" s="57"/>
      <c r="N622" s="57"/>
      <c r="O622" s="57"/>
      <c r="P622" s="57"/>
      <c r="Q622" s="57"/>
      <c r="R622" s="2103"/>
      <c r="S622" s="254"/>
    </row>
    <row r="623" spans="1:19">
      <c r="A623" s="254"/>
      <c r="B623" s="57"/>
      <c r="C623" s="57"/>
      <c r="D623" s="57"/>
      <c r="E623" s="57"/>
      <c r="F623" s="57"/>
      <c r="G623" s="57"/>
      <c r="H623" s="57"/>
      <c r="I623" s="57"/>
      <c r="J623" s="57"/>
      <c r="K623" s="57"/>
      <c r="L623" s="57"/>
      <c r="M623" s="57"/>
      <c r="N623" s="57"/>
      <c r="O623" s="57"/>
      <c r="P623" s="57"/>
      <c r="Q623" s="57"/>
      <c r="R623" s="2103"/>
      <c r="S623" s="254"/>
    </row>
    <row r="624" spans="1:19">
      <c r="A624" s="254"/>
      <c r="B624" s="57"/>
      <c r="C624" s="57"/>
      <c r="D624" s="57"/>
      <c r="E624" s="57"/>
      <c r="F624" s="57"/>
      <c r="G624" s="57"/>
      <c r="H624" s="57"/>
      <c r="I624" s="57"/>
      <c r="J624" s="57"/>
      <c r="K624" s="57"/>
      <c r="L624" s="57"/>
      <c r="M624" s="57"/>
      <c r="N624" s="57"/>
      <c r="O624" s="57"/>
      <c r="P624" s="57"/>
      <c r="Q624" s="57"/>
      <c r="R624" s="2103"/>
      <c r="S624" s="254"/>
    </row>
    <row r="625" spans="1:19">
      <c r="A625" s="254"/>
      <c r="B625" s="57"/>
      <c r="C625" s="57"/>
      <c r="D625" s="57"/>
      <c r="E625" s="57"/>
      <c r="F625" s="57"/>
      <c r="G625" s="57"/>
      <c r="H625" s="57"/>
      <c r="I625" s="57"/>
      <c r="J625" s="57"/>
      <c r="K625" s="57"/>
      <c r="L625" s="57"/>
      <c r="M625" s="57"/>
      <c r="N625" s="57"/>
      <c r="O625" s="57"/>
      <c r="P625" s="57"/>
      <c r="Q625" s="57"/>
      <c r="R625" s="2103"/>
      <c r="S625" s="254"/>
    </row>
    <row r="626" spans="1:19">
      <c r="A626" s="254"/>
      <c r="B626" s="57"/>
      <c r="C626" s="57"/>
      <c r="D626" s="57"/>
      <c r="E626" s="57"/>
      <c r="F626" s="57"/>
      <c r="G626" s="57"/>
      <c r="H626" s="57"/>
      <c r="I626" s="57"/>
      <c r="J626" s="57"/>
      <c r="K626" s="57"/>
      <c r="L626" s="57"/>
      <c r="M626" s="57"/>
      <c r="N626" s="57"/>
      <c r="O626" s="57"/>
      <c r="P626" s="57"/>
      <c r="Q626" s="57"/>
      <c r="R626" s="2103"/>
      <c r="S626" s="254"/>
    </row>
    <row r="627" spans="1:19">
      <c r="A627" s="254"/>
      <c r="B627" s="57"/>
      <c r="C627" s="57"/>
      <c r="D627" s="57"/>
      <c r="E627" s="57"/>
      <c r="F627" s="57"/>
      <c r="G627" s="57"/>
      <c r="H627" s="57"/>
      <c r="I627" s="57"/>
      <c r="J627" s="57"/>
      <c r="K627" s="57"/>
      <c r="L627" s="57"/>
      <c r="M627" s="57"/>
      <c r="N627" s="57"/>
      <c r="O627" s="57"/>
      <c r="P627" s="57"/>
      <c r="Q627" s="57"/>
      <c r="R627" s="2103"/>
      <c r="S627" s="254"/>
    </row>
    <row r="628" spans="1:19">
      <c r="A628" s="254"/>
      <c r="B628" s="57"/>
      <c r="C628" s="57"/>
      <c r="D628" s="57"/>
      <c r="E628" s="57"/>
      <c r="F628" s="57"/>
      <c r="G628" s="57"/>
      <c r="H628" s="57"/>
      <c r="I628" s="57"/>
      <c r="J628" s="57"/>
      <c r="K628" s="57"/>
      <c r="L628" s="57"/>
      <c r="M628" s="57"/>
      <c r="N628" s="57"/>
      <c r="O628" s="57"/>
      <c r="P628" s="57"/>
      <c r="Q628" s="57"/>
      <c r="R628" s="2103"/>
      <c r="S628" s="254"/>
    </row>
    <row r="629" spans="1:19">
      <c r="A629" s="254"/>
      <c r="B629" s="57"/>
      <c r="C629" s="57"/>
      <c r="D629" s="57"/>
      <c r="E629" s="57"/>
      <c r="F629" s="57"/>
      <c r="G629" s="57"/>
      <c r="H629" s="57"/>
      <c r="I629" s="57"/>
      <c r="J629" s="57"/>
      <c r="K629" s="57"/>
      <c r="L629" s="57"/>
      <c r="M629" s="57"/>
      <c r="N629" s="57"/>
      <c r="O629" s="57"/>
      <c r="P629" s="57"/>
      <c r="Q629" s="57"/>
      <c r="R629" s="2103"/>
      <c r="S629" s="254"/>
    </row>
    <row r="630" spans="1:19">
      <c r="A630" s="254"/>
      <c r="B630" s="57"/>
      <c r="C630" s="57"/>
      <c r="D630" s="57"/>
      <c r="E630" s="57"/>
      <c r="F630" s="57"/>
      <c r="G630" s="57"/>
      <c r="H630" s="57"/>
      <c r="I630" s="57"/>
      <c r="J630" s="57"/>
      <c r="K630" s="57"/>
      <c r="L630" s="57"/>
      <c r="M630" s="57"/>
      <c r="N630" s="57"/>
      <c r="O630" s="57"/>
      <c r="P630" s="57"/>
      <c r="Q630" s="57"/>
      <c r="R630" s="2103"/>
      <c r="S630" s="254"/>
    </row>
    <row r="631" spans="1:19">
      <c r="A631" s="254"/>
      <c r="B631" s="57"/>
      <c r="C631" s="57"/>
      <c r="D631" s="57"/>
      <c r="E631" s="57"/>
      <c r="F631" s="57"/>
      <c r="G631" s="57"/>
      <c r="H631" s="57"/>
      <c r="I631" s="57"/>
      <c r="J631" s="57"/>
      <c r="K631" s="57"/>
      <c r="L631" s="57"/>
      <c r="M631" s="57"/>
      <c r="N631" s="57"/>
      <c r="O631" s="57"/>
      <c r="P631" s="57"/>
      <c r="Q631" s="57"/>
      <c r="R631" s="2103"/>
      <c r="S631" s="254"/>
    </row>
    <row r="632" spans="1:19">
      <c r="A632" s="254"/>
      <c r="B632" s="57"/>
      <c r="C632" s="57"/>
      <c r="D632" s="57"/>
      <c r="E632" s="57"/>
      <c r="F632" s="57"/>
      <c r="G632" s="57"/>
      <c r="H632" s="57"/>
      <c r="I632" s="57"/>
      <c r="J632" s="57"/>
      <c r="K632" s="57"/>
      <c r="L632" s="57"/>
      <c r="M632" s="57"/>
      <c r="N632" s="57"/>
      <c r="O632" s="57"/>
      <c r="P632" s="57"/>
      <c r="Q632" s="57"/>
      <c r="R632" s="2103"/>
      <c r="S632" s="254"/>
    </row>
    <row r="633" spans="1:19">
      <c r="A633" s="254"/>
      <c r="B633" s="57"/>
      <c r="C633" s="57"/>
      <c r="D633" s="57"/>
      <c r="E633" s="57"/>
      <c r="F633" s="57"/>
      <c r="G633" s="57"/>
      <c r="H633" s="57"/>
      <c r="I633" s="57"/>
      <c r="J633" s="57"/>
      <c r="K633" s="57"/>
      <c r="L633" s="57"/>
      <c r="M633" s="57"/>
      <c r="N633" s="57"/>
      <c r="O633" s="57"/>
      <c r="P633" s="57"/>
      <c r="Q633" s="57"/>
      <c r="R633" s="2103"/>
      <c r="S633" s="254"/>
    </row>
    <row r="634" spans="1:19">
      <c r="A634" s="254"/>
      <c r="B634" s="57"/>
      <c r="C634" s="57"/>
      <c r="D634" s="57"/>
      <c r="E634" s="57"/>
      <c r="F634" s="57"/>
      <c r="G634" s="57"/>
      <c r="H634" s="57"/>
      <c r="I634" s="57"/>
      <c r="J634" s="57"/>
      <c r="K634" s="57"/>
      <c r="L634" s="57"/>
      <c r="M634" s="57"/>
      <c r="N634" s="57"/>
      <c r="O634" s="57"/>
      <c r="P634" s="57"/>
      <c r="Q634" s="57"/>
      <c r="R634" s="2103"/>
      <c r="S634" s="254"/>
    </row>
    <row r="635" spans="1:19">
      <c r="A635" s="254"/>
      <c r="B635" s="57"/>
      <c r="C635" s="57"/>
      <c r="D635" s="57"/>
      <c r="E635" s="57"/>
      <c r="F635" s="57"/>
      <c r="G635" s="57"/>
      <c r="H635" s="57"/>
      <c r="I635" s="57"/>
      <c r="J635" s="57"/>
      <c r="K635" s="57"/>
      <c r="L635" s="57"/>
      <c r="M635" s="57"/>
      <c r="N635" s="57"/>
      <c r="O635" s="57"/>
      <c r="P635" s="57"/>
      <c r="Q635" s="57"/>
      <c r="R635" s="2103"/>
      <c r="S635" s="254"/>
    </row>
    <row r="636" spans="1:19">
      <c r="A636" s="254"/>
      <c r="B636" s="57"/>
      <c r="C636" s="57"/>
      <c r="D636" s="57"/>
      <c r="E636" s="57"/>
      <c r="F636" s="57"/>
      <c r="G636" s="57"/>
      <c r="H636" s="57"/>
      <c r="I636" s="57"/>
      <c r="J636" s="57"/>
      <c r="K636" s="57"/>
      <c r="L636" s="57"/>
      <c r="M636" s="57"/>
      <c r="N636" s="57"/>
      <c r="O636" s="57"/>
      <c r="P636" s="57"/>
      <c r="Q636" s="57"/>
      <c r="R636" s="2103"/>
      <c r="S636" s="254"/>
    </row>
    <row r="637" spans="1:19">
      <c r="A637" s="254"/>
      <c r="B637" s="57"/>
      <c r="C637" s="57"/>
      <c r="D637" s="57"/>
      <c r="E637" s="57"/>
      <c r="F637" s="57"/>
      <c r="G637" s="57"/>
      <c r="H637" s="57"/>
      <c r="I637" s="57"/>
      <c r="J637" s="57"/>
      <c r="K637" s="57"/>
      <c r="L637" s="57"/>
      <c r="M637" s="57"/>
      <c r="N637" s="57"/>
      <c r="O637" s="57"/>
      <c r="P637" s="57"/>
      <c r="Q637" s="57"/>
      <c r="R637" s="2103"/>
      <c r="S637" s="254"/>
    </row>
    <row r="638" spans="1:19">
      <c r="A638" s="254"/>
      <c r="B638" s="57"/>
      <c r="C638" s="57"/>
      <c r="D638" s="57"/>
      <c r="E638" s="57"/>
      <c r="F638" s="57"/>
      <c r="G638" s="57"/>
      <c r="H638" s="57"/>
      <c r="I638" s="57"/>
      <c r="J638" s="57"/>
      <c r="K638" s="57"/>
      <c r="L638" s="57"/>
      <c r="M638" s="57"/>
      <c r="N638" s="57"/>
      <c r="O638" s="57"/>
      <c r="P638" s="57"/>
      <c r="Q638" s="57"/>
      <c r="R638" s="2103"/>
      <c r="S638" s="254"/>
    </row>
    <row r="639" spans="1:19">
      <c r="A639" s="254"/>
      <c r="B639" s="57"/>
      <c r="C639" s="57"/>
      <c r="D639" s="57"/>
      <c r="E639" s="57"/>
      <c r="F639" s="57"/>
      <c r="G639" s="57"/>
      <c r="H639" s="57"/>
      <c r="I639" s="57"/>
      <c r="J639" s="57"/>
      <c r="K639" s="57"/>
      <c r="L639" s="57"/>
      <c r="M639" s="57"/>
      <c r="N639" s="57"/>
      <c r="O639" s="57"/>
      <c r="P639" s="57"/>
      <c r="Q639" s="57"/>
      <c r="R639" s="2103"/>
      <c r="S639" s="254"/>
    </row>
    <row r="640" spans="1:19">
      <c r="A640" s="254"/>
      <c r="B640" s="57"/>
      <c r="C640" s="57"/>
      <c r="D640" s="57"/>
      <c r="E640" s="57"/>
      <c r="F640" s="57"/>
      <c r="G640" s="57"/>
      <c r="H640" s="57"/>
      <c r="I640" s="57"/>
      <c r="J640" s="57"/>
      <c r="K640" s="57"/>
      <c r="L640" s="57"/>
      <c r="M640" s="57"/>
      <c r="N640" s="57"/>
      <c r="O640" s="57"/>
      <c r="P640" s="57"/>
      <c r="Q640" s="57"/>
      <c r="R640" s="2103"/>
      <c r="S640" s="254"/>
    </row>
    <row r="641" spans="1:19">
      <c r="A641" s="254"/>
      <c r="B641" s="57"/>
      <c r="C641" s="57"/>
      <c r="D641" s="57"/>
      <c r="E641" s="57"/>
      <c r="F641" s="57"/>
      <c r="G641" s="57"/>
      <c r="H641" s="57"/>
      <c r="I641" s="57"/>
      <c r="J641" s="57"/>
      <c r="K641" s="57"/>
      <c r="L641" s="57"/>
      <c r="M641" s="57"/>
      <c r="N641" s="57"/>
      <c r="O641" s="57"/>
      <c r="P641" s="57"/>
      <c r="Q641" s="57"/>
      <c r="R641" s="2103"/>
      <c r="S641" s="254"/>
    </row>
    <row r="642" spans="1:19">
      <c r="A642" s="254"/>
      <c r="B642" s="57"/>
      <c r="C642" s="57"/>
      <c r="D642" s="57"/>
      <c r="E642" s="57"/>
      <c r="F642" s="57"/>
      <c r="G642" s="57"/>
      <c r="H642" s="57"/>
      <c r="I642" s="57"/>
      <c r="J642" s="57"/>
      <c r="K642" s="57"/>
      <c r="L642" s="57"/>
      <c r="M642" s="57"/>
      <c r="N642" s="57"/>
      <c r="O642" s="57"/>
      <c r="P642" s="57"/>
      <c r="Q642" s="57"/>
      <c r="R642" s="2103"/>
      <c r="S642" s="254"/>
    </row>
    <row r="643" spans="1:19">
      <c r="A643" s="254"/>
      <c r="B643" s="57"/>
      <c r="C643" s="57"/>
      <c r="D643" s="57"/>
      <c r="E643" s="57"/>
      <c r="F643" s="57"/>
      <c r="G643" s="57"/>
      <c r="H643" s="57"/>
      <c r="I643" s="57"/>
      <c r="J643" s="57"/>
      <c r="K643" s="57"/>
      <c r="L643" s="57"/>
      <c r="M643" s="57"/>
      <c r="N643" s="57"/>
      <c r="O643" s="57"/>
      <c r="P643" s="57"/>
      <c r="Q643" s="57"/>
      <c r="R643" s="2103"/>
      <c r="S643" s="254"/>
    </row>
    <row r="644" spans="1:19">
      <c r="A644" s="254"/>
      <c r="B644" s="57"/>
      <c r="C644" s="57"/>
      <c r="D644" s="57"/>
      <c r="E644" s="57"/>
      <c r="F644" s="57"/>
      <c r="G644" s="57"/>
      <c r="H644" s="57"/>
      <c r="I644" s="57"/>
      <c r="J644" s="57"/>
      <c r="K644" s="57"/>
      <c r="L644" s="57"/>
      <c r="M644" s="57"/>
      <c r="N644" s="57"/>
      <c r="O644" s="57"/>
      <c r="P644" s="57"/>
      <c r="Q644" s="57"/>
      <c r="R644" s="2103"/>
      <c r="S644" s="254"/>
    </row>
    <row r="645" spans="1:19">
      <c r="A645" s="254"/>
      <c r="B645" s="57"/>
      <c r="C645" s="57"/>
      <c r="D645" s="57"/>
      <c r="E645" s="57"/>
      <c r="F645" s="57"/>
      <c r="G645" s="57"/>
      <c r="H645" s="57"/>
      <c r="I645" s="57"/>
      <c r="J645" s="57"/>
      <c r="K645" s="57"/>
      <c r="L645" s="57"/>
      <c r="M645" s="57"/>
      <c r="N645" s="57"/>
      <c r="O645" s="57"/>
      <c r="P645" s="57"/>
      <c r="Q645" s="57"/>
      <c r="R645" s="2103"/>
      <c r="S645" s="254"/>
    </row>
    <row r="646" spans="1:19">
      <c r="A646" s="254"/>
      <c r="B646" s="57"/>
      <c r="C646" s="57"/>
      <c r="D646" s="57"/>
      <c r="E646" s="57"/>
      <c r="F646" s="57"/>
      <c r="G646" s="57"/>
      <c r="H646" s="57"/>
      <c r="I646" s="57"/>
      <c r="J646" s="57"/>
      <c r="K646" s="57"/>
      <c r="L646" s="57"/>
      <c r="M646" s="57"/>
      <c r="N646" s="57"/>
      <c r="O646" s="57"/>
      <c r="P646" s="57"/>
      <c r="Q646" s="57"/>
      <c r="R646" s="2103"/>
      <c r="S646" s="254"/>
    </row>
    <row r="647" spans="1:19">
      <c r="A647" s="254"/>
      <c r="B647" s="57"/>
      <c r="C647" s="57"/>
      <c r="D647" s="57"/>
      <c r="E647" s="57"/>
      <c r="F647" s="57"/>
      <c r="G647" s="57"/>
      <c r="H647" s="57"/>
      <c r="I647" s="57"/>
      <c r="J647" s="57"/>
      <c r="K647" s="57"/>
      <c r="L647" s="57"/>
      <c r="M647" s="57"/>
      <c r="N647" s="57"/>
      <c r="O647" s="57"/>
      <c r="P647" s="57"/>
      <c r="Q647" s="57"/>
      <c r="R647" s="2103"/>
      <c r="S647" s="254"/>
    </row>
    <row r="648" spans="1:19">
      <c r="A648" s="254"/>
      <c r="B648" s="57"/>
      <c r="C648" s="57"/>
      <c r="D648" s="57"/>
      <c r="E648" s="57"/>
      <c r="F648" s="57"/>
      <c r="G648" s="57"/>
      <c r="H648" s="57"/>
      <c r="I648" s="57"/>
      <c r="J648" s="57"/>
      <c r="K648" s="57"/>
      <c r="L648" s="57"/>
      <c r="M648" s="57"/>
      <c r="N648" s="57"/>
      <c r="O648" s="57"/>
      <c r="P648" s="57"/>
      <c r="Q648" s="57"/>
      <c r="R648" s="2103"/>
      <c r="S648" s="254"/>
    </row>
    <row r="649" spans="1:19">
      <c r="A649" s="254"/>
      <c r="B649" s="57"/>
      <c r="C649" s="57"/>
      <c r="D649" s="57"/>
      <c r="E649" s="57"/>
      <c r="F649" s="57"/>
      <c r="G649" s="57"/>
      <c r="H649" s="57"/>
      <c r="I649" s="57"/>
      <c r="J649" s="57"/>
      <c r="K649" s="57"/>
      <c r="L649" s="57"/>
      <c r="M649" s="57"/>
      <c r="N649" s="57"/>
      <c r="O649" s="57"/>
      <c r="P649" s="57"/>
      <c r="Q649" s="57"/>
      <c r="R649" s="2103"/>
      <c r="S649" s="254"/>
    </row>
    <row r="650" spans="1:19">
      <c r="A650" s="254"/>
      <c r="B650" s="57"/>
      <c r="C650" s="57"/>
      <c r="D650" s="57"/>
      <c r="E650" s="57"/>
      <c r="F650" s="57"/>
      <c r="G650" s="57"/>
      <c r="H650" s="57"/>
      <c r="I650" s="57"/>
      <c r="J650" s="57"/>
      <c r="K650" s="57"/>
      <c r="L650" s="57"/>
      <c r="M650" s="57"/>
      <c r="N650" s="57"/>
      <c r="O650" s="57"/>
      <c r="P650" s="57"/>
      <c r="Q650" s="57"/>
      <c r="R650" s="2103"/>
      <c r="S650" s="254"/>
    </row>
    <row r="651" spans="1:19">
      <c r="A651" s="254"/>
      <c r="B651" s="57"/>
      <c r="C651" s="57"/>
      <c r="D651" s="57"/>
      <c r="E651" s="57"/>
      <c r="F651" s="57"/>
      <c r="G651" s="57"/>
      <c r="H651" s="57"/>
      <c r="I651" s="57"/>
      <c r="J651" s="57"/>
      <c r="K651" s="57"/>
      <c r="L651" s="57"/>
      <c r="M651" s="57"/>
      <c r="N651" s="57"/>
      <c r="O651" s="57"/>
      <c r="P651" s="57"/>
      <c r="Q651" s="57"/>
      <c r="R651" s="2103"/>
      <c r="S651" s="254"/>
    </row>
    <row r="652" spans="1:19">
      <c r="A652" s="254"/>
      <c r="B652" s="57"/>
      <c r="C652" s="57"/>
      <c r="D652" s="57"/>
      <c r="E652" s="57"/>
      <c r="F652" s="57"/>
      <c r="G652" s="57"/>
      <c r="H652" s="57"/>
      <c r="I652" s="57"/>
      <c r="J652" s="57"/>
      <c r="K652" s="57"/>
      <c r="L652" s="57"/>
      <c r="M652" s="57"/>
      <c r="N652" s="57"/>
      <c r="O652" s="57"/>
      <c r="P652" s="57"/>
      <c r="Q652" s="57"/>
      <c r="R652" s="2103"/>
      <c r="S652" s="254"/>
    </row>
    <row r="653" spans="1:19">
      <c r="A653" s="254"/>
      <c r="B653" s="57"/>
      <c r="C653" s="57"/>
      <c r="D653" s="57"/>
      <c r="E653" s="57"/>
      <c r="F653" s="57"/>
      <c r="G653" s="57"/>
      <c r="H653" s="57"/>
      <c r="I653" s="57"/>
      <c r="J653" s="57"/>
      <c r="K653" s="57"/>
      <c r="L653" s="57"/>
      <c r="M653" s="57"/>
      <c r="N653" s="57"/>
      <c r="O653" s="57"/>
      <c r="P653" s="57"/>
      <c r="Q653" s="57"/>
      <c r="R653" s="2103"/>
      <c r="S653" s="254"/>
    </row>
    <row r="654" spans="1:19">
      <c r="A654" s="254"/>
      <c r="B654" s="57"/>
      <c r="C654" s="57"/>
      <c r="D654" s="57"/>
      <c r="E654" s="57"/>
      <c r="F654" s="57"/>
      <c r="G654" s="57"/>
      <c r="H654" s="57"/>
      <c r="I654" s="57"/>
      <c r="J654" s="57"/>
      <c r="K654" s="57"/>
      <c r="L654" s="57"/>
      <c r="M654" s="57"/>
      <c r="N654" s="57"/>
      <c r="O654" s="57"/>
      <c r="P654" s="57"/>
      <c r="Q654" s="57"/>
      <c r="R654" s="2103"/>
      <c r="S654" s="254"/>
    </row>
    <row r="655" spans="1:19">
      <c r="A655" s="254"/>
      <c r="B655" s="57"/>
      <c r="C655" s="57"/>
      <c r="D655" s="57"/>
      <c r="E655" s="57"/>
      <c r="F655" s="57"/>
      <c r="G655" s="57"/>
      <c r="H655" s="57"/>
      <c r="I655" s="57"/>
      <c r="J655" s="57"/>
      <c r="K655" s="57"/>
      <c r="L655" s="57"/>
      <c r="M655" s="57"/>
      <c r="N655" s="57"/>
      <c r="O655" s="57"/>
      <c r="P655" s="57"/>
      <c r="Q655" s="57"/>
      <c r="R655" s="2103"/>
      <c r="S655" s="254"/>
    </row>
    <row r="656" spans="1:19">
      <c r="A656" s="254"/>
      <c r="B656" s="57"/>
      <c r="C656" s="57"/>
      <c r="D656" s="57"/>
      <c r="E656" s="57"/>
      <c r="F656" s="57"/>
      <c r="G656" s="57"/>
      <c r="H656" s="57"/>
      <c r="I656" s="57"/>
      <c r="J656" s="57"/>
      <c r="K656" s="57"/>
      <c r="L656" s="57"/>
      <c r="M656" s="57"/>
      <c r="N656" s="57"/>
      <c r="O656" s="57"/>
      <c r="P656" s="57"/>
      <c r="Q656" s="57"/>
      <c r="R656" s="2103"/>
      <c r="S656" s="254"/>
    </row>
    <row r="657" spans="1:19">
      <c r="A657" s="254"/>
      <c r="B657" s="57"/>
      <c r="C657" s="57"/>
      <c r="D657" s="57"/>
      <c r="E657" s="57"/>
      <c r="F657" s="57"/>
      <c r="G657" s="57"/>
      <c r="H657" s="57"/>
      <c r="I657" s="57"/>
      <c r="J657" s="57"/>
      <c r="K657" s="57"/>
      <c r="L657" s="57"/>
      <c r="M657" s="57"/>
      <c r="N657" s="57"/>
      <c r="O657" s="57"/>
      <c r="P657" s="57"/>
      <c r="Q657" s="57"/>
      <c r="R657" s="2103"/>
      <c r="S657" s="254"/>
    </row>
    <row r="658" spans="1:19">
      <c r="A658" s="254"/>
      <c r="B658" s="57"/>
      <c r="C658" s="57"/>
      <c r="D658" s="57"/>
      <c r="E658" s="57"/>
      <c r="F658" s="57"/>
      <c r="G658" s="57"/>
      <c r="H658" s="57"/>
      <c r="I658" s="57"/>
      <c r="J658" s="57"/>
      <c r="K658" s="57"/>
      <c r="L658" s="57"/>
      <c r="M658" s="57"/>
      <c r="N658" s="57"/>
      <c r="O658" s="57"/>
      <c r="P658" s="57"/>
      <c r="Q658" s="57"/>
      <c r="R658" s="2103"/>
      <c r="S658" s="254"/>
    </row>
    <row r="659" spans="1:19">
      <c r="A659" s="254"/>
      <c r="B659" s="57"/>
      <c r="C659" s="57"/>
      <c r="D659" s="57"/>
      <c r="E659" s="57"/>
      <c r="F659" s="57"/>
      <c r="G659" s="57"/>
      <c r="H659" s="57"/>
      <c r="I659" s="57"/>
      <c r="J659" s="57"/>
      <c r="K659" s="57"/>
      <c r="L659" s="57"/>
      <c r="M659" s="57"/>
      <c r="N659" s="57"/>
      <c r="O659" s="57"/>
      <c r="P659" s="57"/>
      <c r="Q659" s="57"/>
      <c r="R659" s="2103"/>
      <c r="S659" s="254"/>
    </row>
    <row r="660" spans="1:19">
      <c r="A660" s="254"/>
      <c r="B660" s="57"/>
      <c r="C660" s="57"/>
      <c r="D660" s="57"/>
      <c r="E660" s="57"/>
      <c r="F660" s="57"/>
      <c r="G660" s="57"/>
      <c r="H660" s="57"/>
      <c r="I660" s="57"/>
      <c r="J660" s="57"/>
      <c r="K660" s="57"/>
      <c r="L660" s="57"/>
      <c r="M660" s="57"/>
      <c r="N660" s="57"/>
      <c r="O660" s="57"/>
      <c r="P660" s="57"/>
      <c r="Q660" s="57"/>
      <c r="R660" s="2103"/>
      <c r="S660" s="254"/>
    </row>
    <row r="661" spans="1:19">
      <c r="A661" s="254"/>
      <c r="B661" s="57"/>
      <c r="C661" s="57"/>
      <c r="D661" s="57"/>
      <c r="E661" s="57"/>
      <c r="F661" s="57"/>
      <c r="G661" s="57"/>
      <c r="H661" s="57"/>
      <c r="I661" s="57"/>
      <c r="J661" s="57"/>
      <c r="K661" s="57"/>
      <c r="L661" s="57"/>
      <c r="M661" s="57"/>
      <c r="N661" s="57"/>
      <c r="O661" s="57"/>
      <c r="P661" s="57"/>
      <c r="Q661" s="57"/>
      <c r="R661" s="2103"/>
      <c r="S661" s="254"/>
    </row>
    <row r="662" spans="1:19">
      <c r="A662" s="254"/>
      <c r="B662" s="57"/>
      <c r="C662" s="57"/>
      <c r="D662" s="57"/>
      <c r="E662" s="57"/>
      <c r="F662" s="57"/>
      <c r="G662" s="57"/>
      <c r="H662" s="57"/>
      <c r="I662" s="57"/>
      <c r="J662" s="57"/>
      <c r="K662" s="57"/>
      <c r="L662" s="57"/>
      <c r="M662" s="57"/>
      <c r="N662" s="57"/>
      <c r="O662" s="57"/>
      <c r="P662" s="57"/>
      <c r="Q662" s="57"/>
      <c r="R662" s="2103"/>
      <c r="S662" s="254"/>
    </row>
    <row r="663" spans="1:19">
      <c r="A663" s="254"/>
      <c r="B663" s="57"/>
      <c r="C663" s="57"/>
      <c r="D663" s="57"/>
      <c r="E663" s="57"/>
      <c r="F663" s="57"/>
      <c r="G663" s="57"/>
      <c r="H663" s="57"/>
      <c r="I663" s="57"/>
      <c r="J663" s="57"/>
      <c r="K663" s="57"/>
      <c r="L663" s="57"/>
      <c r="M663" s="57"/>
      <c r="N663" s="57"/>
      <c r="O663" s="57"/>
      <c r="P663" s="57"/>
      <c r="Q663" s="57"/>
      <c r="R663" s="2103"/>
      <c r="S663" s="254"/>
    </row>
    <row r="664" spans="1:19">
      <c r="A664" s="254"/>
      <c r="B664" s="57"/>
      <c r="C664" s="57"/>
      <c r="D664" s="57"/>
      <c r="E664" s="57"/>
      <c r="F664" s="57"/>
      <c r="G664" s="57"/>
      <c r="H664" s="57"/>
      <c r="I664" s="57"/>
      <c r="J664" s="57"/>
      <c r="K664" s="57"/>
      <c r="L664" s="57"/>
      <c r="M664" s="57"/>
      <c r="N664" s="57"/>
      <c r="O664" s="57"/>
      <c r="P664" s="57"/>
      <c r="Q664" s="57"/>
      <c r="R664" s="2103"/>
      <c r="S664" s="254"/>
    </row>
    <row r="665" spans="1:19">
      <c r="A665" s="254"/>
      <c r="B665" s="57"/>
      <c r="C665" s="57"/>
      <c r="D665" s="57"/>
      <c r="E665" s="57"/>
      <c r="F665" s="57"/>
      <c r="G665" s="57"/>
      <c r="H665" s="57"/>
      <c r="I665" s="57"/>
      <c r="J665" s="57"/>
      <c r="K665" s="57"/>
      <c r="L665" s="57"/>
      <c r="M665" s="57"/>
      <c r="N665" s="57"/>
      <c r="O665" s="57"/>
      <c r="P665" s="57"/>
      <c r="Q665" s="57"/>
      <c r="R665" s="2103"/>
      <c r="S665" s="254"/>
    </row>
    <row r="666" spans="1:19">
      <c r="A666" s="254"/>
      <c r="B666" s="57"/>
      <c r="C666" s="57"/>
      <c r="D666" s="57"/>
      <c r="E666" s="57"/>
      <c r="F666" s="57"/>
      <c r="G666" s="57"/>
      <c r="H666" s="57"/>
      <c r="I666" s="57"/>
      <c r="J666" s="57"/>
      <c r="K666" s="57"/>
      <c r="L666" s="57"/>
      <c r="M666" s="57"/>
      <c r="N666" s="57"/>
      <c r="O666" s="57"/>
      <c r="P666" s="57"/>
      <c r="Q666" s="57"/>
      <c r="R666" s="2103"/>
      <c r="S666" s="254"/>
    </row>
    <row r="667" spans="1:19">
      <c r="A667" s="254"/>
      <c r="B667" s="57"/>
      <c r="C667" s="57"/>
      <c r="D667" s="57"/>
      <c r="E667" s="57"/>
      <c r="F667" s="57"/>
      <c r="G667" s="57"/>
      <c r="H667" s="57"/>
      <c r="I667" s="57"/>
      <c r="J667" s="57"/>
      <c r="K667" s="57"/>
      <c r="L667" s="57"/>
      <c r="M667" s="57"/>
      <c r="N667" s="57"/>
      <c r="O667" s="57"/>
      <c r="P667" s="57"/>
      <c r="Q667" s="57"/>
      <c r="R667" s="2103"/>
      <c r="S667" s="254"/>
    </row>
    <row r="668" spans="1:19">
      <c r="A668" s="254"/>
      <c r="B668" s="57"/>
      <c r="C668" s="57"/>
      <c r="D668" s="57"/>
      <c r="E668" s="57"/>
      <c r="F668" s="57"/>
      <c r="G668" s="57"/>
      <c r="H668" s="57"/>
      <c r="I668" s="57"/>
      <c r="J668" s="57"/>
      <c r="K668" s="57"/>
      <c r="L668" s="57"/>
      <c r="M668" s="57"/>
      <c r="N668" s="57"/>
      <c r="O668" s="57"/>
      <c r="P668" s="57"/>
      <c r="Q668" s="57"/>
      <c r="R668" s="2103"/>
      <c r="S668" s="254"/>
    </row>
    <row r="669" spans="1:19">
      <c r="A669" s="254"/>
      <c r="B669" s="57"/>
      <c r="C669" s="57"/>
      <c r="D669" s="57"/>
      <c r="E669" s="57"/>
      <c r="F669" s="57"/>
      <c r="G669" s="57"/>
      <c r="H669" s="57"/>
      <c r="I669" s="57"/>
      <c r="J669" s="57"/>
      <c r="K669" s="57"/>
      <c r="L669" s="57"/>
      <c r="M669" s="57"/>
      <c r="N669" s="57"/>
      <c r="O669" s="57"/>
      <c r="P669" s="57"/>
      <c r="Q669" s="57"/>
      <c r="R669" s="2103"/>
      <c r="S669" s="254"/>
    </row>
    <row r="670" spans="1:19">
      <c r="A670" s="254"/>
      <c r="B670" s="57"/>
      <c r="C670" s="57"/>
      <c r="D670" s="57"/>
      <c r="E670" s="57"/>
      <c r="F670" s="57"/>
      <c r="G670" s="57"/>
      <c r="H670" s="57"/>
      <c r="I670" s="57"/>
      <c r="J670" s="57"/>
      <c r="K670" s="57"/>
      <c r="L670" s="57"/>
      <c r="M670" s="57"/>
      <c r="N670" s="57"/>
      <c r="O670" s="57"/>
      <c r="P670" s="57"/>
      <c r="Q670" s="57"/>
      <c r="R670" s="2103"/>
      <c r="S670" s="254"/>
    </row>
    <row r="671" spans="1:19">
      <c r="A671" s="254"/>
      <c r="B671" s="57"/>
      <c r="C671" s="57"/>
      <c r="D671" s="57"/>
      <c r="E671" s="57"/>
      <c r="F671" s="57"/>
      <c r="G671" s="57"/>
      <c r="H671" s="57"/>
      <c r="I671" s="57"/>
      <c r="J671" s="57"/>
      <c r="K671" s="57"/>
      <c r="L671" s="57"/>
      <c r="M671" s="57"/>
      <c r="N671" s="57"/>
      <c r="O671" s="57"/>
      <c r="P671" s="57"/>
      <c r="Q671" s="57"/>
      <c r="R671" s="2103"/>
      <c r="S671" s="254"/>
    </row>
    <row r="672" spans="1:19">
      <c r="A672" s="254"/>
      <c r="B672" s="57"/>
      <c r="C672" s="57"/>
      <c r="D672" s="57"/>
      <c r="E672" s="57"/>
      <c r="F672" s="57"/>
      <c r="G672" s="57"/>
      <c r="H672" s="57"/>
      <c r="I672" s="57"/>
      <c r="J672" s="57"/>
      <c r="K672" s="57"/>
      <c r="L672" s="57"/>
      <c r="M672" s="57"/>
      <c r="N672" s="57"/>
      <c r="O672" s="57"/>
      <c r="P672" s="57"/>
      <c r="Q672" s="57"/>
      <c r="R672" s="2103"/>
      <c r="S672" s="254"/>
    </row>
    <row r="673" spans="1:19">
      <c r="A673" s="254"/>
      <c r="B673" s="57"/>
      <c r="C673" s="57"/>
      <c r="D673" s="57"/>
      <c r="E673" s="57"/>
      <c r="F673" s="57"/>
      <c r="G673" s="57"/>
      <c r="H673" s="57"/>
      <c r="I673" s="57"/>
      <c r="J673" s="57"/>
      <c r="K673" s="57"/>
      <c r="L673" s="57"/>
      <c r="M673" s="57"/>
      <c r="N673" s="57"/>
      <c r="O673" s="57"/>
      <c r="P673" s="57"/>
      <c r="Q673" s="57"/>
      <c r="R673" s="2103"/>
      <c r="S673" s="254"/>
    </row>
    <row r="674" spans="1:19">
      <c r="A674" s="254"/>
      <c r="B674" s="57"/>
      <c r="C674" s="57"/>
      <c r="D674" s="57"/>
      <c r="E674" s="57"/>
      <c r="F674" s="57"/>
      <c r="G674" s="57"/>
      <c r="H674" s="57"/>
      <c r="I674" s="57"/>
      <c r="J674" s="57"/>
      <c r="K674" s="57"/>
      <c r="L674" s="57"/>
      <c r="M674" s="57"/>
      <c r="N674" s="57"/>
      <c r="O674" s="57"/>
      <c r="P674" s="57"/>
      <c r="Q674" s="57"/>
      <c r="R674" s="2103"/>
      <c r="S674" s="254"/>
    </row>
    <row r="675" spans="1:19">
      <c r="A675" s="254"/>
      <c r="B675" s="57"/>
      <c r="C675" s="57"/>
      <c r="D675" s="57"/>
      <c r="E675" s="57"/>
      <c r="F675" s="57"/>
      <c r="G675" s="57"/>
      <c r="H675" s="57"/>
      <c r="I675" s="57"/>
      <c r="J675" s="57"/>
      <c r="K675" s="57"/>
      <c r="L675" s="57"/>
      <c r="M675" s="57"/>
      <c r="N675" s="57"/>
      <c r="O675" s="57"/>
      <c r="P675" s="57"/>
      <c r="Q675" s="57"/>
      <c r="R675" s="2103"/>
      <c r="S675" s="254"/>
    </row>
    <row r="676" spans="1:19">
      <c r="A676" s="254"/>
      <c r="B676" s="57"/>
      <c r="C676" s="57"/>
      <c r="D676" s="57"/>
      <c r="E676" s="57"/>
      <c r="F676" s="57"/>
      <c r="G676" s="57"/>
      <c r="H676" s="57"/>
      <c r="I676" s="57"/>
      <c r="J676" s="57"/>
      <c r="K676" s="57"/>
      <c r="L676" s="57"/>
      <c r="M676" s="57"/>
      <c r="N676" s="57"/>
      <c r="O676" s="57"/>
      <c r="P676" s="57"/>
      <c r="Q676" s="57"/>
      <c r="R676" s="2103"/>
      <c r="S676" s="254"/>
    </row>
    <row r="677" spans="1:19">
      <c r="A677" s="254"/>
      <c r="B677" s="57"/>
      <c r="C677" s="57"/>
      <c r="D677" s="57"/>
      <c r="E677" s="57"/>
      <c r="F677" s="57"/>
      <c r="G677" s="57"/>
      <c r="H677" s="57"/>
      <c r="I677" s="57"/>
      <c r="J677" s="57"/>
      <c r="K677" s="57"/>
      <c r="L677" s="57"/>
      <c r="M677" s="57"/>
      <c r="N677" s="57"/>
      <c r="O677" s="57"/>
      <c r="P677" s="57"/>
      <c r="Q677" s="57"/>
      <c r="R677" s="2103"/>
      <c r="S677" s="254"/>
    </row>
    <row r="678" spans="1:19">
      <c r="A678" s="254"/>
      <c r="B678" s="57"/>
      <c r="C678" s="57"/>
      <c r="D678" s="57"/>
      <c r="E678" s="57"/>
      <c r="F678" s="57"/>
      <c r="G678" s="57"/>
      <c r="H678" s="57"/>
      <c r="I678" s="57"/>
      <c r="J678" s="57"/>
      <c r="K678" s="57"/>
      <c r="L678" s="57"/>
      <c r="M678" s="57"/>
      <c r="N678" s="57"/>
      <c r="O678" s="57"/>
      <c r="P678" s="57"/>
      <c r="Q678" s="57"/>
      <c r="R678" s="2103"/>
      <c r="S678" s="254"/>
    </row>
    <row r="679" spans="1:19">
      <c r="A679" s="254"/>
      <c r="B679" s="57"/>
      <c r="C679" s="57"/>
      <c r="D679" s="57"/>
      <c r="E679" s="57"/>
      <c r="F679" s="57"/>
      <c r="G679" s="57"/>
      <c r="H679" s="57"/>
      <c r="I679" s="57"/>
      <c r="J679" s="57"/>
      <c r="K679" s="57"/>
      <c r="L679" s="57"/>
      <c r="M679" s="57"/>
      <c r="N679" s="57"/>
      <c r="O679" s="57"/>
      <c r="P679" s="57"/>
      <c r="Q679" s="57"/>
      <c r="R679" s="2103"/>
      <c r="S679" s="254"/>
    </row>
    <row r="680" spans="1:19">
      <c r="A680" s="254"/>
      <c r="B680" s="57"/>
      <c r="C680" s="57"/>
      <c r="D680" s="57"/>
      <c r="E680" s="57"/>
      <c r="F680" s="57"/>
      <c r="G680" s="57"/>
      <c r="H680" s="57"/>
      <c r="I680" s="57"/>
      <c r="J680" s="57"/>
      <c r="K680" s="57"/>
      <c r="L680" s="57"/>
      <c r="M680" s="57"/>
      <c r="N680" s="57"/>
      <c r="O680" s="57"/>
      <c r="P680" s="57"/>
      <c r="Q680" s="57"/>
      <c r="R680" s="2103"/>
      <c r="S680" s="254"/>
    </row>
    <row r="681" spans="1:19">
      <c r="A681" s="254"/>
      <c r="B681" s="57"/>
      <c r="C681" s="57"/>
      <c r="D681" s="57"/>
      <c r="E681" s="57"/>
      <c r="F681" s="57"/>
      <c r="G681" s="57"/>
      <c r="H681" s="57"/>
      <c r="I681" s="57"/>
      <c r="J681" s="57"/>
      <c r="K681" s="57"/>
      <c r="L681" s="57"/>
      <c r="M681" s="57"/>
      <c r="N681" s="57"/>
      <c r="O681" s="57"/>
      <c r="P681" s="57"/>
      <c r="Q681" s="57"/>
      <c r="R681" s="2103"/>
      <c r="S681" s="254"/>
    </row>
    <row r="682" spans="1:19">
      <c r="A682" s="254"/>
      <c r="B682" s="57"/>
      <c r="C682" s="57"/>
      <c r="D682" s="57"/>
      <c r="E682" s="57"/>
      <c r="F682" s="57"/>
      <c r="G682" s="57"/>
      <c r="H682" s="57"/>
      <c r="I682" s="57"/>
      <c r="J682" s="57"/>
      <c r="K682" s="57"/>
      <c r="L682" s="57"/>
      <c r="M682" s="57"/>
      <c r="N682" s="57"/>
      <c r="O682" s="57"/>
      <c r="P682" s="57"/>
      <c r="Q682" s="57"/>
      <c r="R682" s="210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3" customFormat="1" ht="14.25" thickBot="1">
      <c r="A1" s="2712"/>
      <c r="B1" s="2714" t="s">
        <v>2767</v>
      </c>
      <c r="C1" s="2718">
        <f>项目基本情况!D3</f>
        <v>44234</v>
      </c>
      <c r="H1" s="2652">
        <f>IF(C1&gt;C13,0,MATCH(C1,C$13:C$100,-1))+IF(SUMIF(C13:C100,C1,D13:D100)=0,13,12)</f>
        <v>13</v>
      </c>
      <c r="I1" s="2652">
        <f>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2798</v>
      </c>
      <c r="C2" s="2719">
        <f>'数据-取费表'!B22</f>
        <v>2</v>
      </c>
      <c r="D2" s="2714" t="s">
        <v>2768</v>
      </c>
      <c r="E2" s="2717">
        <f ca="1">INDIRECT("I"&amp;$I$1)/100</f>
        <v>4.7500000000000001E-2</v>
      </c>
      <c r="G2" s="2654"/>
      <c r="H2" s="2654"/>
      <c r="I2" s="2654" t="s">
        <v>2769</v>
      </c>
      <c r="K2" s="2654"/>
      <c r="L2" s="2654"/>
      <c r="M2" s="2654"/>
      <c r="N2" s="2654" t="s">
        <v>2770</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2800</v>
      </c>
      <c r="C3" s="2716">
        <f>'数据-取费表'!B19</f>
        <v>0</v>
      </c>
      <c r="D3" s="2714" t="s">
        <v>2768</v>
      </c>
      <c r="E3" s="2717">
        <f ca="1">INDIRECT("J"&amp;$J$1)/100</f>
        <v>0</v>
      </c>
      <c r="G3" s="2656" t="s">
        <v>2771</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2799</v>
      </c>
      <c r="C4" s="2717">
        <f ca="1">N4/100</f>
        <v>1.4999999999999999E-2</v>
      </c>
      <c r="G4" s="2662" t="s">
        <v>2772</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2773</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2774</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2775</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2776</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2777</v>
      </c>
      <c r="C10" s="2681"/>
      <c r="D10" s="2681"/>
      <c r="E10" s="2681"/>
      <c r="F10" s="2681"/>
      <c r="G10" s="2681"/>
      <c r="H10" s="2681"/>
      <c r="I10" s="2655"/>
      <c r="J10" s="2655"/>
      <c r="K10" s="2681"/>
      <c r="L10" s="2682" t="s">
        <v>2778</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2779</v>
      </c>
      <c r="C11" s="2686" t="s">
        <v>2780</v>
      </c>
      <c r="D11" s="2687" t="s">
        <v>2781</v>
      </c>
      <c r="E11" s="2688"/>
      <c r="F11" s="2687" t="s">
        <v>2782</v>
      </c>
      <c r="G11" s="2689"/>
      <c r="H11" s="2688"/>
      <c r="I11" s="2687" t="s">
        <v>2783</v>
      </c>
      <c r="J11" s="2688"/>
      <c r="K11" s="2684"/>
      <c r="L11" s="2685" t="s">
        <v>2779</v>
      </c>
      <c r="M11" s="2686" t="s">
        <v>2780</v>
      </c>
      <c r="N11" s="2685" t="s">
        <v>2784</v>
      </c>
      <c r="O11" s="2687" t="s">
        <v>2785</v>
      </c>
      <c r="P11" s="2689"/>
      <c r="Q11" s="2689"/>
      <c r="R11" s="2689"/>
      <c r="S11" s="2689"/>
      <c r="T11" s="2688"/>
      <c r="U11" s="2687" t="s">
        <v>2786</v>
      </c>
      <c r="V11" s="2689"/>
      <c r="W11" s="2688"/>
      <c r="X11" s="2685" t="s">
        <v>2787</v>
      </c>
      <c r="Y11" s="2685" t="s">
        <v>2788</v>
      </c>
      <c r="Z11" s="2685" t="s">
        <v>2789</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2790</v>
      </c>
      <c r="E12" s="2694" t="s">
        <v>2791</v>
      </c>
      <c r="F12" s="2694" t="s">
        <v>2792</v>
      </c>
      <c r="G12" s="2694" t="s">
        <v>2793</v>
      </c>
      <c r="H12" s="2694" t="s">
        <v>2775</v>
      </c>
      <c r="I12" s="2695" t="s">
        <v>2794</v>
      </c>
      <c r="J12" s="2695" t="s">
        <v>2794</v>
      </c>
      <c r="K12" s="2691"/>
      <c r="L12" s="2692"/>
      <c r="M12" s="2693"/>
      <c r="N12" s="2692"/>
      <c r="O12" s="2695" t="s">
        <v>2795</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2796</v>
      </c>
      <c r="C13" s="2699">
        <v>42301</v>
      </c>
      <c r="D13" s="2700">
        <v>4.3499999999999996</v>
      </c>
      <c r="E13" s="2700">
        <v>4.3499999999999996</v>
      </c>
      <c r="F13" s="2700">
        <v>4.75</v>
      </c>
      <c r="G13" s="2700">
        <v>4.75</v>
      </c>
      <c r="H13" s="2700">
        <v>4.9000000000000004</v>
      </c>
      <c r="I13" s="2700">
        <v>2.75</v>
      </c>
      <c r="J13" s="2700">
        <v>3.25</v>
      </c>
      <c r="K13" s="2697"/>
      <c r="L13" s="2698" t="s">
        <v>2796</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2797</v>
      </c>
      <c r="Y42" s="2704" t="s">
        <v>2797</v>
      </c>
      <c r="Z42" s="2704" t="s">
        <v>2797</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2797</v>
      </c>
      <c r="Y43" s="2704" t="s">
        <v>2797</v>
      </c>
      <c r="Z43" s="2704" t="s">
        <v>2797</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2797</v>
      </c>
      <c r="Y44" s="2704" t="s">
        <v>2797</v>
      </c>
      <c r="Z44" s="2704" t="s">
        <v>2797</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2797</v>
      </c>
      <c r="Y45" s="2704" t="s">
        <v>2797</v>
      </c>
      <c r="Z45" s="2704" t="s">
        <v>2797</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2797</v>
      </c>
      <c r="Y46" s="2704" t="s">
        <v>2797</v>
      </c>
      <c r="Z46" s="2704" t="s">
        <v>2797</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2797</v>
      </c>
      <c r="Y47" s="2704" t="s">
        <v>2797</v>
      </c>
      <c r="Z47" s="2704" t="s">
        <v>2797</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2797</v>
      </c>
      <c r="Y48" s="2704" t="s">
        <v>2797</v>
      </c>
      <c r="Z48" s="2704" t="s">
        <v>2797</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2797</v>
      </c>
      <c r="Y49" s="2704" t="s">
        <v>2797</v>
      </c>
      <c r="Z49" s="2704" t="s">
        <v>2797</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2797</v>
      </c>
      <c r="Y50" s="2704" t="s">
        <v>2797</v>
      </c>
      <c r="Z50" s="2704" t="s">
        <v>2797</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2797</v>
      </c>
      <c r="V51" s="2704" t="s">
        <v>2797</v>
      </c>
      <c r="W51" s="2704" t="s">
        <v>2797</v>
      </c>
      <c r="X51" s="2704" t="s">
        <v>2797</v>
      </c>
      <c r="Y51" s="2704" t="s">
        <v>2797</v>
      </c>
      <c r="Z51" s="2704" t="s">
        <v>2797</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2797</v>
      </c>
      <c r="J55" s="2704" t="s">
        <v>2797</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Q163" sqref="Q163"/>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5" zoomScale="80" zoomScaleNormal="80" workbookViewId="0">
      <selection activeCell="Q148" sqref="Q148"/>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election activeCell="Q18" sqref="Q18"/>
    </sheetView>
  </sheetViews>
  <sheetFormatPr defaultRowHeight="13.5"/>
  <cols>
    <col min="10" max="10" width="11.625" bestFit="1" customWidth="1"/>
    <col min="11" max="11" width="10.5" bestFit="1" customWidth="1"/>
  </cols>
  <sheetData>
    <row r="1" spans="1:17" ht="14.25" thickBot="1">
      <c r="A1" s="3624" t="s">
        <v>3151</v>
      </c>
      <c r="B1" s="3625"/>
      <c r="C1" s="3625"/>
      <c r="D1" s="3625"/>
      <c r="E1" s="3626"/>
    </row>
    <row r="2" spans="1:17" ht="14.25" thickBot="1">
      <c r="A2" s="3624" t="s">
        <v>2360</v>
      </c>
      <c r="B2" s="3625"/>
      <c r="C2" s="3626"/>
      <c r="D2" s="3310" t="s">
        <v>3152</v>
      </c>
      <c r="E2" s="3310" t="s">
        <v>3153</v>
      </c>
    </row>
    <row r="3" spans="1:17" ht="14.25" thickBot="1">
      <c r="A3" s="3624" t="s">
        <v>3154</v>
      </c>
      <c r="B3" s="3625"/>
      <c r="C3" s="3626"/>
      <c r="D3" s="3310">
        <v>109865</v>
      </c>
      <c r="E3" s="3310" t="s">
        <v>3155</v>
      </c>
    </row>
    <row r="4" spans="1:17" ht="14.25" thickBot="1">
      <c r="A4" s="3624" t="s">
        <v>3156</v>
      </c>
      <c r="B4" s="3625"/>
      <c r="C4" s="3626"/>
      <c r="D4" s="3310">
        <v>342546.21</v>
      </c>
      <c r="E4" s="3310" t="s">
        <v>3155</v>
      </c>
    </row>
    <row r="5" spans="1:17" ht="14.25" thickBot="1">
      <c r="A5" s="3627"/>
      <c r="B5" s="3624" t="s">
        <v>3157</v>
      </c>
      <c r="C5" s="3626"/>
      <c r="D5" s="3310">
        <v>257732.21</v>
      </c>
      <c r="E5" s="3310" t="s">
        <v>3155</v>
      </c>
      <c r="G5" s="3245" t="s">
        <v>3184</v>
      </c>
      <c r="H5">
        <v>251990.46</v>
      </c>
      <c r="I5">
        <v>5000</v>
      </c>
      <c r="J5">
        <f>I5*H5</f>
        <v>1259952300</v>
      </c>
      <c r="K5">
        <f>J5/2</f>
        <v>629976150</v>
      </c>
      <c r="M5" s="3312" t="s">
        <v>3186</v>
      </c>
      <c r="N5" s="1706">
        <v>118470</v>
      </c>
      <c r="O5" s="1706">
        <v>5850</v>
      </c>
      <c r="P5" s="1706">
        <f>O5*N5/10000</f>
        <v>69304.95</v>
      </c>
      <c r="Q5">
        <f>N5*I5/10000</f>
        <v>59235</v>
      </c>
    </row>
    <row r="6" spans="1:17" ht="14.25" thickBot="1">
      <c r="A6" s="3628"/>
      <c r="B6" s="3627"/>
      <c r="C6" s="3310" t="s">
        <v>914</v>
      </c>
      <c r="D6" s="3310">
        <v>234922.21</v>
      </c>
      <c r="E6" s="3310" t="s">
        <v>3155</v>
      </c>
      <c r="G6" s="3245" t="s">
        <v>3185</v>
      </c>
      <c r="H6">
        <v>172461.34</v>
      </c>
      <c r="I6">
        <v>2000</v>
      </c>
      <c r="J6">
        <f>I6*H6</f>
        <v>344922680</v>
      </c>
      <c r="M6" s="3312" t="s">
        <v>3187</v>
      </c>
      <c r="N6" s="1706">
        <v>132795</v>
      </c>
      <c r="O6" s="1706">
        <v>6000</v>
      </c>
      <c r="P6" s="1706">
        <f>O6*N6/10000</f>
        <v>79677</v>
      </c>
      <c r="Q6">
        <f>I5*N6/10000</f>
        <v>66397.5</v>
      </c>
    </row>
    <row r="7" spans="1:17" ht="14.25" thickBot="1">
      <c r="A7" s="3628"/>
      <c r="B7" s="3628"/>
      <c r="C7" s="3310" t="s">
        <v>3158</v>
      </c>
      <c r="D7" s="3310">
        <v>3080.85</v>
      </c>
      <c r="E7" s="3310" t="s">
        <v>3155</v>
      </c>
      <c r="H7">
        <f>H5+H6</f>
        <v>424451.8</v>
      </c>
      <c r="I7">
        <f>J7/H7</f>
        <v>3781.0535377632987</v>
      </c>
      <c r="J7">
        <f>J5+J6</f>
        <v>1604874980</v>
      </c>
      <c r="N7">
        <f>H6</f>
        <v>172461.34</v>
      </c>
      <c r="O7">
        <v>2000</v>
      </c>
      <c r="P7">
        <f>O7*N7/10000</f>
        <v>34492.267999999996</v>
      </c>
    </row>
    <row r="8" spans="1:17" ht="14.25" thickBot="1">
      <c r="A8" s="3628"/>
      <c r="B8" s="3628"/>
      <c r="C8" s="3310" t="s">
        <v>3142</v>
      </c>
      <c r="D8" s="3310">
        <v>12356</v>
      </c>
      <c r="E8" s="3310" t="s">
        <v>3155</v>
      </c>
      <c r="P8">
        <f>P5+P6+P7</f>
        <v>183474.21799999999</v>
      </c>
    </row>
    <row r="9" spans="1:17" ht="14.25" thickBot="1">
      <c r="A9" s="3628"/>
      <c r="B9" s="3628"/>
      <c r="C9" s="3310" t="s">
        <v>3159</v>
      </c>
      <c r="D9" s="3310">
        <v>500</v>
      </c>
      <c r="E9" s="3310" t="s">
        <v>3155</v>
      </c>
    </row>
    <row r="10" spans="1:17" ht="14.25" thickBot="1">
      <c r="A10" s="3628"/>
      <c r="B10" s="3628"/>
      <c r="C10" s="3310" t="s">
        <v>3160</v>
      </c>
      <c r="D10" s="3310">
        <v>735.2</v>
      </c>
      <c r="E10" s="3310" t="s">
        <v>3155</v>
      </c>
    </row>
    <row r="11" spans="1:17" ht="24.75" thickBot="1">
      <c r="A11" s="3628"/>
      <c r="B11" s="3628"/>
      <c r="C11" s="3310" t="s">
        <v>3161</v>
      </c>
      <c r="D11" s="3310">
        <v>1092.96</v>
      </c>
      <c r="E11" s="3310" t="s">
        <v>3155</v>
      </c>
    </row>
    <row r="12" spans="1:17" ht="24.75" thickBot="1">
      <c r="A12" s="3628"/>
      <c r="B12" s="3628"/>
      <c r="C12" s="3310" t="s">
        <v>3162</v>
      </c>
      <c r="D12" s="3310">
        <v>100</v>
      </c>
      <c r="E12" s="3310" t="s">
        <v>3155</v>
      </c>
    </row>
    <row r="13" spans="1:17" ht="24.75" thickBot="1">
      <c r="A13" s="3628"/>
      <c r="B13" s="3628"/>
      <c r="C13" s="3310" t="s">
        <v>3163</v>
      </c>
      <c r="D13" s="3310">
        <v>750</v>
      </c>
      <c r="E13" s="3310" t="s">
        <v>3155</v>
      </c>
    </row>
    <row r="14" spans="1:17" ht="14.25" thickBot="1">
      <c r="A14" s="3628"/>
      <c r="B14" s="3628"/>
      <c r="C14" s="3310" t="s">
        <v>3164</v>
      </c>
      <c r="D14" s="3310">
        <v>700</v>
      </c>
      <c r="E14" s="3310" t="s">
        <v>3155</v>
      </c>
    </row>
    <row r="15" spans="1:17" ht="14.25" thickBot="1">
      <c r="A15" s="3628"/>
      <c r="B15" s="3628"/>
      <c r="C15" s="3310" t="s">
        <v>3165</v>
      </c>
      <c r="D15" s="3310">
        <v>660</v>
      </c>
      <c r="E15" s="3310" t="s">
        <v>3155</v>
      </c>
    </row>
    <row r="16" spans="1:17" ht="14.25" thickBot="1">
      <c r="A16" s="3628"/>
      <c r="B16" s="3628"/>
      <c r="C16" s="3310" t="s">
        <v>3166</v>
      </c>
      <c r="D16" s="3310">
        <v>80</v>
      </c>
      <c r="E16" s="3310" t="s">
        <v>3155</v>
      </c>
    </row>
    <row r="17" spans="1:5" ht="14.25" thickBot="1">
      <c r="A17" s="3628"/>
      <c r="B17" s="3628"/>
      <c r="C17" s="3310" t="s">
        <v>3167</v>
      </c>
      <c r="D17" s="3310">
        <v>100</v>
      </c>
      <c r="E17" s="3310" t="s">
        <v>3155</v>
      </c>
    </row>
    <row r="18" spans="1:5" ht="14.25" thickBot="1">
      <c r="A18" s="3628"/>
      <c r="B18" s="3628"/>
      <c r="C18" s="3310" t="s">
        <v>3168</v>
      </c>
      <c r="D18" s="3310">
        <v>2430</v>
      </c>
      <c r="E18" s="3310" t="s">
        <v>3155</v>
      </c>
    </row>
    <row r="19" spans="1:5" ht="14.25" thickBot="1">
      <c r="A19" s="3628"/>
      <c r="B19" s="3628"/>
      <c r="C19" s="3310" t="s">
        <v>3169</v>
      </c>
      <c r="D19" s="3310">
        <v>150</v>
      </c>
      <c r="E19" s="3310" t="s">
        <v>3155</v>
      </c>
    </row>
    <row r="20" spans="1:5" ht="14.25" thickBot="1">
      <c r="A20" s="3628"/>
      <c r="B20" s="3628"/>
      <c r="C20" s="3310" t="s">
        <v>3170</v>
      </c>
      <c r="D20" s="3310">
        <v>50</v>
      </c>
      <c r="E20" s="3310" t="s">
        <v>3155</v>
      </c>
    </row>
    <row r="21" spans="1:5" ht="24.75" thickBot="1">
      <c r="A21" s="3628"/>
      <c r="B21" s="3629"/>
      <c r="C21" s="3310" t="s">
        <v>3171</v>
      </c>
      <c r="D21" s="3310">
        <v>25</v>
      </c>
      <c r="E21" s="3310" t="s">
        <v>3155</v>
      </c>
    </row>
    <row r="22" spans="1:5" ht="14.25" thickBot="1">
      <c r="A22" s="3628"/>
      <c r="B22" s="3624" t="s">
        <v>3172</v>
      </c>
      <c r="C22" s="3626"/>
      <c r="D22" s="3310">
        <v>84814</v>
      </c>
      <c r="E22" s="3310" t="s">
        <v>3155</v>
      </c>
    </row>
    <row r="23" spans="1:5" ht="24.75" thickBot="1">
      <c r="A23" s="3628"/>
      <c r="B23" s="3627"/>
      <c r="C23" s="3310" t="s">
        <v>3173</v>
      </c>
      <c r="D23" s="3310">
        <v>60346</v>
      </c>
      <c r="E23" s="3310" t="s">
        <v>3155</v>
      </c>
    </row>
    <row r="24" spans="1:5" ht="14.25" thickBot="1">
      <c r="A24" s="3629"/>
      <c r="B24" s="3629"/>
      <c r="C24" s="3310" t="s">
        <v>3174</v>
      </c>
      <c r="D24" s="3310">
        <v>24468</v>
      </c>
      <c r="E24" s="3310" t="s">
        <v>3155</v>
      </c>
    </row>
    <row r="25" spans="1:5" ht="14.25" thickBot="1">
      <c r="A25" s="3624" t="s">
        <v>3175</v>
      </c>
      <c r="B25" s="3625"/>
      <c r="C25" s="3626"/>
      <c r="D25" s="3310">
        <v>1658</v>
      </c>
      <c r="E25" s="3310" t="s">
        <v>3176</v>
      </c>
    </row>
    <row r="26" spans="1:5" ht="14.25" thickBot="1">
      <c r="A26" s="3624" t="s">
        <v>3177</v>
      </c>
      <c r="B26" s="3625"/>
      <c r="C26" s="3626"/>
      <c r="D26" s="3310">
        <v>2263</v>
      </c>
      <c r="E26" s="3310" t="s">
        <v>3178</v>
      </c>
    </row>
    <row r="27" spans="1:5" ht="14.25" thickBot="1">
      <c r="A27" s="3624" t="s">
        <v>3179</v>
      </c>
      <c r="B27" s="3625"/>
      <c r="C27" s="3626"/>
      <c r="D27" s="3310">
        <v>54</v>
      </c>
      <c r="E27" s="3310" t="s">
        <v>3180</v>
      </c>
    </row>
    <row r="28" spans="1:5" ht="14.25" thickBot="1">
      <c r="A28" s="3624" t="s">
        <v>2020</v>
      </c>
      <c r="B28" s="3625"/>
      <c r="C28" s="3626"/>
      <c r="D28" s="3310"/>
      <c r="E28" s="3310"/>
    </row>
    <row r="29" spans="1:5" ht="14.25" thickBot="1">
      <c r="A29" s="3624" t="s">
        <v>3181</v>
      </c>
      <c r="B29" s="3625"/>
      <c r="C29" s="3626"/>
      <c r="D29" s="3311">
        <v>0.2</v>
      </c>
      <c r="E29" s="3310"/>
    </row>
    <row r="30" spans="1:5" ht="14.25" thickBot="1">
      <c r="A30" s="3624" t="s">
        <v>3182</v>
      </c>
      <c r="B30" s="3625"/>
      <c r="C30" s="3626"/>
      <c r="D30" s="3310" t="s">
        <v>3183</v>
      </c>
      <c r="E30" s="3310"/>
    </row>
  </sheetData>
  <mergeCells count="15">
    <mergeCell ref="A30:C30"/>
    <mergeCell ref="A1:E1"/>
    <mergeCell ref="A2:C2"/>
    <mergeCell ref="A3:C3"/>
    <mergeCell ref="A4:C4"/>
    <mergeCell ref="A5:A24"/>
    <mergeCell ref="B5:C5"/>
    <mergeCell ref="B6:B21"/>
    <mergeCell ref="B22:C22"/>
    <mergeCell ref="B23:B24"/>
    <mergeCell ref="A25:C25"/>
    <mergeCell ref="A26:C26"/>
    <mergeCell ref="A27:C27"/>
    <mergeCell ref="A28:C28"/>
    <mergeCell ref="A29:C29"/>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7" t="s">
        <v>2026</v>
      </c>
      <c r="B1" s="3317"/>
      <c r="C1" s="3317"/>
      <c r="D1" s="3317"/>
      <c r="E1" s="3317"/>
      <c r="F1" s="3317"/>
      <c r="G1" s="3317"/>
      <c r="H1" s="3317"/>
      <c r="I1" s="3317"/>
      <c r="J1" s="3317"/>
      <c r="K1" s="3317"/>
      <c r="L1" s="3317"/>
      <c r="M1" s="3317"/>
      <c r="N1" s="3317"/>
      <c r="O1" s="3317"/>
      <c r="P1" s="3317"/>
      <c r="Q1" s="3317"/>
      <c r="R1" s="3317"/>
    </row>
    <row r="2" spans="1:18">
      <c r="A2" s="1720" t="s">
        <v>2028</v>
      </c>
      <c r="B2" s="1720"/>
      <c r="C2" s="1720"/>
      <c r="D2" s="1720"/>
      <c r="E2" s="1720"/>
      <c r="F2" s="1720"/>
      <c r="G2" s="1720"/>
      <c r="H2" s="1720"/>
      <c r="I2" s="1721"/>
      <c r="J2" s="1721"/>
      <c r="K2" s="1722" t="str">
        <f>"估价期日："&amp;TEXT(项目基本情况!D3,"yyyy年m月d日;;")</f>
        <v>估价期日：2021年2月7日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18" t="s">
        <v>2017</v>
      </c>
      <c r="B3" s="3318" t="s">
        <v>2711</v>
      </c>
      <c r="C3" s="3319" t="s">
        <v>2018</v>
      </c>
      <c r="D3" s="3318" t="s">
        <v>2715</v>
      </c>
      <c r="E3" s="3321" t="s">
        <v>2019</v>
      </c>
      <c r="F3" s="3321"/>
      <c r="G3" s="3321"/>
      <c r="H3" s="3321" t="s">
        <v>2020</v>
      </c>
      <c r="I3" s="3321"/>
      <c r="J3" s="3321"/>
      <c r="K3" s="3319" t="s">
        <v>2021</v>
      </c>
      <c r="L3" s="3319" t="s">
        <v>2022</v>
      </c>
      <c r="M3" s="3318" t="s">
        <v>2712</v>
      </c>
      <c r="N3" s="3320" t="str">
        <f>"（分摊）"&amp;项目基本情况!B16&amp;"国有建设用地使用权面积/㎡"</f>
        <v>（分摊）出让国有建设用地使用权面积/㎡</v>
      </c>
      <c r="O3" s="3318" t="s">
        <v>2051</v>
      </c>
      <c r="P3" s="3319" t="s">
        <v>2031</v>
      </c>
      <c r="Q3" s="3319" t="s">
        <v>2052</v>
      </c>
      <c r="R3" s="3319" t="s">
        <v>2023</v>
      </c>
    </row>
    <row r="4" spans="1:18" ht="36.75" customHeight="1">
      <c r="A4" s="3318"/>
      <c r="B4" s="3318"/>
      <c r="C4" s="3319"/>
      <c r="D4" s="3318"/>
      <c r="E4" s="2488" t="s">
        <v>2030</v>
      </c>
      <c r="F4" s="2488" t="s">
        <v>2724</v>
      </c>
      <c r="G4" s="2488" t="s">
        <v>2024</v>
      </c>
      <c r="H4" s="2488" t="s">
        <v>2025</v>
      </c>
      <c r="I4" s="2488" t="s">
        <v>2725</v>
      </c>
      <c r="J4" s="2488" t="s">
        <v>2024</v>
      </c>
      <c r="K4" s="3319"/>
      <c r="L4" s="3319"/>
      <c r="M4" s="3318"/>
      <c r="N4" s="3320"/>
      <c r="O4" s="3318"/>
      <c r="P4" s="3319"/>
      <c r="Q4" s="3319"/>
      <c r="R4" s="3319"/>
    </row>
    <row r="5" spans="1:18" ht="135" customHeight="1">
      <c r="A5" s="1854" t="s">
        <v>2635</v>
      </c>
      <c r="B5" s="2581" t="s">
        <v>2633</v>
      </c>
      <c r="C5" s="2487">
        <v>22</v>
      </c>
      <c r="D5" s="2486" t="s">
        <v>2634</v>
      </c>
      <c r="E5" s="1723" t="str">
        <f>项目基本情况!B12</f>
        <v>出让</v>
      </c>
      <c r="F5" s="2486">
        <v>258</v>
      </c>
      <c r="G5" s="1723" t="str">
        <f>项目基本情况!B13</f>
        <v>出让</v>
      </c>
      <c r="H5" s="2486">
        <v>1.5</v>
      </c>
      <c r="I5" s="2486">
        <v>1.5</v>
      </c>
      <c r="J5" s="2486">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49955.92</v>
      </c>
      <c r="O5" s="1723">
        <f>项目基本情况!C21</f>
        <v>157059.36000000002</v>
      </c>
      <c r="P5" s="1723">
        <f ca="1">结果表!E42</f>
        <v>14138</v>
      </c>
      <c r="Q5" s="1723">
        <f ca="1">结果表!D42</f>
        <v>4497</v>
      </c>
      <c r="R5" s="1724">
        <f ca="1">结果表!C42</f>
        <v>70630</v>
      </c>
    </row>
    <row r="6" spans="1:18">
      <c r="A6" s="3314" t="str">
        <f>IF(项目基本情况!B9="市场价格","——","抵押价格")</f>
        <v>抵押价格</v>
      </c>
      <c r="B6" s="3315"/>
      <c r="C6" s="3315"/>
      <c r="D6" s="3315"/>
      <c r="E6" s="3315"/>
      <c r="F6" s="3315"/>
      <c r="G6" s="3315"/>
      <c r="H6" s="3315"/>
      <c r="I6" s="3315"/>
      <c r="J6" s="3315"/>
      <c r="K6" s="3315"/>
      <c r="L6" s="3315"/>
      <c r="M6" s="3315"/>
      <c r="N6" s="3315"/>
      <c r="O6" s="3315"/>
      <c r="P6" s="3315"/>
      <c r="Q6" s="3316"/>
      <c r="R6" s="1725">
        <f ca="1">结果表!O39</f>
        <v>70630</v>
      </c>
    </row>
    <row r="7" spans="1:18">
      <c r="A7" s="3314" t="str">
        <f>IF(项目基本情况!B9="市场价格","——",IF(项目基本情况!E8="已注销及未注销","抵押担保权已注销时的抵押价格","——"))</f>
        <v>——</v>
      </c>
      <c r="B7" s="3315"/>
      <c r="C7" s="3315"/>
      <c r="D7" s="3315"/>
      <c r="E7" s="3315"/>
      <c r="F7" s="3315"/>
      <c r="G7" s="3315"/>
      <c r="H7" s="3315"/>
      <c r="I7" s="3315"/>
      <c r="J7" s="3315"/>
      <c r="K7" s="3315"/>
      <c r="L7" s="3315"/>
      <c r="M7" s="3315"/>
      <c r="N7" s="3315"/>
      <c r="O7" s="3315"/>
      <c r="P7" s="3315"/>
      <c r="Q7" s="3316"/>
      <c r="R7" s="1725" t="str">
        <f>结果表!O40</f>
        <v>——</v>
      </c>
    </row>
    <row r="8" spans="1:18">
      <c r="A8" s="3314" t="str">
        <f>IF(项目基本情况!B9="市场价格","——",项目基本情况!E9)</f>
        <v>——</v>
      </c>
      <c r="B8" s="3315"/>
      <c r="C8" s="3315"/>
      <c r="D8" s="3315"/>
      <c r="E8" s="3315"/>
      <c r="F8" s="3315"/>
      <c r="G8" s="3315"/>
      <c r="H8" s="3315"/>
      <c r="I8" s="3315"/>
      <c r="J8" s="3315"/>
      <c r="K8" s="3315"/>
      <c r="L8" s="3315"/>
      <c r="M8" s="3315"/>
      <c r="N8" s="3315"/>
      <c r="O8" s="3315"/>
      <c r="P8" s="3315"/>
      <c r="Q8" s="3316"/>
      <c r="R8" s="1725" t="str">
        <f>结果表!O41</f>
        <v>——</v>
      </c>
    </row>
    <row r="9" spans="1:18">
      <c r="A9" s="1726" t="s">
        <v>2029</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2016</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22" t="s">
        <v>2053</v>
      </c>
      <c r="B1" s="3322"/>
      <c r="C1" s="3322"/>
      <c r="D1" s="3322"/>
    </row>
    <row r="2" spans="1:4" ht="47.25" customHeight="1">
      <c r="A2" s="3326" t="str">
        <f>"1.权利限制："&amp;项目基本情况!L24&amp;"未设定租赁等其他他项权利。"</f>
        <v>1.权利限制：根据估价对象《不动产权证书》复印件、《国有土地使用权》复印件，截至估价期日，估价对象抵押权未见登记。未设定租赁等其他他项权利。</v>
      </c>
      <c r="B2" s="3326"/>
      <c r="C2" s="3326"/>
      <c r="D2" s="3326"/>
    </row>
    <row r="3" spans="1:4" ht="48" customHeight="1">
      <c r="A3" s="33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22"/>
      <c r="C3" s="3322"/>
      <c r="D3" s="3322"/>
    </row>
    <row r="4" spans="1:4" ht="36.75" customHeight="1">
      <c r="A4" s="3322" t="str">
        <f>"3.估价规划限制条件：详见"&amp;项目基本情况!E21&amp;"。"</f>
        <v>3.估价规划限制条件：详见《建设工程规划许可证》[]、《出让合同》[]。</v>
      </c>
      <c r="B4" s="3322"/>
      <c r="C4" s="3322"/>
      <c r="D4" s="3322"/>
    </row>
    <row r="5" spans="1:4">
      <c r="A5" s="3325" t="s">
        <v>2054</v>
      </c>
      <c r="B5" s="3325"/>
      <c r="C5" s="3325"/>
      <c r="D5" s="3325"/>
    </row>
    <row r="6" spans="1:4">
      <c r="A6" s="3322" t="s">
        <v>2032</v>
      </c>
      <c r="B6" s="3322"/>
      <c r="C6" s="3322"/>
      <c r="D6" s="3322"/>
    </row>
    <row r="7" spans="1:4" ht="33" customHeight="1">
      <c r="A7" s="3322" t="s">
        <v>2555</v>
      </c>
      <c r="B7" s="3322"/>
      <c r="C7" s="3322"/>
      <c r="D7" s="3322"/>
    </row>
    <row r="8" spans="1:4" ht="32.25" customHeight="1">
      <c r="A8" s="33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2"/>
      <c r="C8" s="3322"/>
      <c r="D8" s="3322"/>
    </row>
    <row r="9" spans="1:4" ht="33.75" customHeight="1">
      <c r="A9" s="33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2"/>
      <c r="C9" s="3322"/>
      <c r="D9" s="3322"/>
    </row>
    <row r="10" spans="1:4">
      <c r="A10" s="3322" t="str">
        <f>IF(项目基本情况!B8="抵押","4.估价师所知悉的法定优先受偿款情况为：","——")</f>
        <v>4.估价师所知悉的法定优先受偿款情况为：</v>
      </c>
      <c r="B10" s="3322"/>
      <c r="C10" s="3322"/>
      <c r="D10" s="3322"/>
    </row>
    <row r="11" spans="1:4" ht="37.5" customHeight="1">
      <c r="A11" s="3324" t="str">
        <f>IF(项目基本情况!B8="抵押","（1）"&amp;CONCATENATE(项目基本情况!L24,项目基本情况!L25,项目基本情况!L26),"——")</f>
        <v>（1）根据估价对象《不动产权证书》复印件、《国有土地使用权》复印件，截至估价期日，估价对象抵押权未见登记。</v>
      </c>
      <c r="B11" s="3324"/>
      <c r="C11" s="3324"/>
      <c r="D11" s="3324"/>
    </row>
    <row r="12" spans="1:4" ht="168" customHeight="1">
      <c r="A12" s="3325" t="s">
        <v>2056</v>
      </c>
      <c r="B12" s="3325"/>
      <c r="C12" s="3325"/>
      <c r="D12" s="3325"/>
    </row>
    <row r="13" spans="1:4">
      <c r="A13" s="3323" t="s">
        <v>2726</v>
      </c>
      <c r="B13" s="3323"/>
      <c r="C13" s="3323"/>
      <c r="D13" s="3323"/>
    </row>
    <row r="14" spans="1:4">
      <c r="A14" s="3324" t="str">
        <f>IF(项目基本情况!B8="抵押","综上，"&amp;结果表!K47,"——")</f>
        <v>综上，本次评估不存在估价师知悉的法定优先受偿款</v>
      </c>
      <c r="B14" s="3324"/>
      <c r="C14" s="3324"/>
      <c r="D14" s="3324"/>
    </row>
    <row r="15" spans="1:4" ht="58.5" customHeight="1">
      <c r="A15" s="33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2"/>
      <c r="C15" s="3322"/>
      <c r="D15" s="3322"/>
    </row>
    <row r="16" spans="1:4" ht="70.5" customHeight="1">
      <c r="A16" s="33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2"/>
      <c r="C16" s="3322"/>
      <c r="D16" s="3322"/>
    </row>
    <row r="17" spans="1:4">
      <c r="A17" s="3322" t="s">
        <v>2682</v>
      </c>
      <c r="B17" s="3322"/>
      <c r="C17" s="3322"/>
      <c r="D17" s="3322"/>
    </row>
    <row r="18" spans="1:4">
      <c r="A18" s="3322" t="s">
        <v>2674</v>
      </c>
      <c r="B18" s="3322"/>
      <c r="C18" s="3322"/>
      <c r="D18" s="3322"/>
    </row>
    <row r="19" spans="1:4">
      <c r="A19" s="2582" t="s">
        <v>2675</v>
      </c>
      <c r="B19" s="2582" t="s">
        <v>2676</v>
      </c>
      <c r="C19" s="2582" t="s">
        <v>2677</v>
      </c>
      <c r="D19" s="2582" t="s">
        <v>2678</v>
      </c>
    </row>
    <row r="20" spans="1:4">
      <c r="A20" s="2582" t="str">
        <f>项目基本情况!B4</f>
        <v>王鹏</v>
      </c>
      <c r="B20" s="2582">
        <f ca="1">项目基本情况!C4</f>
        <v>2002110030</v>
      </c>
      <c r="C20" s="2584"/>
      <c r="D20" s="1713" t="s">
        <v>2683</v>
      </c>
    </row>
    <row r="21" spans="1:4">
      <c r="A21" s="2582" t="str">
        <f>项目基本情况!D4</f>
        <v>郑燚</v>
      </c>
      <c r="B21" s="2582">
        <f ca="1">项目基本情况!E4</f>
        <v>2014110011</v>
      </c>
      <c r="C21" s="2584"/>
      <c r="D21" s="1713" t="s">
        <v>2684</v>
      </c>
    </row>
    <row r="23" spans="1:4">
      <c r="A23" s="3322" t="s">
        <v>2679</v>
      </c>
      <c r="B23" s="3322"/>
      <c r="C23" s="3322"/>
      <c r="D23" s="3322"/>
    </row>
    <row r="24" spans="1:4">
      <c r="A24" s="2582" t="s">
        <v>2675</v>
      </c>
      <c r="B24" s="2582" t="s">
        <v>2680</v>
      </c>
      <c r="C24" s="2582" t="s">
        <v>2677</v>
      </c>
      <c r="D24" s="2582" t="s">
        <v>2678</v>
      </c>
    </row>
    <row r="25" spans="1:4">
      <c r="A25" s="2585" t="s">
        <v>2681</v>
      </c>
      <c r="B25" s="2582" t="s">
        <v>943</v>
      </c>
      <c r="C25" s="2584"/>
      <c r="D25" s="1713" t="s">
        <v>2684</v>
      </c>
    </row>
    <row r="29" spans="1:4">
      <c r="D29" s="2583" t="s">
        <v>2027</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34" t="s">
        <v>53</v>
      </c>
      <c r="B15" s="3335" t="s">
        <v>838</v>
      </c>
      <c r="C15" s="3331"/>
    </row>
    <row r="16" spans="1:7" ht="14.25">
      <c r="A16" s="3334"/>
      <c r="B16" s="3332" t="s">
        <v>54</v>
      </c>
      <c r="C16" s="1154" t="s">
        <v>53</v>
      </c>
    </row>
    <row r="17" spans="1:3" ht="14.25">
      <c r="A17" s="3334"/>
      <c r="B17" s="3332"/>
      <c r="C17" s="1154" t="s">
        <v>55</v>
      </c>
    </row>
    <row r="18" spans="1:3" ht="14.25">
      <c r="A18" s="3334"/>
      <c r="B18" s="3332"/>
      <c r="C18" s="1154" t="s">
        <v>56</v>
      </c>
    </row>
    <row r="19" spans="1:3" ht="14.25">
      <c r="A19" s="3334"/>
      <c r="B19" s="3330" t="s">
        <v>57</v>
      </c>
      <c r="C19" s="3331"/>
    </row>
    <row r="20" spans="1:3" ht="14.25">
      <c r="A20" s="1155" t="s">
        <v>58</v>
      </c>
      <c r="B20" s="1156"/>
      <c r="C20" s="1157"/>
    </row>
    <row r="21" spans="1:3" ht="14.25">
      <c r="A21" s="3333" t="s">
        <v>59</v>
      </c>
      <c r="B21" s="3330" t="s">
        <v>60</v>
      </c>
      <c r="C21" s="3331"/>
    </row>
    <row r="22" spans="1:3" ht="14.25">
      <c r="A22" s="3333"/>
      <c r="B22" s="3330" t="s">
        <v>61</v>
      </c>
      <c r="C22" s="3331"/>
    </row>
    <row r="23" spans="1:3" ht="14.25">
      <c r="A23" s="3333"/>
      <c r="B23" s="3330" t="s">
        <v>62</v>
      </c>
      <c r="C23" s="3331"/>
    </row>
    <row r="24" spans="1:3" ht="14.25">
      <c r="A24" s="3333"/>
      <c r="B24" s="3336" t="s">
        <v>63</v>
      </c>
      <c r="C24" s="1158" t="s">
        <v>829</v>
      </c>
    </row>
    <row r="25" spans="1:3" ht="14.25">
      <c r="A25" s="3333"/>
      <c r="B25" s="3337"/>
      <c r="C25" s="1158" t="s">
        <v>830</v>
      </c>
    </row>
    <row r="26" spans="1:3" ht="14.25">
      <c r="A26" s="3333"/>
      <c r="B26" s="3337"/>
      <c r="C26" s="1158" t="s">
        <v>831</v>
      </c>
    </row>
    <row r="27" spans="1:3" ht="14.25">
      <c r="A27" s="3333"/>
      <c r="B27" s="3337"/>
      <c r="C27" s="1158" t="s">
        <v>832</v>
      </c>
    </row>
    <row r="28" spans="1:3" ht="14.25">
      <c r="A28" s="3333"/>
      <c r="B28" s="3337"/>
      <c r="C28" s="1158" t="s">
        <v>833</v>
      </c>
    </row>
    <row r="29" spans="1:3" ht="14.25">
      <c r="A29" s="3333"/>
      <c r="B29" s="3337"/>
      <c r="C29" s="1158" t="s">
        <v>834</v>
      </c>
    </row>
    <row r="30" spans="1:3" ht="14.25">
      <c r="A30" s="3333"/>
      <c r="B30" s="3337"/>
      <c r="C30" s="1158" t="s">
        <v>835</v>
      </c>
    </row>
    <row r="31" spans="1:3" ht="14.25">
      <c r="A31" s="3333"/>
      <c r="B31" s="3337"/>
      <c r="C31" s="1158" t="s">
        <v>836</v>
      </c>
    </row>
    <row r="32" spans="1:3" ht="14.25">
      <c r="A32" s="3333"/>
      <c r="B32" s="3337"/>
      <c r="C32" s="1158" t="s">
        <v>1637</v>
      </c>
    </row>
    <row r="33" spans="1:3" ht="14.25">
      <c r="A33" s="3333"/>
      <c r="B33" s="3327" t="s">
        <v>1643</v>
      </c>
      <c r="C33" s="1158" t="s">
        <v>1638</v>
      </c>
    </row>
    <row r="34" spans="1:3" ht="14.25">
      <c r="A34" s="3333"/>
      <c r="B34" s="3328"/>
      <c r="C34" s="1163" t="s">
        <v>1639</v>
      </c>
    </row>
    <row r="35" spans="1:3" ht="14.25">
      <c r="A35" s="3333"/>
      <c r="B35" s="3328"/>
      <c r="C35" s="1164" t="s">
        <v>1640</v>
      </c>
    </row>
    <row r="36" spans="1:3" ht="14.25">
      <c r="A36" s="3333"/>
      <c r="B36" s="3328"/>
      <c r="C36" s="1164" t="s">
        <v>1641</v>
      </c>
    </row>
    <row r="37" spans="1:3" ht="14.25">
      <c r="A37" s="3333"/>
      <c r="B37" s="332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44250</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f ca="1">IF(C6&lt;B2,"已过期",1120050019)</f>
        <v>1120050019</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2944</v>
      </c>
      <c r="B12" s="3027">
        <f ca="1">IF(C12&lt;B2,"已过期",1120040230)</f>
        <v>1120040230</v>
      </c>
      <c r="C12" s="3030">
        <v>44864</v>
      </c>
      <c r="D12" s="3038" t="s">
        <v>2945</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f ca="1">IF(C14&lt;B2,"已过期",1120020033)</f>
        <v>1120020033</v>
      </c>
      <c r="C14" s="3030">
        <v>44339</v>
      </c>
      <c r="D14" s="3038" t="s">
        <v>1914</v>
      </c>
      <c r="E14" s="3027">
        <f ca="1">IF(F14&lt;B2,"已过期",2000110137)</f>
        <v>2000110137</v>
      </c>
      <c r="F14" s="3029">
        <v>46387</v>
      </c>
      <c r="G14" s="3022"/>
    </row>
    <row r="15" spans="1:7" ht="20.25" customHeight="1">
      <c r="A15" s="3027" t="s">
        <v>2959</v>
      </c>
      <c r="B15" s="3027">
        <f ca="1">IF(C14&lt;B2,"已过期",1119980106)</f>
        <v>1119980106</v>
      </c>
      <c r="C15" s="3030">
        <v>44969</v>
      </c>
      <c r="D15" s="3038"/>
      <c r="E15" s="3027"/>
      <c r="F15" s="3027"/>
      <c r="G15" s="3022"/>
    </row>
    <row r="16" spans="1:7" s="2828" customFormat="1" ht="20.25" customHeight="1">
      <c r="A16" s="3026" t="s">
        <v>2041</v>
      </c>
      <c r="B16" s="3026" t="s">
        <v>2041</v>
      </c>
      <c r="C16" s="3030"/>
      <c r="D16" s="3039" t="s">
        <v>2041</v>
      </c>
      <c r="E16" s="3027" t="s">
        <v>2041</v>
      </c>
      <c r="F16" s="3029"/>
      <c r="G16" s="3031"/>
    </row>
    <row r="17" spans="1:7" ht="20.25" customHeight="1">
      <c r="A17" s="3341" t="s">
        <v>1915</v>
      </c>
      <c r="B17" s="3342"/>
      <c r="C17" s="3342"/>
      <c r="D17" s="3342"/>
      <c r="E17" s="3342"/>
      <c r="F17" s="3342"/>
      <c r="G17" s="3031"/>
    </row>
    <row r="18" spans="1:7" ht="20.25" customHeight="1">
      <c r="A18" s="3338" t="s">
        <v>1916</v>
      </c>
      <c r="B18" s="3338"/>
      <c r="C18" s="3339"/>
      <c r="D18" s="3340" t="s">
        <v>1917</v>
      </c>
      <c r="E18" s="3338"/>
      <c r="F18" s="3338"/>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2958</v>
      </c>
      <c r="F21" s="3035">
        <v>44012</v>
      </c>
      <c r="G21" s="3023"/>
    </row>
    <row r="22" spans="1:7" ht="20.25" customHeight="1">
      <c r="A22" s="3022"/>
      <c r="B22" s="3022"/>
      <c r="C22" s="3036"/>
      <c r="D22" s="3044"/>
      <c r="E22" s="3045"/>
      <c r="F22" s="3037" t="s">
        <v>2972</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7" sqref="A27"/>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2526</v>
      </c>
      <c r="R1" s="2429" t="s">
        <v>2520</v>
      </c>
      <c r="S1" s="6" t="s">
        <v>146</v>
      </c>
      <c r="T1" s="7" t="s">
        <v>147</v>
      </c>
      <c r="U1" s="6" t="s">
        <v>148</v>
      </c>
      <c r="V1" s="6" t="s">
        <v>149</v>
      </c>
      <c r="W1" s="991"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7" t="s">
        <v>1702</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89"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9" t="s">
        <v>2920</v>
      </c>
      <c r="C18" s="1490"/>
    </row>
    <row r="19" spans="1:3">
      <c r="A19" s="8" t="s">
        <v>120</v>
      </c>
      <c r="B19" s="2789" t="s">
        <v>2927</v>
      </c>
      <c r="C19" s="1490"/>
    </row>
    <row r="20" spans="1:3">
      <c r="A20" s="8" t="s">
        <v>121</v>
      </c>
      <c r="B20" s="2789" t="s">
        <v>2973</v>
      </c>
      <c r="C20" s="1490"/>
    </row>
    <row r="21" spans="1:3">
      <c r="A21" s="8" t="s">
        <v>122</v>
      </c>
      <c r="B21" s="8" t="s">
        <v>1632</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2789" t="s">
        <v>3143</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石家庄市东至祁连街、西至规划路、南至规划路、北至漓江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1974</v>
      </c>
      <c r="B52" s="1684" t="s">
        <v>1975</v>
      </c>
      <c r="C52" s="1682" t="s">
        <v>1976</v>
      </c>
      <c r="D52" s="1682" t="s">
        <v>1977</v>
      </c>
      <c r="E52" s="1683"/>
    </row>
    <row r="53" spans="1:5">
      <c r="A53" s="3343" t="s">
        <v>1978</v>
      </c>
      <c r="B53" s="1682" t="s">
        <v>1984</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平整，设定用途为出让，剩余土地使用年限为的出让国有建设用地使用权价格。</v>
      </c>
      <c r="D53" s="1683"/>
      <c r="E53" s="1683"/>
    </row>
    <row r="54" spans="1:5">
      <c r="A54" s="3343"/>
      <c r="B54" s="1682" t="s">
        <v>1985</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43"/>
      <c r="B55" s="1682" t="s">
        <v>1979</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43"/>
      <c r="B56" s="1682" t="s">
        <v>1980</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43"/>
      <c r="B57" s="1682" t="s">
        <v>1981</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2037</v>
      </c>
      <c r="B58" s="1682"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163</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酒店收入计算</vt:lpstr>
      <vt:lpstr>成本逼近法</vt:lpstr>
      <vt:lpstr>不动产比较法-商业</vt:lpstr>
      <vt:lpstr>不动产比较法-办公</vt:lpstr>
      <vt:lpstr>不动产比较法-工业</vt:lpstr>
      <vt:lpstr>不动产比较法-车位</vt:lpstr>
      <vt:lpstr>不动产收益法 (车库)</vt:lpstr>
      <vt:lpstr>不动产收益法</vt:lpstr>
      <vt:lpstr>比较法-售价</vt:lpstr>
      <vt:lpstr>不动产比较法-仓储</vt:lpstr>
      <vt:lpstr>典型户型修正</vt:lpstr>
      <vt:lpstr>存贷款利率</vt:lpstr>
      <vt:lpstr>租金案例</vt:lpstr>
      <vt:lpstr>住宅土地案例</vt:lpstr>
      <vt:lpstr>Sheet1</vt:lpstr>
      <vt:lpstr>'比较法-工业'!Print_Area</vt:lpstr>
      <vt:lpstr>'比较法-售价'!Print_Area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'比较法-售价'!套工交易情况</vt:lpstr>
      <vt:lpstr>套工交易情况</vt:lpstr>
      <vt:lpstr>套工开发程度</vt:lpstr>
      <vt:lpstr>套工临街等级</vt:lpstr>
      <vt:lpstr>套工土地级别</vt:lpstr>
      <vt:lpstr>套工用途</vt:lpstr>
      <vt:lpstr>套工宗地形状</vt:lpstr>
      <vt:lpstr>'比较法-售价'!套综道路等级</vt:lpstr>
      <vt:lpstr>套综道路等级</vt:lpstr>
      <vt:lpstr>'比较法-售价'!套综工程地质条件</vt:lpstr>
      <vt:lpstr>套综工程地质条件</vt:lpstr>
      <vt:lpstr>'比较法-售价'!套综交易情况</vt:lpstr>
      <vt:lpstr>套综交易情况</vt:lpstr>
      <vt:lpstr>'比较法-售价'!套综临街宽度及深度</vt:lpstr>
      <vt:lpstr>套综临街宽度及深度</vt:lpstr>
      <vt:lpstr>'比较法-售价'!套综土地级别</vt:lpstr>
      <vt:lpstr>套综土地级别</vt:lpstr>
      <vt:lpstr>'比较法-售价'!套综用途</vt:lpstr>
      <vt:lpstr>套综用途</vt:lpstr>
      <vt:lpstr>'比较法-售价'!套综宗地内开发程度</vt:lpstr>
      <vt:lpstr>套综宗地内开发程度</vt:lpstr>
      <vt:lpstr>'比较法-售价'!套综宗地形状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2021-02-23T06:49:36Z</dcterms:modified>
</cp:coreProperties>
</file>