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C14" i="12" s="1"/>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C11" i="12" s="1"/>
  <c r="C15" i="12" s="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D20" i="57"/>
  <c r="E2" i="37"/>
  <c r="C20" i="57"/>
  <c r="E2" i="33"/>
  <c r="D19" i="57"/>
  <c r="H23" i="31"/>
  <c r="E2" i="11"/>
  <c r="E2" i="36"/>
  <c r="E2" i="34"/>
  <c r="C19" i="57"/>
  <c r="B54" i="43" l="1"/>
  <c r="C25" i="39"/>
  <c r="AC33" i="21"/>
  <c r="W17" i="21"/>
  <c r="B60" i="43"/>
  <c r="AB44" i="21"/>
  <c r="C23" i="12"/>
  <c r="J52" i="15"/>
  <c r="B13" i="1"/>
  <c r="L49" i="15" s="1"/>
  <c r="J54" i="15" s="1"/>
  <c r="B33" i="1" s="1"/>
  <c r="F41" i="15" s="1"/>
  <c r="F70" i="15" s="1"/>
  <c r="C13" i="12"/>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AB34" i="21" s="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W40"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F10" i="39"/>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U42" i="21" l="1"/>
  <c r="W34" i="21"/>
  <c r="AA34" i="21"/>
  <c r="AB32" i="21"/>
  <c r="S10" i="21"/>
  <c r="N60" i="15"/>
  <c r="M60" i="15"/>
  <c r="L60" i="15"/>
  <c r="H7" i="21"/>
  <c r="AB7" i="21" s="1"/>
  <c r="T48" i="21" s="1"/>
  <c r="G48" i="21" s="1"/>
  <c r="H7" i="37"/>
  <c r="F7" i="36"/>
  <c r="S42" i="21"/>
  <c r="H7" i="36"/>
  <c r="AC42" i="21"/>
  <c r="W42" i="21"/>
  <c r="S40" i="21"/>
  <c r="AB40" i="21"/>
  <c r="U40" i="21"/>
  <c r="W32" i="21"/>
  <c r="AC32" i="21"/>
  <c r="S32" i="21"/>
  <c r="AA32" i="21"/>
  <c r="U10" i="21"/>
  <c r="AC10" i="21"/>
  <c r="W10" i="21"/>
  <c r="C19" i="15"/>
  <c r="C20" i="15" s="1"/>
  <c r="C26" i="15" s="1"/>
  <c r="J10" i="40"/>
  <c r="AC10" i="40" s="1"/>
  <c r="H10" i="40"/>
  <c r="U10" i="40" s="1"/>
  <c r="Q50" i="15"/>
  <c r="J10" i="39"/>
  <c r="W10" i="39" s="1"/>
  <c r="F10" i="40"/>
  <c r="AA10" i="40" s="1"/>
  <c r="L59" i="15"/>
  <c r="J58" i="15"/>
  <c r="J56" i="15" s="1"/>
  <c r="J59" i="15" s="1"/>
  <c r="Q48" i="15" s="1"/>
  <c r="L57" i="15"/>
  <c r="S10" i="40"/>
  <c r="AC10" i="39"/>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10" i="40"/>
  <c r="C39" i="1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F5" i="61"/>
  <c r="D3" i="61"/>
  <c r="D7" i="61"/>
  <c r="F7" i="61"/>
  <c r="F4" i="61"/>
  <c r="F6" i="61"/>
  <c r="F3" i="61"/>
  <c r="D5" i="61"/>
  <c r="D6" i="61"/>
  <c r="D4" i="61"/>
  <c r="U7" i="21" l="1"/>
  <c r="Q72" i="15"/>
  <c r="Q59" i="15"/>
  <c r="W10" i="40"/>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J22" i="15"/>
  <c r="J13" i="15"/>
  <c r="J23" i="15" s="1"/>
  <c r="J34" i="15"/>
  <c r="C37" i="15"/>
  <c r="C30" i="15" s="1"/>
  <c r="C39" i="15" s="1"/>
  <c r="Q68" i="15"/>
  <c r="C57" i="15"/>
  <c r="C66" i="15" s="1"/>
  <c r="K70" i="39"/>
  <c r="L68" i="39"/>
  <c r="B3" i="11"/>
  <c r="B2" i="11"/>
  <c r="C62" i="15"/>
  <c r="C60" i="15" s="1"/>
  <c r="C65" i="15"/>
  <c r="Q46" i="15"/>
  <c r="L47" i="15"/>
  <c r="C56" i="11"/>
  <c r="C57" i="11" s="1"/>
  <c r="H7" i="40" l="1"/>
  <c r="U7" i="40" s="1"/>
  <c r="F7" i="40"/>
  <c r="AA7" i="40" s="1"/>
  <c r="R42" i="40" s="1"/>
  <c r="J16" i="15"/>
  <c r="J25" i="15" s="1"/>
  <c r="C59" i="15"/>
  <c r="C68" i="15" s="1"/>
  <c r="C69" i="15" s="1"/>
  <c r="C72" i="15" s="1"/>
  <c r="J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19" i="9"/>
  <c r="E2" i="21"/>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<sst xmlns="http://schemas.openxmlformats.org/spreadsheetml/2006/main" count="6886" uniqueCount="2911">
  <si>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</si>
  <si>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</si>
  <si>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</si>
  <si>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</si>
  <si>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</si>
  <si>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</si>
  <si>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</si>
  <si>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</si>
  <si>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</si>
  <si>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</si>
  <si>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</si>
  <si>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</si>
  <si>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</si>
  <si>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</si>
  <si>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</si>
  <si>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</si>
  <si>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</si>
  <si>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</si>
  <si>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</si>
  <si>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</si>
  <si>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</si>
  <si>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</si>
  <si>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</si>
  <si>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</si>
  <si>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</si>
  <si>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</si>
  <si>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</si>
  <si>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</si>
  <si>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</si>
  <si>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</si>
  <si>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</si>
  <si>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</si>
  <si>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</si>
  <si>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</si>
  <si>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</si>
  <si>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</si>
  <si>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</si>
  <si>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</si>
  <si>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</si>
  <si>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</si>
  <si>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</si>
  <si>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</si>
  <si>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</si>
  <si>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</si>
  <si>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</si>
  <si>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</si>
  <si>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</si>
  <si>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</si>
  <si>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</si>
  <si>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</si>
  <si>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</si>
  <si>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</si>
  <si>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</si>
  <si>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</si>
  <si>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</si>
  <si>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</si>
  <si>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</si>
  <si>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</si>
  <si>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</si>
  <si>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</si>
  <si>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</si>
  <si>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</si>
  <si>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</si>
  <si>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</si>
  <si>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</si>
  <si>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</si>
  <si>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</si>
  <si>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</si>
  <si>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</si>
  <si>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</si>
  <si>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</si>
  <si>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</si>
  <si>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</si>
  <si>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</si>
  <si>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</si>
  <si>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</si>
  <si>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</si>
  <si>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</si>
  <si>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</si>
  <si>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</si>
  <si>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</si>
  <si>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</si>
  <si>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</si>
  <si>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</si>
  <si>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</si>
  <si>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</si>
  <si>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</si>
  <si>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</si>
  <si>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</si>
  <si>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</si>
  <si>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</si>
  <si>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</si>
  <si>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</si>
  <si>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</si>
  <si>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</si>
  <si>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</si>
  <si>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</si>
  <si>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</si>
  <si>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</si>
  <si>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</si>
  <si>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</si>
  <si>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</si>
  <si>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</si>
  <si>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</si>
  <si>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</si>
  <si>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</si>
  <si>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</si>
  <si>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</si>
  <si>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</si>
  <si>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</si>
  <si>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</si>
  <si>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</si>
  <si>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</si>
  <si>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</si>
  <si>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</si>
  <si>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</si>
  <si>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</si>
  <si>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</si>
  <si>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</si>
  <si>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</si>
  <si>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</si>
  <si>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</si>
  <si>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</si>
  <si>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</si>
  <si>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</si>
  <si>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</si>
  <si>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</si>
  <si>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</si>
  <si>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</si>
  <si>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</si>
  <si>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</si>
  <si>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</si>
  <si>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</si>
  <si>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</si>
  <si>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</si>
  <si>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</si>
  <si>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</si>
  <si>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</si>
  <si>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</si>
  <si>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</si>
  <si>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</si>
  <si>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</si>
  <si>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</si>
  <si>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</si>
  <si>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</si>
  <si>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</si>
  <si>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</si>
  <si>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</si>
  <si>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</si>
  <si>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</si>
  <si>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</si>
  <si>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</si>
  <si>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</si>
  <si>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</si>
  <si>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</si>
  <si>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</si>
  <si>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</si>
  <si>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</si>
  <si>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</si>
  <si>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</si>
  <si>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</si>
  <si>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</si>
  <si>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</si>
  <si>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</si>
  <si>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</si>
  <si>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</si>
  <si>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</si>
  <si>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</si>
  <si>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</si>
  <si>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</si>
  <si>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</si>
  <si>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</si>
  <si>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</si>
  <si>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</si>
  <si>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</si>
  <si>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</si>
  <si>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</si>
  <si>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</si>
  <si>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</si>
  <si>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</si>
  <si>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</si>
  <si>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</si>
  <si>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</si>
  <si>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</si>
  <si>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</si>
  <si>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</si>
  <si>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</si>
  <si>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</si>
  <si>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</si>
  <si>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</si>
  <si>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</si>
  <si>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</si>
  <si>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</si>
  <si>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</si>
  <si>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</si>
  <si>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</si>
  <si>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</si>
  <si>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</si>
  <si>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</si>
  <si>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</si>
  <si>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</si>
  <si>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</si>
  <si>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</si>
  <si>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</si>
  <si>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</si>
  <si>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</si>
  <si>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</si>
  <si>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</si>
  <si>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</si>
  <si>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</si>
  <si>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</si>
  <si>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</si>
  <si>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</si>
  <si>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</si>
  <si>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</si>
  <si>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</si>
  <si>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</si>
  <si>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</si>
  <si>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</si>
  <si>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</si>
  <si>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</si>
  <si>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</si>
  <si>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</si>
  <si>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</si>
  <si>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</si>
  <si>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</si>
  <si>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</si>
  <si>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</si>
  <si>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</si>
  <si>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</si>
  <si>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</si>
  <si>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</si>
  <si>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</si>
  <si>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</si>
  <si>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</si>
  <si>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</si>
  <si>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</si>
  <si>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</si>
  <si>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</si>
  <si>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</si>
  <si>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</si>
  <si>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</si>
  <si>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</si>
  <si>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</si>
  <si>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</si>
  <si>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</si>
  <si>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</si>
  <si>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</si>
  <si>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</si>
  <si>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</si>
  <si>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</si>
  <si>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</si>
  <si>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</si>
  <si>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</si>
  <si>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</si>
  <si>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</si>
  <si>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</si>
  <si>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</si>
  <si>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</si>
  <si>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</si>
  <si>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</si>
  <si>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</si>
  <si>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</si>
  <si>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</si>
  <si>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</si>
  <si>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</si>
  <si>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</si>
  <si>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</si>
  <si>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</si>
  <si>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</si>
  <si>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</si>
  <si>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</si>
  <si>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</si>
  <si>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</si>
  <si>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</si>
  <si>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</si>
  <si>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</si>
  <si>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</si>
  <si>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</si>
  <si>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</si>
  <si>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</si>
  <si>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</si>
  <si>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</si>
  <si>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</si>
  <si>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</si>
  <si>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</si>
  <si>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</si>
  <si>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</si>
  <si>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</si>
  <si>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</si>
  <si>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</si>
  <si>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</si>
  <si>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</si>
  <si>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</si>
  <si>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</si>
  <si>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</si>
  <si>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</si>
  <si>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</si>
  <si>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</si>
  <si>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</si>
  <si>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</si>
  <si>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</si>
  <si>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</si>
  <si>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</si>
  <si>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</si>
  <si>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</si>
  <si>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</si>
  <si>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</si>
  <si>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</si>
  <si>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</si>
  <si>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</si>
  <si>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</si>
  <si>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</si>
  <si>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</si>
  <si>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</si>
  <si>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</si>
  <si>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</si>
  <si>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</si>
  <si>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</si>
  <si>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</si>
  <si>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</si>
  <si>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</si>
  <si>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</si>
  <si>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</si>
  <si>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</si>
  <si>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</si>
  <si>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</si>
  <si>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</si>
  <si>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</si>
  <si>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</si>
  <si>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</si>
  <si>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</si>
  <si>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</si>
  <si>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</si>
  <si>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</si>
  <si>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</si>
  <si>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</si>
  <si>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</si>
  <si>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</si>
  <si>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</si>
  <si>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</si>
  <si>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</si>
  <si>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</si>
  <si>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</si>
  <si>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</si>
  <si>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</si>
  <si>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</si>
  <si>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</si>
  <si>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</si>
  <si>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</si>
  <si>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</si>
  <si>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</si>
  <si>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</si>
  <si>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</si>
  <si>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</si>
  <si>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</si>
  <si>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</si>
  <si>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</si>
  <si>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</si>
  <si>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</si>
  <si>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</si>
  <si>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</si>
  <si>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</si>
  <si>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</si>
  <si>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</si>
  <si>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</si>
  <si>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</si>
  <si>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</si>
  <si>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</si>
  <si>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</si>
  <si>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</si>
  <si>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</si>
  <si>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</si>
  <si>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</si>
  <si>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</si>
  <si>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</si>
  <si>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</si>
  <si>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</si>
  <si>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</si>
  <si>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</si>
  <si>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</si>
  <si>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</si>
  <si>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</si>
  <si>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</si>
  <si>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</si>
  <si>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</si>
  <si>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</si>
  <si>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</si>
  <si>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</si>
  <si>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</si>
  <si>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</si>
  <si>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</si>
  <si>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</si>
  <si>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</si>
  <si>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</si>
  <si>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</si>
  <si>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</si>
  <si>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</si>
  <si>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</si>
  <si>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</si>
  <si>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</si>
  <si>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</si>
  <si>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</si>
  <si>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</si>
  <si>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</si>
  <si>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</si>
  <si>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</si>
  <si>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</si>
  <si>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</si>
  <si>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</si>
  <si>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</si>
  <si>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</si>
  <si>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</si>
  <si>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</si>
  <si>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</si>
  <si>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</si>
  <si>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</si>
  <si>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</si>
  <si>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</si>
  <si>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</si>
  <si>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</si>
  <si>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</si>
  <si>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</si>
  <si>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</si>
  <si>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</si>
  <si>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</si>
  <si>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</si>
  <si>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</si>
  <si>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</si>
  <si>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</si>
  <si>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</si>
  <si>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</si>
  <si>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</si>
  <si>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</si>
  <si>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</si>
  <si>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</si>
  <si>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</si>
  <si>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</si>
  <si>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</si>
  <si>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</si>
  <si>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</si>
  <si>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</si>
  <si>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</si>
  <si>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</si>
  <si>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</si>
  <si>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</si>
  <si>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</si>
  <si>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</si>
  <si>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</si>
  <si>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</si>
  <si>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</si>
  <si>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</si>
  <si>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</si>
  <si>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</si>
  <si>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</si>
  <si>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</si>
  <si>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</si>
  <si>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</si>
  <si>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</si>
  <si>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</si>
  <si>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</si>
  <si>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</si>
  <si>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</si>
  <si>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</si>
  <si>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</si>
  <si>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</si>
  <si>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</si>
  <si>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</si>
  <si>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</si>
  <si>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</si>
  <si>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</si>
  <si>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</si>
  <si>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</si>
  <si>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</si>
  <si>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</si>
  <si>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</si>
  <si>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</si>
  <si>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</si>
  <si>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</si>
  <si>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</si>
  <si>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</si>
  <si>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</si>
  <si>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</si>
  <si>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</si>
  <si>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</si>
  <si>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</si>
  <si>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</si>
  <si>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</si>
  <si>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</si>
  <si>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</si>
  <si>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</si>
  <si>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</si>
  <si>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</si>
  <si>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</si>
  <si>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</si>
  <si>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</si>
  <si>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</si>
  <si>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</si>
  <si>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</si>
  <si>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</si>
  <si>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</si>
  <si>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</si>
  <si>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</si>
  <si>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</si>
  <si>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</si>
  <si>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</si>
  <si>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</si>
  <si>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</si>
  <si>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</si>
  <si>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</si>
  <si>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</si>
  <si>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</si>
  <si>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</si>
  <si>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</si>
  <si>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</si>
  <si>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</si>
  <si>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</si>
  <si>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</si>
  <si>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</si>
  <si>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</si>
  <si>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</si>
  <si>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</si>
  <si>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</si>
  <si>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</si>
  <si>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</si>
  <si>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</si>
  <si>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</si>
  <si>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</si>
  <si>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</si>
  <si>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</si>
  <si>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</si>
  <si>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</si>
  <si>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</si>
  <si>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</si>
  <si>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</si>
  <si>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</si>
  <si>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</si>
  <si>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</si>
  <si>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</si>
  <si>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</si>
  <si>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</si>
  <si>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</si>
  <si>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</si>
  <si>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</si>
  <si>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</si>
  <si>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</si>
  <si>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</si>
  <si>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</si>
  <si>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</si>
  <si>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</si>
  <si>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</si>
  <si>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</si>
  <si>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</si>
  <si>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</si>
  <si>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</si>
  <si>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</si>
  <si>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</si>
  <si>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</si>
  <si>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</si>
  <si>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</si>
  <si>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</si>
  <si>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</si>
  <si>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</si>
  <si>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</si>
  <si>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</si>
  <si>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</si>
  <si>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</si>
  <si>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</si>
  <si>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</si>
  <si>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</si>
  <si>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</si>
  <si>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</si>
  <si>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</si>
  <si>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</si>
  <si>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</si>
  <si>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</si>
  <si>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</si>
  <si>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</si>
  <si>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</si>
  <si>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</si>
  <si>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</si>
  <si>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</si>
  <si>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</si>
  <si>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</si>
  <si>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</si>
  <si>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</si>
  <si>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</si>
  <si>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</si>
  <si>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</si>
  <si>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</si>
  <si>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</si>
  <si>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</si>
  <si>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</si>
  <si>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</si>
  <si>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</si>
  <si>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</si>
  <si>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</si>
  <si>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</si>
  <si>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</si>
  <si>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</si>
  <si>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</si>
  <si>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</si>
  <si>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</si>
  <si>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</si>
  <si>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</si>
  <si>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</si>
  <si>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</si>
  <si>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</si>
  <si>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</si>
  <si>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</si>
  <si>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</si>
  <si>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</si>
  <si>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</si>
  <si>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</si>
  <si>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</si>
  <si>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</si>
  <si>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</si>
  <si>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</si>
  <si>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</si>
  <si>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</si>
  <si>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</si>
  <si>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</si>
  <si>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</si>
  <si>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</si>
  <si>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</si>
  <si>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</si>
  <si>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</si>
  <si>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</si>
  <si>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</si>
  <si>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</si>
  <si>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</si>
  <si>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</si>
  <si>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</si>
  <si>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</si>
  <si>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</si>
  <si>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</si>
  <si>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</si>
  <si>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</si>
  <si>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</si>
  <si>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</si>
  <si>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</si>
  <si>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</si>
  <si>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</si>
  <si>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</si>
  <si>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</si>
  <si>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</si>
  <si>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</si>
  <si>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</si>
  <si>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</si>
  <si>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</si>
  <si>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</si>
  <si>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</si>
  <si>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</si>
  <si>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</si>
  <si>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</si>
  <si>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</si>
  <si>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</si>
  <si>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</si>
  <si>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</si>
  <si>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</si>
  <si>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</si>
  <si>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</si>
  <si>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</si>
  <si>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</si>
  <si>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</si>
  <si>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</si>
  <si>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</si>
  <si>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</si>
  <si>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</si>
  <si>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</si>
  <si>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</si>
  <si>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</si>
  <si>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</si>
  <si>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</si>
  <si>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</si>
  <si>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</si>
  <si>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</si>
  <si>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</si>
  <si>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</si>
  <si>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</si>
  <si>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</si>
  <si>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</si>
  <si>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</si>
  <si>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</si>
  <si>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</si>
  <si>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</si>
  <si>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</si>
  <si>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</si>
  <si>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</si>
  <si>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</si>
  <si>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</si>
  <si>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</si>
  <si>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</si>
  <si>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</si>
  <si>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</si>
  <si>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</si>
  <si>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</si>
  <si>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</si>
  <si>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</si>
  <si>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</si>
  <si>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</si>
  <si>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</si>
  <si>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</si>
  <si>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</si>
  <si>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</si>
  <si>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</si>
  <si>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</si>
  <si>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</si>
  <si>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</si>
  <si>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</si>
  <si>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</si>
  <si>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</si>
  <si>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</si>
  <si>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</si>
  <si>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</si>
  <si>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</si>
  <si>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</si>
  <si>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</si>
  <si>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</si>
  <si>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</si>
  <si>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</si>
  <si>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</si>
  <si>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</si>
  <si>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</si>
  <si>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</si>
  <si>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</si>
  <si>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</si>
  <si>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</si>
  <si>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</si>
  <si>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</si>
  <si>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</si>
  <si>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</si>
  <si>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</si>
  <si>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</si>
  <si>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</si>
  <si>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</si>
  <si>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</si>
  <si>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</si>
  <si>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</si>
  <si>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</si>
  <si>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</si>
  <si>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</si>
  <si>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</si>
  <si>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</si>
  <si>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</si>
  <si>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</si>
  <si>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</si>
  <si>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</si>
  <si>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</si>
  <si>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</si>
  <si>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</si>
  <si>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</si>
  <si>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</si>
  <si>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</si>
  <si>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</si>
  <si>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</si>
  <si>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</si>
  <si>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</si>
  <si>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</si>
  <si>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</si>
  <si>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</si>
  <si>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</si>
  <si>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</si>
  <si>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</si>
  <si>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</si>
  <si>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</si>
  <si>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</si>
  <si>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</si>
  <si>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</si>
  <si>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</si>
  <si>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</si>
  <si>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</si>
  <si>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</si>
  <si>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</si>
  <si>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</si>
  <si>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</si>
  <si>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</si>
  <si>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</si>
  <si>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</si>
  <si>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</si>
  <si>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</si>
  <si>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</si>
  <si>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</si>
  <si>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</si>
  <si>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</si>
  <si>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</si>
  <si>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</si>
  <si>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</si>
  <si>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</si>
  <si>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</si>
  <si>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</si>
  <si>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</si>
  <si>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</si>
  <si>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</si>
  <si>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</si>
  <si>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</si>
  <si>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</si>
  <si>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</si>
  <si>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</si>
  <si>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</si>
  <si>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</si>
  <si>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</si>
  <si>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</si>
  <si>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</si>
  <si>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</si>
  <si>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</si>
  <si>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</si>
  <si>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</si>
  <si>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</si>
  <si>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</si>
  <si>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</si>
  <si>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</si>
  <si>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</si>
  <si>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</si>
  <si>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</si>
  <si>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</si>
  <si>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</si>
  <si>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</si>
  <si>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</si>
  <si>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</si>
  <si>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</si>
  <si>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</si>
  <si>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</si>
  <si>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</si>
  <si>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</si>
  <si>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</si>
  <si>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</si>
  <si>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</si>
  <si>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</si>
  <si>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</si>
  <si>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</si>
  <si>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</si>
  <si>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</si>
  <si>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</si>
  <si>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</si>
  <si>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</si>
  <si>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</si>
  <si>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</si>
  <si>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</si>
  <si>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</si>
  <si>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</si>
  <si>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</si>
  <si>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</si>
  <si>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</si>
  <si>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</si>
  <si>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</si>
  <si>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</si>
  <si>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</si>
  <si>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</si>
  <si>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</si>
  <si>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</si>
  <si>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</si>
  <si>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</si>
  <si>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</si>
  <si>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</si>
  <si>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</si>
  <si>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</si>
  <si>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</si>
  <si>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</si>
  <si>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</si>
  <si>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</si>
  <si>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</si>
  <si>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</si>
  <si>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</si>
  <si>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</si>
  <si>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</si>
  <si>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</si>
  <si>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</si>
  <si>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</si>
  <si>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</si>
  <si>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</si>
  <si>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</si>
  <si>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</si>
  <si>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</si>
  <si>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</si>
  <si>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</si>
  <si>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</si>
  <si>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</si>
  <si>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</si>
  <si>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</si>
  <si>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</si>
  <si>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</si>
  <si>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</si>
  <si>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</si>
  <si>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</si>
  <si>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</si>
  <si>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</si>
  <si>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</si>
  <si>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</si>
  <si>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</si>
  <si>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</si>
  <si>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</si>
  <si>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</si>
  <si>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</si>
  <si>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</si>
  <si>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</si>
  <si>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</si>
  <si>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</si>
  <si>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</si>
  <si>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</si>
  <si>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</si>
  <si>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</si>
  <si>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</si>
  <si>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</si>
  <si>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</si>
  <si>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</si>
  <si>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</si>
  <si>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</si>
  <si>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</si>
  <si>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</si>
  <si>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</si>
  <si>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</si>
  <si>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</si>
  <si>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</si>
  <si>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</si>
  <si>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</si>
  <si>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</si>
  <si>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</si>
  <si>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</si>
  <si>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</si>
  <si>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</si>
  <si>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</si>
  <si>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</si>
  <si>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</si>
  <si>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</si>
  <si>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</si>
  <si>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</si>
  <si>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</si>
  <si>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</si>
  <si>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</si>
  <si>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</si>
  <si>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</si>
  <si>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</si>
  <si>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</si>
  <si>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</si>
  <si>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</si>
  <si>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</si>
  <si>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</si>
  <si>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</si>
  <si>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</si>
  <si>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</si>
  <si>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</si>
  <si>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</si>
  <si>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</si>
  <si>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</si>
  <si>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</si>
  <si>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</si>
  <si>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</si>
  <si>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</si>
  <si>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</si>
  <si>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</si>
  <si>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</si>
  <si>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</si>
  <si>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</si>
  <si>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</si>
  <si>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</si>
  <si>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</si>
  <si>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</si>
  <si>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</si>
  <si>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</si>
  <si>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</si>
  <si>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</si>
  <si>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</si>
  <si>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</si>
  <si>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</si>
  <si>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</si>
  <si>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</si>
  <si>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</si>
  <si>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</si>
  <si>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</si>
  <si>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</si>
  <si>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</si>
  <si>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</si>
  <si>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</si>
  <si>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</si>
  <si>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</si>
  <si>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</si>
  <si>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</si>
  <si>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</si>
  <si>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</si>
  <si>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</si>
  <si>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</si>
  <si>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</si>
  <si>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</si>
  <si>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</si>
  <si>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</si>
  <si>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</si>
  <si>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</si>
  <si>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</si>
  <si>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</si>
  <si>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</si>
  <si>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</si>
  <si>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</si>
  <si>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</si>
  <si>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</si>
  <si>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</si>
  <si>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</si>
  <si>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</si>
  <si>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</si>
  <si>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</si>
  <si>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</si>
  <si>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</si>
  <si>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</si>
  <si>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</si>
  <si>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</si>
  <si>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</si>
  <si>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</si>
  <si>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</si>
  <si>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</si>
  <si>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</si>
  <si>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</si>
  <si>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</si>
  <si>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</si>
  <si>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</si>
  <si>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</si>
  <si>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</si>
  <si>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</si>
  <si>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</si>
  <si>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</si>
  <si>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</si>
  <si>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</si>
  <si>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</si>
  <si>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</si>
  <si>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</si>
  <si>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</si>
  <si>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</si>
  <si>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</si>
  <si>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</si>
  <si>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</si>
  <si>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</si>
  <si>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</si>
  <si>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</si>
  <si>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</si>
  <si>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</si>
  <si>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</si>
  <si>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</si>
  <si>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</si>
  <si>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</si>
  <si>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</si>
  <si>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</si>
  <si>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</si>
  <si>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</si>
  <si>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</si>
  <si>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</si>
  <si>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</si>
  <si>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</si>
  <si>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</si>
  <si>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</si>
  <si>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</si>
  <si>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</si>
  <si>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</si>
  <si>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</si>
  <si>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</si>
  <si>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</si>
  <si>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</si>
  <si>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</si>
  <si>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</si>
  <si>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</si>
  <si>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</si>
  <si>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</si>
  <si>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</si>
  <si>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</si>
  <si>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</si>
  <si>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</si>
  <si>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</si>
  <si>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</si>
  <si>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</si>
  <si>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</si>
  <si>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</si>
  <si>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</si>
  <si>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</si>
  <si>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</si>
  <si>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</si>
  <si>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</si>
  <si>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</si>
  <si>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</si>
  <si>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</si>
  <si>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</si>
  <si>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</si>
  <si>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</si>
  <si>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</si>
  <si>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</si>
  <si>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</si>
  <si>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</si>
  <si>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</si>
  <si>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</si>
  <si>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</si>
  <si>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</si>
  <si>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</si>
  <si>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</si>
  <si>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</si>
  <si>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</si>
  <si>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</si>
  <si>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</si>
  <si>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</si>
  <si>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</si>
  <si>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</si>
  <si>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</si>
  <si>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</si>
  <si>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</si>
  <si>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</si>
  <si>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</si>
  <si>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</si>
  <si>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</si>
  <si>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</si>
  <si>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</si>
  <si>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</si>
  <si>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</si>
  <si>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</si>
  <si>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</si>
  <si>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</si>
  <si>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</si>
  <si>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</si>
  <si>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</si>
  <si>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</si>
  <si>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</si>
  <si>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</si>
  <si>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</si>
  <si>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</si>
  <si>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</si>
  <si>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</si>
  <si>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</si>
  <si>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</si>
  <si>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</si>
  <si>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</si>
  <si>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</si>
  <si>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</si>
  <si>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</si>
  <si>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</si>
  <si>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</si>
  <si>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</si>
  <si>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</si>
  <si>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</si>
  <si>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</si>
  <si>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</si>
  <si>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</si>
  <si>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</si>
  <si>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</si>
  <si>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</si>
  <si>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</si>
  <si>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</si>
  <si>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</si>
  <si>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</si>
  <si>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</si>
  <si>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</si>
  <si>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</si>
  <si>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</si>
  <si>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</si>
  <si>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</si>
  <si>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</si>
  <si>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</si>
  <si>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</si>
  <si>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</si>
  <si>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</si>
  <si>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</si>
  <si>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</si>
  <si>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</si>
  <si>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</si>
  <si>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</si>
  <si>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</si>
  <si>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</si>
  <si>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</si>
  <si>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</si>
  <si>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</si>
  <si>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</si>
  <si>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</si>
  <si>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</si>
  <si>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</si>
  <si>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</si>
  <si>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</si>
  <si>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</si>
  <si>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</si>
  <si>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</si>
  <si>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</si>
  <si>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</si>
  <si>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</si>
  <si>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</si>
  <si>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</si>
  <si>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</si>
  <si>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</si>
  <si>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</si>
  <si>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</si>
  <si>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</si>
  <si>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</si>
  <si>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</si>
  <si>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</si>
  <si>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</si>
  <si>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</si>
  <si>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</si>
  <si>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</si>
  <si>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</si>
  <si>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</si>
  <si>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</si>
  <si>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</si>
  <si>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</si>
  <si>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</si>
  <si>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</si>
  <si>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</si>
  <si>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</si>
  <si>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</si>
  <si>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</si>
  <si>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</si>
  <si>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</si>
  <si>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</si>
  <si>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</si>
  <si>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</si>
  <si>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</si>
  <si>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</si>
  <si>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</si>
  <si>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</si>
  <si>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</si>
  <si>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</si>
  <si>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</si>
  <si>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</si>
  <si>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</si>
  <si>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</si>
  <si>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</si>
  <si>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</si>
  <si>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</si>
  <si>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</si>
  <si>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</si>
  <si>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</si>
  <si>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</si>
  <si>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</si>
  <si>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</si>
  <si>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</si>
  <si>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</si>
  <si>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</si>
  <si>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</si>
  <si>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</si>
  <si>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</si>
  <si>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</si>
  <si>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</si>
  <si>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</si>
  <si>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</si>
  <si>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</si>
  <si>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</si>
  <si>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</si>
  <si>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</si>
  <si>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</si>
  <si>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</si>
  <si>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</si>
  <si>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</si>
  <si>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</si>
  <si>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</si>
  <si>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</si>
  <si>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</si>
  <si>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</si>
  <si>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</si>
  <si>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</si>
  <si>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</si>
  <si>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</si>
  <si>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</si>
  <si>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</si>
  <si>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</si>
  <si>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</si>
  <si>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</si>
  <si>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</si>
  <si>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</si>
  <si>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</si>
  <si>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</si>
  <si>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</si>
  <si>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</si>
  <si>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</si>
  <si>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</si>
  <si>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</si>
  <si>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</si>
  <si>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</si>
  <si>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</si>
  <si>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</si>
  <si>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</si>
  <si>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</si>
  <si>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</si>
  <si>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</si>
  <si>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</si>
  <si>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</si>
  <si>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</si>
  <si>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</si>
  <si>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</si>
  <si>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</si>
  <si>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</si>
  <si>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</si>
  <si>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</si>
  <si>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</si>
  <si>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</si>
  <si>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</si>
  <si>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</si>
  <si>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</si>
  <si>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</si>
  <si>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</si>
  <si>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</si>
  <si>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</si>
  <si>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</si>
  <si>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</si>
  <si>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</si>
  <si>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</si>
  <si>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</si>
  <si>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</si>
  <si>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</si>
  <si>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</si>
  <si>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</si>
  <si>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</si>
  <si>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</si>
  <si>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</si>
  <si>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</si>
  <si>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</si>
  <si>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</si>
  <si>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</si>
  <si>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</si>
  <si>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</si>
  <si>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</si>
  <si>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</si>
  <si>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</si>
  <si>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</si>
  <si>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</si>
  <si>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</si>
  <si>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</si>
  <si>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</si>
  <si>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</si>
  <si>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</si>
  <si>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</si>
  <si>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</si>
  <si>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</si>
  <si>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</si>
  <si>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</si>
  <si>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</si>
  <si>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</si>
  <si>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</si>
  <si>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</si>
  <si>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</si>
  <si>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</si>
  <si>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</si>
  <si>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</si>
  <si>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</si>
  <si>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</si>
  <si>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</si>
  <si>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</si>
  <si>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</si>
  <si>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</si>
  <si>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</si>
  <si>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</si>
  <si>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</si>
  <si>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</si>
  <si>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</si>
  <si>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</si>
  <si>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</si>
  <si>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</si>
  <si>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</si>
  <si>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</si>
  <si>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</si>
  <si>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</si>
  <si>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</si>
  <si>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</si>
  <si>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</si>
  <si>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</si>
  <si>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</si>
  <si>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</si>
  <si>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</si>
  <si>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</si>
  <si>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</si>
  <si>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</si>
  <si>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</si>
  <si>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</si>
  <si>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</si>
  <si>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</si>
  <si>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</si>
  <si>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</si>
  <si>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</si>
  <si>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</si>
  <si>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</si>
  <si>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</si>
  <si>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</si>
  <si>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</si>
  <si>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</si>
  <si>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</si>
  <si>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</si>
  <si>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</si>
  <si>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</si>
  <si>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</si>
  <si>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</si>
  <si>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</si>
  <si>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</si>
  <si>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</si>
  <si>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</si>
  <si>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</si>
  <si>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</si>
  <si>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</si>
  <si>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</si>
  <si>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</si>
  <si>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</si>
  <si>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</si>
  <si>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</si>
  <si>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</si>
  <si>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</si>
  <si>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</si>
  <si>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</si>
  <si>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</si>
  <si>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</si>
  <si>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</si>
  <si>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</si>
  <si>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</si>
  <si>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</si>
  <si>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</si>
  <si>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</si>
  <si>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</si>
  <si>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</si>
  <si>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</si>
  <si>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</si>
  <si>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</si>
  <si>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</si>
  <si>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</si>
  <si>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</si>
  <si>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</si>
  <si>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</si>
  <si>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</si>
  <si>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</si>
  <si>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</si>
  <si>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</si>
  <si>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</si>
  <si>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</si>
  <si>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</si>
  <si>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</si>
  <si>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</si>
  <si>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</si>
  <si>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</si>
  <si>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</si>
  <si>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</si>
  <si>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</si>
  <si>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</si>
  <si>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</si>
  <si>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</si>
  <si>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</si>
  <si>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</si>
  <si>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</si>
  <si>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</si>
  <si>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</si>
  <si>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</si>
  <si>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</si>
  <si>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</si>
  <si>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</si>
  <si>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</si>
  <si>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</si>
  <si>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</si>
  <si>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</si>
  <si>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</si>
  <si>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</si>
  <si>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</si>
  <si>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</si>
  <si>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</si>
  <si>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</si>
  <si>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</si>
  <si>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</si>
  <si>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</si>
  <si>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</si>
  <si>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</si>
  <si>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</si>
  <si>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</si>
  <si>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</si>
  <si>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</si>
  <si>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</si>
  <si>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</si>
  <si>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</si>
  <si>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</si>
  <si>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</si>
  <si>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</si>
  <si>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</si>
  <si>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</si>
  <si>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</si>
  <si>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</si>
  <si>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</si>
  <si>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</si>
  <si>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</si>
  <si>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</si>
  <si>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</si>
  <si>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</si>
  <si>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</si>
  <si>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</si>
  <si>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</si>
  <si>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</si>
  <si>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</si>
  <si>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</si>
  <si>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</si>
  <si>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</si>
  <si>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</si>
  <si>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</si>
  <si>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</si>
  <si>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</si>
  <si>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</si>
  <si>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</si>
  <si>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</si>
  <si>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</si>
  <si>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</si>
  <si>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</si>
  <si>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</si>
  <si>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</si>
  <si>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</si>
  <si>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</si>
  <si>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</si>
  <si>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</si>
  <si>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</si>
  <si>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</si>
  <si>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</si>
  <si>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</si>
  <si>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</si>
  <si>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</si>
  <si>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</si>
  <si>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</si>
  <si>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</si>
  <si>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</si>
  <si>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</si>
  <si>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</si>
  <si>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</si>
  <si>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</si>
  <si>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</si>
  <si>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</si>
  <si>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</si>
  <si>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</si>
  <si>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</si>
  <si>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</si>
  <si>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</si>
  <si>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</si>
  <si>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</si>
  <si>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</si>
  <si>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</si>
  <si>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</si>
  <si>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</si>
  <si>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</si>
  <si>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</si>
  <si>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</si>
  <si>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</si>
  <si>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</si>
  <si>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</si>
  <si>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</si>
  <si>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</si>
  <si>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</si>
  <si>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</si>
  <si>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</si>
  <si>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</si>
  <si>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</si>
  <si>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</si>
  <si>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</si>
  <si>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</si>
  <si>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</si>
  <si>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</si>
  <si>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</si>
  <si>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</si>
  <si>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</si>
  <si>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</si>
  <si>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</si>
  <si>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</si>
  <si>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</si>
  <si>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</si>
  <si>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</si>
  <si>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</si>
  <si>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</si>
  <si>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</si>
  <si>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</si>
  <si>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</si>
  <si>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</si>
  <si>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</si>
  <si>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</si>
  <si>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</si>
  <si>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</si>
  <si>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</si>
  <si>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</si>
  <si>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</si>
  <si>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</si>
  <si>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</si>
  <si>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</si>
  <si>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</si>
  <si>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</si>
  <si>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</si>
  <si>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</si>
  <si>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</si>
  <si>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</si>
  <si>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</si>
  <si>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</si>
  <si>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</si>
  <si>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</si>
  <si>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</si>
  <si>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</si>
  <si>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</si>
  <si>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</si>
  <si>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</si>
  <si>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</si>
  <si>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</si>
  <si>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</si>
  <si>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</si>
  <si>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</si>
  <si>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</si>
  <si>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</si>
  <si>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</si>
  <si>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</si>
  <si>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</si>
  <si>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</si>
  <si>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</si>
  <si>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</si>
  <si>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</si>
  <si>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</si>
  <si>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</si>
  <si>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</si>
  <si>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</si>
  <si>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</si>
  <si>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</si>
  <si>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</si>
  <si>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</si>
  <si>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</si>
  <si>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</si>
  <si>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</si>
  <si>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</si>
  <si>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</si>
  <si>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</si>
  <si>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</si>
  <si>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</si>
  <si>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</si>
  <si>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</si>
  <si>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</si>
  <si>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</si>
  <si>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</si>
  <si>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</si>
  <si>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</si>
  <si>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</si>
  <si>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</si>
  <si>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</si>
  <si>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</si>
  <si>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</si>
  <si>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</si>
  <si>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</si>
  <si>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</si>
  <si>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</si>
  <si>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</si>
  <si>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</si>
  <si>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</si>
  <si>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</si>
  <si>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</si>
  <si>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</si>
  <si>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</si>
  <si>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</si>
  <si>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</si>
  <si>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</si>
  <si>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</si>
  <si>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</si>
  <si>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</si>
  <si>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</si>
  <si>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</si>
  <si>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</si>
  <si>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</si>
  <si>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</si>
  <si>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</si>
  <si>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</si>
  <si>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</si>
  <si>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</si>
  <si>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</si>
  <si>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</si>
  <si>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</si>
  <si>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</si>
  <si>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</si>
  <si>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</si>
  <si>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</si>
  <si>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</si>
  <si>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</si>
  <si>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</si>
  <si>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</si>
  <si>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</si>
  <si>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</si>
  <si>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</si>
  <si>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</si>
  <si>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</si>
  <si>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</si>
  <si>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</si>
  <si>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</si>
  <si>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</si>
  <si>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</si>
  <si>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</si>
  <si>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</si>
  <si>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</si>
  <si>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</si>
  <si>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</si>
  <si>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</si>
  <si>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</si>
  <si>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</si>
  <si>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</si>
  <si>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</si>
  <si>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</si>
  <si>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</si>
  <si>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</si>
  <si>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</si>
  <si>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</si>
  <si>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</si>
  <si>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</si>
  <si>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</si>
  <si>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</si>
  <si>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</si>
  <si>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</si>
  <si>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</si>
  <si>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</si>
  <si>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</si>
  <si>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</si>
  <si>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</si>
  <si>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</si>
  <si>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</si>
  <si>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</si>
  <si>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</si>
  <si>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</si>
  <si>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</si>
  <si>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</si>
  <si>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</si>
  <si>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</si>
  <si>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</si>
  <si>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</si>
  <si>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</si>
  <si>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</si>
  <si>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</si>
  <si>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</si>
  <si>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</si>
  <si>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</si>
  <si>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</si>
  <si>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</si>
  <si>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</si>
  <si>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</si>
  <si>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</si>
  <si>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</si>
  <si>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</si>
  <si>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</si>
  <si>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</si>
  <si>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</si>
  <si>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</si>
  <si>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</si>
  <si>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</si>
  <si>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</si>
  <si>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</si>
  <si>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</si>
  <si>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</si>
  <si>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</si>
  <si>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</si>
  <si>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</si>
  <si>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</si>
  <si>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</si>
  <si>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</si>
  <si>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</si>
  <si>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</si>
  <si>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</si>
  <si>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</si>
  <si>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</si>
  <si>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</si>
  <si>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</si>
  <si>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</si>
  <si>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</si>
  <si>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</si>
  <si>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</si>
  <si>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</si>
  <si>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</si>
  <si>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</si>
  <si>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</si>
  <si>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</si>
  <si>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</si>
  <si>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</si>
  <si>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</si>
  <si>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</si>
  <si>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</si>
  <si>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</si>
  <si>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</si>
  <si>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</si>
  <si>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</si>
  <si>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</si>
  <si>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</si>
  <si>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</si>
  <si>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</si>
  <si>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</si>
  <si>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</si>
  <si>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</si>
  <si>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</si>
  <si>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</si>
  <si>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</si>
  <si>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</si>
  <si>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</si>
  <si>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</si>
  <si>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</si>
  <si>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</si>
  <si>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</si>
  <si>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</si>
  <si>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</si>
  <si>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</si>
  <si>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</si>
  <si>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</si>
  <si>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</si>
  <si>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</si>
  <si>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</si>
  <si>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</si>
  <si>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</si>
  <si>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</si>
  <si>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</si>
  <si>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</si>
  <si>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</si>
  <si>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</si>
  <si>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</si>
  <si>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</si>
  <si>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</si>
  <si>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</si>
  <si>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</si>
  <si>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</si>
  <si>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</si>
  <si>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</si>
  <si>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</si>
  <si>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</si>
  <si>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</si>
  <si>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</si>
  <si>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</si>
  <si>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</si>
  <si>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</si>
  <si>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</si>
  <si>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</si>
  <si>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</si>
  <si>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</si>
  <si>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</si>
  <si>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</si>
  <si>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</si>
  <si>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</si>
  <si>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</si>
  <si>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</si>
  <si>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</si>
  <si>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</si>
  <si>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</si>
  <si>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</si>
  <si>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</si>
  <si>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</si>
  <si>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</si>
  <si>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</si>
  <si>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</si>
  <si>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</si>
  <si>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</si>
  <si>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</si>
  <si>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</si>
  <si>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</si>
  <si>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</si>
  <si>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</si>
  <si>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</si>
  <si>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</si>
  <si>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</si>
  <si>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</si>
  <si>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</si>
  <si>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</si>
  <si>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</si>
  <si>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</si>
  <si>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</si>
  <si>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</si>
  <si>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</si>
  <si>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</si>
  <si>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</si>
  <si>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</si>
  <si>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</si>
  <si>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</si>
  <si>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</si>
  <si>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</si>
  <si>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</si>
  <si>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</si>
  <si>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</si>
  <si>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</si>
  <si>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</si>
  <si>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</si>
  <si>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</si>
  <si>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</si>
  <si>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</si>
  <si>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</si>
  <si>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</si>
  <si>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</si>
  <si>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</si>
  <si>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</si>
  <si>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</si>
  <si>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</si>
  <si>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</si>
  <si>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</si>
  <si>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</si>
  <si>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</si>
  <si>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</si>
  <si>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</si>
  <si>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</si>
  <si>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</si>
  <si>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</si>
  <si>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</si>
  <si>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</si>
  <si>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</si>
  <si>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</si>
  <si>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</si>
  <si>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</si>
  <si>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</si>
  <si>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</si>
  <si>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</si>
  <si>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</si>
  <si>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</si>
  <si>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</si>
  <si>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</si>
  <si>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</si>
  <si>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</si>
  <si>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</si>
  <si>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</si>
  <si>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</si>
  <si>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</si>
  <si>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</si>
  <si>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</si>
  <si>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</si>
  <si>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</si>
  <si>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</si>
  <si>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</si>
  <si>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</si>
  <si>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</si>
  <si>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</si>
  <si>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</si>
  <si>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</si>
  <si>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</si>
  <si>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</si>
  <si>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</si>
  <si>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</si>
  <si>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</si>
  <si>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</si>
  <si>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</si>
  <si>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</si>
  <si>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</si>
  <si>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</si>
  <si>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</si>
  <si>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</si>
  <si>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</si>
  <si>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</si>
  <si>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</si>
  <si>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</si>
  <si>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</si>
  <si>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</si>
  <si>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</si>
  <si>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</si>
  <si>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</si>
  <si>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</si>
  <si>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</si>
  <si>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</si>
  <si>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</si>
  <si>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</si>
  <si>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</si>
  <si>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</si>
  <si>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</si>
  <si>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</si>
  <si>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</si>
  <si>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</si>
  <si>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</si>
  <si>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</si>
  <si>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</si>
  <si>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</si>
  <si>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</si>
  <si>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</si>
  <si>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</si>
  <si>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</si>
  <si>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</si>
  <si>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</si>
  <si>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</si>
  <si>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</si>
  <si>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</si>
  <si>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</si>
  <si>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</si>
  <si>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</si>
  <si>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</si>
  <si>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</si>
  <si>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</si>
  <si>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</si>
  <si>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</si>
  <si>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</si>
  <si>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</si>
  <si>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</si>
  <si>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</si>
  <si>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</si>
  <si>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</si>
  <si>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</si>
  <si>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</si>
  <si>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</si>
  <si>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</si>
  <si>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</si>
  <si>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</si>
  <si>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</si>
  <si>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</si>
  <si>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</si>
  <si>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</si>
  <si>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</si>
  <si>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</si>
  <si>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</si>
  <si>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</si>
  <si>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</si>
  <si>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</si>
  <si>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</si>
  <si>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</si>
  <si>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</si>
  <si>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</si>
  <si>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</si>
  <si>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</si>
  <si>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</si>
  <si>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</si>
  <si>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</si>
  <si>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</si>
  <si>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</si>
  <si>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</si>
  <si>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</si>
  <si>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</si>
  <si>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</si>
  <si>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</si>
  <si>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</si>
  <si>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</si>
  <si>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</si>
  <si>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</si>
  <si>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</si>
  <si>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</si>
  <si>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</si>
  <si>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</si>
  <si>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</si>
  <si>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</si>
  <si>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</si>
  <si>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</si>
  <si>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</si>
  <si>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</si>
  <si>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</si>
  <si>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</si>
  <si>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</si>
  <si>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</si>
  <si>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</si>
  <si>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</si>
  <si>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</si>
  <si>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</si>
  <si>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</si>
  <si>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</si>
  <si>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</si>
  <si>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</si>
  <si>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</si>
  <si>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</si>
  <si>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</si>
  <si>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</si>
  <si>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</si>
  <si>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</si>
  <si>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</si>
  <si>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</si>
  <si>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</si>
  <si>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</si>
  <si>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</si>
  <si>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</si>
  <si>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</si>
  <si>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</si>
  <si>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</si>
  <si>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</si>
  <si>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</si>
  <si>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</si>
  <si>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</si>
  <si>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</si>
  <si>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</si>
  <si>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</si>
  <si>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</si>
  <si>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</si>
  <si>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</si>
  <si>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</si>
  <si>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</si>
  <si>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</si>
  <si>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</si>
  <si>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</si>
  <si>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</si>
  <si>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</si>
  <si>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</si>
  <si>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</si>
  <si>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</si>
  <si>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</si>
  <si>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</si>
  <si>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</si>
  <si>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</si>
  <si>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</si>
  <si>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</si>
  <si>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</si>
  <si>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</si>
  <si>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</si>
  <si>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</si>
  <si>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</si>
  <si>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</si>
  <si>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</si>
  <si>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</si>
  <si>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</si>
  <si>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</si>
  <si>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</si>
  <si>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</si>
  <si>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</si>
  <si>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</si>
  <si>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</si>
  <si>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</si>
  <si>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</si>
  <si>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</si>
  <si>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</si>
  <si>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</si>
  <si>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</si>
  <si>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</si>
  <si>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</si>
  <si>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</si>
  <si>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</si>
  <si>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</si>
  <si>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</si>
  <si>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</si>
  <si>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</si>
  <si>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</si>
  <si>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</si>
  <si>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</si>
  <si>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</si>
  <si>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</si>
  <si>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</si>
  <si>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</si>
  <si>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</si>
  <si>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</si>
  <si>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</si>
  <si>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</si>
  <si>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</si>
  <si>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</si>
  <si>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</si>
  <si>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</si>
  <si>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</si>
  <si>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</si>
  <si>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</si>
  <si>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</si>
  <si>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</si>
  <si>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</si>
  <si>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</si>
  <si>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</si>
  <si>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</si>
  <si>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</si>
  <si>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</si>
  <si>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</si>
  <si>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</si>
  <si>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</si>
  <si>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</si>
  <si>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</si>
  <si>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</si>
  <si>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</si>
  <si>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</si>
  <si>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</si>
  <si>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</si>
  <si>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</si>
  <si>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</si>
  <si>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</si>
  <si>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</si>
  <si>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</si>
  <si>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</si>
  <si>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</si>
  <si>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</si>
  <si>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</si>
  <si>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</si>
  <si>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</si>
  <si>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</si>
  <si>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</si>
  <si>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</si>
  <si>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</si>
  <si>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</si>
  <si>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</si>
  <si>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</si>
  <si>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</si>
  <si>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</si>
  <si>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</si>
  <si>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</si>
  <si>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</si>
  <si>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</si>
  <si>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</si>
  <si>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</si>
  <si>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</si>
  <si>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</si>
  <si>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</si>
  <si>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</si>
  <si>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</si>
  <si>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</si>
  <si>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</si>
  <si>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</si>
  <si>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</si>
  <si>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</si>
  <si>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</si>
  <si>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</si>
  <si>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</si>
  <si>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</si>
  <si>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</si>
  <si>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</si>
  <si>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</si>
  <si>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</si>
  <si>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</si>
  <si>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</si>
  <si>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</si>
  <si>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</si>
  <si>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</si>
  <si>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</si>
  <si>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</si>
  <si>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</si>
  <si>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</si>
  <si>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</si>
  <si>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</si>
  <si>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</si>
  <si>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</si>
  <si>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</si>
  <si>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</si>
  <si>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</si>
  <si>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</si>
  <si>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</si>
  <si>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</si>
  <si>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</si>
  <si>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</si>
  <si>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</si>
  <si>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</si>
  <si>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</si>
  <si>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</si>
  <si>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</si>
  <si>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</si>
  <si>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</si>
  <si>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</si>
  <si>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</si>
  <si>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</si>
  <si>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</si>
  <si>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</si>
  <si>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</si>
  <si>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</si>
  <si>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</si>
  <si>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</si>
  <si>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</si>
  <si>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</si>
  <si>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</si>
  <si>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</si>
  <si>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</si>
  <si>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</si>
  <si>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</si>
  <si>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</si>
  <si>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</si>
  <si>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</si>
  <si>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</si>
  <si>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</si>
  <si>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</si>
  <si>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</si>
  <si>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</si>
  <si>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</si>
  <si>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</si>
  <si>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</si>
  <si>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</si>
  <si>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</si>
  <si>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</si>
  <si>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</si>
  <si>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</si>
  <si>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</si>
  <si>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</si>
  <si>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</si>
  <si>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</si>
  <si>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</si>
  <si>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</si>
  <si>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</si>
  <si>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</si>
  <si>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</si>
  <si>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</si>
  <si>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</si>
  <si>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</si>
  <si>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</si>
  <si>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</si>
  <si>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</si>
  <si>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</si>
  <si>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</si>
  <si>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</si>
  <si>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</si>
  <si>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</si>
  <si>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</si>
  <si>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</si>
  <si>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</si>
  <si>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</si>
  <si>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</si>
  <si>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</si>
  <si>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</si>
  <si>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</si>
  <si>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</si>
  <si>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</si>
  <si>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</si>
  <si>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</si>
  <si>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</si>
  <si>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</si>
  <si>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</si>
  <si>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</si>
  <si>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</si>
  <si>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</si>
  <si>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</si>
  <si>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</si>
  <si>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</si>
  <si>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</si>
  <si>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</si>
  <si>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</si>
  <si>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</si>
  <si>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</si>
  <si>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</si>
  <si>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</si>
  <si>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</si>
  <si>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</si>
  <si>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</si>
  <si>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</si>
  <si>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</si>
  <si>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</si>
  <si>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</si>
  <si>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</si>
  <si>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</si>
  <si>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</si>
  <si>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</si>
  <si>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</si>
  <si>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</si>
  <si>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</si>
  <si>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</si>
  <si>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</si>
  <si>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</si>
  <si>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</si>
  <si>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</si>
  <si>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</si>
  <si>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</si>
  <si>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</si>
  <si>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</si>
  <si>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</si>
  <si>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</si>
  <si>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</si>
  <si>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</si>
  <si>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</si>
  <si>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</si>
  <si>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</si>
  <si>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</si>
  <si>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</si>
  <si>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</si>
  <si>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</si>
  <si>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</si>
  <si>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</si>
  <si>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</si>
  <si>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</si>
  <si>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</si>
  <si>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</si>
  <si>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</si>
  <si>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</si>
  <si>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</si>
  <si>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</si>
  <si>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</si>
  <si>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</si>
  <si>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</si>
  <si>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</si>
  <si>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</si>
  <si>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</si>
  <si>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</si>
  <si>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</si>
  <si>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</si>
  <si>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</si>
  <si>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</si>
  <si>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</si>
  <si>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</si>
  <si>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</si>
  <si>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</si>
  <si>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</si>
  <si>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</si>
  <si>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</si>
  <si>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</si>
  <si>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</si>
  <si>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</si>
  <si>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</si>
  <si>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</si>
  <si>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</si>
  <si>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</si>
  <si>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</si>
  <si>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</si>
  <si>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</si>
  <si>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</si>
  <si>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</si>
  <si>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</si>
  <si>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</si>
  <si>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</si>
  <si>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</si>
  <si>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</si>
  <si>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</si>
  <si>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</si>
  <si>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</si>
  <si>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</si>
  <si>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</si>
  <si>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</si>
  <si>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</si>
  <si>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</si>
  <si>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</si>
  <si>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</si>
  <si>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</si>
  <si>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</si>
  <si>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</si>
  <si>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</si>
  <si>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</si>
  <si>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</si>
  <si>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</si>
  <si>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</si>
  <si>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</si>
  <si>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</si>
  <si>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</si>
  <si>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</si>
  <si>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</si>
  <si>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</si>
  <si>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</si>
  <si>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</si>
  <si>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</si>
  <si>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</si>
  <si>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</si>
  <si>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</si>
  <si>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</si>
  <si>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</si>
  <si>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</si>
  <si>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</si>
  <si>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</si>
  <si>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</si>
  <si>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</si>
  <si>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</si>
  <si>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</si>
  <si>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</si>
  <si>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</si>
  <si>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</si>
  <si>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</si>
  <si>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</si>
  <si>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</si>
  <si>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</si>
  <si>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</si>
  <si>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</si>
  <si>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</si>
  <si>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</si>
  <si>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</si>
  <si>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</si>
  <si>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</si>
  <si>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</si>
  <si>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</si>
  <si>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</si>
  <si>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</si>
  <si>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</si>
  <si>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</si>
  <si>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</si>
  <si>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</si>
  <si>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</si>
  <si>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</si>
  <si>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</si>
  <si>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</si>
  <si>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</si>
  <si>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</si>
  <si>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</si>
  <si>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</si>
  <si>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</si>
  <si>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</si>
  <si>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</si>
  <si>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</si>
  <si>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</si>
  <si>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</si>
  <si>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</si>
  <si>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</si>
  <si>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</si>
  <si>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</si>
  <si>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</si>
  <si>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</si>
  <si>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</si>
  <si>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</si>
  <si>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</si>
  <si>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</si>
  <si>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</si>
  <si>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</si>
  <si>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</si>
  <si>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</si>
  <si>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</si>
  <si>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</si>
  <si>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</si>
  <si>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</si>
  <si>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</si>
  <si>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</si>
  <si>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</si>
  <si>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</si>
  <si>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</si>
  <si>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</si>
  <si>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</si>
  <si>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</si>
  <si>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</si>
  <si>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</si>
  <si>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</si>
  <si>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</si>
  <si>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</si>
  <si>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</si>
  <si>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</si>
  <si>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</si>
  <si>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</si>
  <si>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</si>
  <si>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</si>
  <si>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</si>
  <si>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</si>
  <si>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</si>
  <si>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</si>
  <si>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</si>
  <si>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</si>
  <si>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</si>
  <si>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</si>
  <si>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</si>
  <si>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</si>
  <si>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</si>
  <si>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</si>
  <si>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</si>
  <si>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</si>
  <si>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</si>
  <si>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</si>
  <si>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</si>
  <si>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</si>
  <si>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</si>
  <si>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</si>
  <si>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</si>
  <si>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</si>
  <si>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</si>
  <si>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</si>
  <si>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</si>
  <si>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</si>
  <si>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</si>
  <si>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</si>
  <si>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</si>
  <si>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</si>
  <si>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</si>
  <si>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</si>
  <si>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</si>
  <si>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</si>
  <si>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</si>
  <si>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</si>
  <si>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</si>
  <si>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</si>
  <si>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</si>
  <si>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</si>
  <si>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</si>
  <si>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</si>
  <si>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</si>
  <si>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</si>
  <si>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</si>
  <si>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</si>
  <si>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</si>
  <si>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</si>
  <si>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</si>
  <si>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</si>
  <si>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</si>
  <si>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</si>
  <si>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</si>
  <si>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</si>
  <si>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</si>
  <si>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</si>
  <si>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</si>
  <si>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</si>
  <si>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</si>
  <si>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</si>
  <si>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</si>
  <si>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</si>
  <si>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</si>
  <si>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</si>
  <si>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</si>
  <si>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</si>
  <si>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</si>
  <si>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</si>
  <si>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</si>
  <si>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</si>
  <si>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</si>
  <si>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</si>
  <si>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</si>
  <si>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</si>
  <si>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</si>
  <si>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</si>
  <si>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</si>
  <si>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</si>
  <si>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</si>
  <si>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</si>
  <si>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</si>
  <si>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</si>
  <si>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</si>
  <si>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</si>
  <si>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</si>
  <si>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</si>
  <si>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</si>
  <si>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</si>
  <si>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</si>
  <si>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</si>
  <si>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</si>
  <si>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</si>
  <si>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</si>
  <si>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</si>
  <si>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</si>
  <si>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</si>
  <si>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</si>
  <si>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</si>
  <si>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</si>
  <si>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</si>
  <si>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</si>
  <si>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</si>
  <si>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</si>
  <si>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</si>
  <si>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</si>
  <si>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</si>
  <si>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</si>
  <si>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</si>
  <si>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</si>
  <si>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</si>
  <si>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</si>
  <si>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</si>
  <si>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</si>
  <si>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</si>
  <si>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</si>
  <si>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</si>
  <si>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</si>
  <si>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</si>
  <si>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</si>
  <si>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</si>
  <si>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</si>
  <si>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</si>
  <si>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</si>
  <si>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</si>
  <si>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</si>
  <si>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</si>
  <si>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</si>
  <si>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</si>
  <si>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</si>
  <si>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</si>
  <si>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</si>
  <si>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</si>
  <si>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</si>
  <si>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</si>
  <si>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</si>
  <si>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</si>
  <si>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</si>
  <si>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</si>
  <si>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</si>
  <si>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</si>
  <si>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</si>
  <si>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</si>
  <si>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</si>
  <si>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</si>
  <si>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</si>
  <si>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</si>
  <si>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</si>
  <si>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</si>
  <si>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</si>
  <si>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</si>
  <si>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</si>
  <si>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</si>
  <si>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</si>
  <si>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</si>
  <si>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</si>
  <si>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</si>
  <si>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</si>
  <si>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</si>
  <si>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</si>
  <si>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</si>
  <si>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</si>
  <si>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</si>
  <si>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</si>
  <si>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</si>
  <si>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</si>
  <si>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</si>
  <si>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</si>
  <si>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</si>
  <si>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</si>
  <si>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</si>
  <si>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</si>
  <si>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</si>
  <si>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</si>
  <si>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</si>
  <si>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</si>
  <si>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</si>
  <si>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</si>
  <si>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</si>
  <si>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</si>
  <si>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</si>
  <si>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</si>
  <si>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</si>
  <si>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</si>
  <si>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</si>
  <si>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</si>
  <si>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</si>
  <si>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</si>
  <si>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</si>
  <si>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</si>
  <si>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</si>
  <si>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</si>
  <si>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</si>
  <si>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</si>
  <si>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</si>
  <si>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</si>
  <si>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</si>
  <si>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</si>
  <si>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</si>
  <si>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</si>
  <si>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</si>
  <si>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</si>
  <si>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</si>
  <si>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</si>
  <si>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</si>
  <si>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</si>
  <si>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</si>
  <si>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</si>
  <si>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</si>
  <si>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</si>
  <si>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</si>
  <si>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</si>
  <si>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</si>
  <si>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</si>
  <si>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</si>
  <si>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</si>
  <si>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</si>
  <si>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</si>
  <si>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</si>
  <si>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</si>
  <si>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</si>
  <si>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</si>
  <si>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</si>
  <si>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</si>
  <si>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</si>
  <si>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</si>
  <si>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</si>
  <si>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</si>
  <si>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</si>
  <si>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</si>
  <si>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</si>
  <si>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</si>
  <si>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</si>
  <si>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</si>
  <si>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</si>
  <si>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</si>
  <si>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</si>
  <si>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</si>
  <si>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</si>
  <si>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</si>
  <si>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</si>
  <si>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</si>
  <si>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</si>
  <si>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</si>
  <si>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</si>
  <si>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</si>
  <si>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</si>
  <si>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</si>
  <si>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</si>
  <si>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</si>
  <si>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</si>
  <si>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</si>
  <si>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</si>
  <si>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</si>
  <si>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</si>
  <si>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</si>
  <si>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</si>
  <si>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</si>
  <si>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</si>
  <si>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</si>
  <si>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</si>
  <si>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</si>
  <si>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</si>
  <si>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</si>
  <si>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</si>
  <si>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</si>
  <si>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</si>
  <si>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</si>
  <si>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</si>
  <si>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</si>
  <si>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</si>
  <si>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</si>
  <si>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</si>
  <si>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</si>
  <si>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</si>
  <si>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</si>
  <si>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</si>
  <si>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</si>
  <si>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</si>
  <si>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</si>
  <si>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</si>
  <si>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</si>
  <si>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</si>
  <si>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</si>
  <si>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</si>
  <si>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</si>
  <si>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</si>
  <si>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</si>
  <si>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</si>
  <si>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</si>
  <si>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</si>
  <si>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</si>
  <si>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</si>
  <si>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</si>
  <si>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</si>
  <si>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</si>
  <si>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</si>
  <si>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</si>
  <si>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</si>
  <si>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</si>
  <si>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</si>
  <si>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</si>
  <si>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</si>
  <si>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</si>
  <si>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</si>
  <si>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</si>
  <si>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</si>
  <si>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</si>
  <si>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</si>
  <si>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</si>
  <si>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</si>
  <si>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</si>
  <si>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</si>
  <si>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</si>
  <si>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</si>
  <si>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</si>
  <si>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</si>
  <si>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</si>
  <si>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</si>
  <si>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</si>
  <si>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</si>
  <si>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</si>
  <si>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</si>
  <si>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</si>
  <si>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</si>
  <si>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</si>
  <si>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</si>
  <si>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</si>
  <si>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</si>
  <si>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</si>
  <si>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</si>
  <si>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</si>
  <si>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</si>
  <si>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</si>
  <si>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</si>
  <si>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</si>
  <si>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</si>
  <si>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</si>
  <si>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</si>
  <si>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</si>
  <si>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</si>
  <si>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</si>
  <si>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</si>
  <si>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</si>
  <si>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</si>
  <si>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</si>
  <si>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</si>
  <si>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</si>
  <si>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</si>
  <si>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</si>
  <si>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</si>
  <si>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</si>
  <si>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</si>
  <si>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</si>
  <si>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</si>
  <si>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</si>
  <si>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</si>
  <si>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</si>
  <si>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</si>
  <si>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</si>
  <si>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</si>
  <si>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</si>
  <si>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</si>
  <si>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</si>
  <si>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</si>
  <si>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</si>
  <si>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</si>
  <si>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</si>
  <si>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</si>
  <si>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</si>
  <si>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</si>
  <si>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</si>
  <si>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</si>
  <si>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</si>
  <si>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</si>
  <si>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</si>
  <si>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</si>
  <si>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</si>
  <si>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</si>
  <si>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</si>
  <si>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</si>
  <si>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</si>
  <si>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</si>
  <si>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</si>
  <si>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</si>
  <si>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</si>
  <si>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</si>
  <si>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</si>
  <si>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</si>
  <si>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</si>
  <si>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</si>
  <si>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</si>
  <si>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</si>
  <si>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</si>
  <si>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</si>
  <si>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</si>
  <si>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</si>
  <si>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</si>
  <si>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</si>
  <si>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</si>
  <si>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</si>
  <si>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</si>
  <si>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</si>
  <si>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</si>
  <si>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</si>
  <si>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简装</t>
  </si>
  <si>
    <t>居委会</t>
    <phoneticPr fontId="20" type="noConversion"/>
  </si>
  <si>
    <t>平层</t>
  </si>
  <si>
    <t>比较法-住宅</t>
  </si>
  <si>
    <t>估价对象所在区域基础设施水平——七通</t>
    <phoneticPr fontId="4" type="noConversion"/>
  </si>
  <si>
    <t>城市主干道——怀长路</t>
    <phoneticPr fontId="4" type="noConversion"/>
  </si>
  <si>
    <t>主</t>
    <phoneticPr fontId="4" type="noConversion"/>
  </si>
  <si>
    <t>专业</t>
  </si>
  <si>
    <t>白景生</t>
  </si>
  <si>
    <t>北京市朝阳区惠新西街18号D幢17层1703a号住宅用房（罗马花园）</t>
    <phoneticPr fontId="4" type="noConversion"/>
  </si>
  <si>
    <t>北京市朝阳区惠新西街18号（罗马花园）</t>
    <phoneticPr fontId="4" type="noConversion"/>
  </si>
  <si>
    <t>40-50（含）</t>
  </si>
  <si>
    <t>估价对象周边有惠新苑、惠新西街小区、蓝钰苑、惠新里、小关北里等居住小区，小区规模和社区发展完善程度好，综合评价居住社区成熟度好</t>
  </si>
  <si>
    <t>估价对象周边有惠新苑、惠新西街小区、蓝钰苑、惠新里、小关北里等居住小区，小区规模和社区发展完善程度好，综合评价居住社区成熟度好</t>
    <phoneticPr fontId="4" type="noConversion"/>
  </si>
  <si>
    <t>估价对象紧邻城市主干道——惠新西街，周边有地铁五号线（惠新西街北口站）、有18路、125路、409路、567路公交线路等，综合评价交通便捷度好</t>
  </si>
  <si>
    <t>估价对象紧邻城市主干道——惠新西街，周边有地铁五号线（惠新西街北口站）、有18路、125路、409路、567路公交线路等，综合评价交通便捷度好</t>
    <phoneticPr fontId="4" type="noConversion"/>
  </si>
  <si>
    <t>自然环境：国家奥林匹克体育中心、小关奥林匹克文化广场等；人文环境：对外经济贸易大学、北京联合大学等，综合评价环境状况好</t>
  </si>
  <si>
    <t>自然环境：国家奥林匹克体育中心、小关奥林匹克文化广场等；人文环境：对外经济贸易大学、北京联合大学等，综合评价环境状况好</t>
    <phoneticPr fontId="4" type="noConversion"/>
  </si>
  <si>
    <t>西南</t>
  </si>
  <si>
    <t>塔楼</t>
  </si>
  <si>
    <r>
      <t>17/26</t>
    </r>
    <r>
      <rPr>
        <sz val="11"/>
        <rFont val="宋体"/>
        <family val="3"/>
        <charset val="134"/>
      </rPr>
      <t>（高楼层）</t>
    </r>
    <phoneticPr fontId="4" type="noConversion"/>
  </si>
  <si>
    <t>中楼层/19</t>
    <phoneticPr fontId="4" type="noConversion"/>
  </si>
  <si>
    <t>钢混</t>
  </si>
  <si>
    <t>精装修</t>
  </si>
  <si>
    <t>毛坯</t>
  </si>
  <si>
    <r>
      <t>17/26</t>
    </r>
    <r>
      <rPr>
        <sz val="11"/>
        <color indexed="8"/>
        <rFont val="宋体"/>
        <family val="3"/>
        <charset val="134"/>
      </rPr>
      <t>（高楼层）</t>
    </r>
    <phoneticPr fontId="4" type="noConversion"/>
  </si>
  <si>
    <t>中楼层/19</t>
    <phoneticPr fontId="4" type="noConversion"/>
  </si>
  <si>
    <t>中楼层/19</t>
    <phoneticPr fontId="4" type="noConversion"/>
  </si>
  <si>
    <t>低楼层/19</t>
    <phoneticPr fontId="4" type="noConversion"/>
  </si>
  <si>
    <t>低楼层/19</t>
    <phoneticPr fontId="4" type="noConversion"/>
  </si>
  <si>
    <t>估价对象所在区域公共配套设施齐备情况好</t>
  </si>
  <si>
    <t>估价对象所在区域公共配套设施齐备情况好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</si>
</sst>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618105</xdr:colOff>
      <xdr:row>10</xdr:row>
      <xdr:rowOff>85522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71450"/>
          <a:ext cx="8161905" cy="1628572"/>
        </a:xfrm>
        <a:prstGeom prst="rect">
          <a:avLst/>
        </a:prstGeom>
      </xdr:spPr>
    </xdr:pic>
    <xdr:clientData/>
  </xdr:twoCellAnchor>
  <xdr:twoCellAnchor editAs="oneCell">
    <xdr:from>
      <xdr:col>0</xdr:col>
      <xdr:colOff>1</xdr:colOff>
      <xdr:row>11</xdr:row>
      <xdr:rowOff>9525</xdr:rowOff>
    </xdr:from>
    <xdr:to>
      <xdr:col>8</xdr:col>
      <xdr:colOff>247651</xdr:colOff>
      <xdr:row>34</xdr:row>
      <xdr:rowOff>123825</xdr:rowOff>
    </xdr:to>
    <xdr:pic>
      <xdr:nvPicPr>
        <xdr:cNvPr id="4" name="图片 3"/>
        <xdr:cNvPicPr>
          <a:picLocks noChangeAspect="1"/>
        </xdr:cNvPicPr>
      </xdr:nvPicPr>
      <xdr:blipFill>
        <a:blip xmlns:r="http://schemas.openxmlformats.org/officeDocument/2006/relationships" r:embed="rId2"/>
        <a:stretch>
          <a:fillRect/>
        </a:stretch>
      </xdr:blipFill>
      <xdr:spPr>
        <a:xfrm>
          <a:off x="1" y="1895475"/>
          <a:ext cx="5734050" cy="4057650"/>
        </a:xfrm>
        <a:prstGeom prst="rect">
          <a:avLst/>
        </a:prstGeom>
      </xdr:spPr>
    </xdr:pic>
    <xdr:clientData/>
  </xdr:twoCellAnchor>
  <xdr:twoCellAnchor editAs="oneCell">
    <xdr:from>
      <xdr:col>0</xdr:col>
      <xdr:colOff>57150</xdr:colOff>
      <xdr:row>34</xdr:row>
      <xdr:rowOff>152400</xdr:rowOff>
    </xdr:from>
    <xdr:to>
      <xdr:col>11</xdr:col>
      <xdr:colOff>522874</xdr:colOff>
      <xdr:row>43</xdr:row>
      <xdr:rowOff>152207</xdr:rowOff>
    </xdr:to>
    <xdr:pic>
      <xdr:nvPicPr>
        <xdr:cNvPr id="6" name="图片 5"/>
        <xdr:cNvPicPr>
          <a:picLocks noChangeAspect="1"/>
        </xdr:cNvPicPr>
      </xdr:nvPicPr>
      <xdr:blipFill>
        <a:blip xmlns:r="http://schemas.openxmlformats.org/officeDocument/2006/relationships" r:embed="rId3"/>
        <a:stretch>
          <a:fillRect/>
        </a:stretch>
      </xdr:blipFill>
      <xdr:spPr>
        <a:xfrm>
          <a:off x="57150" y="5981700"/>
          <a:ext cx="8009524" cy="1542857"/>
        </a:xfrm>
        <a:prstGeom prst="rect">
          <a:avLst/>
        </a:prstGeom>
      </xdr:spPr>
    </xdr:pic>
    <xdr:clientData/>
  </xdr:twoCellAnchor>
  <xdr:twoCellAnchor editAs="oneCell">
    <xdr:from>
      <xdr:col>8</xdr:col>
      <xdr:colOff>76200</xdr:colOff>
      <xdr:row>11</xdr:row>
      <xdr:rowOff>0</xdr:rowOff>
    </xdr:from>
    <xdr:to>
      <xdr:col>17</xdr:col>
      <xdr:colOff>313524</xdr:colOff>
      <xdr:row>33</xdr:row>
      <xdr:rowOff>104291</xdr:rowOff>
    </xdr:to>
    <xdr:pic>
      <xdr:nvPicPr>
        <xdr:cNvPr id="7" name="图片 6"/>
        <xdr:cNvPicPr>
          <a:picLocks noChangeAspect="1"/>
        </xdr:cNvPicPr>
      </xdr:nvPicPr>
      <xdr:blipFill>
        <a:blip xmlns:r="http://schemas.openxmlformats.org/officeDocument/2006/relationships" r:embed="rId4"/>
        <a:stretch>
          <a:fillRect/>
        </a:stretch>
      </xdr:blipFill>
      <xdr:spPr>
        <a:xfrm>
          <a:off x="5562600" y="1885950"/>
          <a:ext cx="6409524" cy="3876191"/>
        </a:xfrm>
        <a:prstGeom prst="rect">
          <a:avLst/>
        </a:prstGeom>
      </xdr:spPr>
    </xdr:pic>
    <xdr:clientData/>
  </xdr:twoCellAnchor>
  <xdr:twoCellAnchor editAs="oneCell">
    <xdr:from>
      <xdr:col>0</xdr:col>
      <xdr:colOff>1</xdr:colOff>
      <xdr:row>44</xdr:row>
      <xdr:rowOff>1</xdr:rowOff>
    </xdr:from>
    <xdr:to>
      <xdr:col>9</xdr:col>
      <xdr:colOff>133351</xdr:colOff>
      <xdr:row>65</xdr:row>
      <xdr:rowOff>76201</xdr:rowOff>
    </xdr:to>
    <xdr:pic>
      <xdr:nvPicPr>
        <xdr:cNvPr id="8" name="图片 7"/>
        <xdr:cNvPicPr>
          <a:picLocks noChangeAspect="1"/>
        </xdr:cNvPicPr>
      </xdr:nvPicPr>
      <xdr:blipFill>
        <a:blip xmlns:r="http://schemas.openxmlformats.org/officeDocument/2006/relationships" r:embed="rId5"/>
        <a:stretch>
          <a:fillRect/>
        </a:stretch>
      </xdr:blipFill>
      <xdr:spPr>
        <a:xfrm>
          <a:off x="1" y="7543801"/>
          <a:ext cx="6305550" cy="3676650"/>
        </a:xfrm>
        <a:prstGeom prst="rect">
          <a:avLst/>
        </a:prstGeom>
      </xdr:spPr>
    </xdr:pic>
    <xdr:clientData/>
  </xdr:twoCellAnchor>
  <xdr:twoCellAnchor editAs="oneCell">
    <xdr:from>
      <xdr:col>9</xdr:col>
      <xdr:colOff>157906</xdr:colOff>
      <xdr:row>44</xdr:row>
      <xdr:rowOff>28575</xdr:rowOff>
    </xdr:from>
    <xdr:to>
      <xdr:col>17</xdr:col>
      <xdr:colOff>465941</xdr:colOff>
      <xdr:row>65</xdr:row>
      <xdr:rowOff>161925</xdr:rowOff>
    </xdr:to>
    <xdr:pic>
      <xdr:nvPicPr>
        <xdr:cNvPr id="9" name="图片 8"/>
        <xdr:cNvPicPr>
          <a:picLocks noChangeAspect="1"/>
        </xdr:cNvPicPr>
      </xdr:nvPicPr>
      <xdr:blipFill>
        <a:blip xmlns:r="http://schemas.openxmlformats.org/officeDocument/2006/relationships" r:embed="rId6"/>
        <a:stretch>
          <a:fillRect/>
        </a:stretch>
      </xdr:blipFill>
      <xdr:spPr>
        <a:xfrm>
          <a:off x="6330106" y="7572375"/>
          <a:ext cx="5794435" cy="3733800"/>
        </a:xfrm>
        <a:prstGeom prst="rect">
          <a:avLst/>
        </a:prstGeom>
      </xdr:spPr>
    </xdr:pic>
    <xdr:clientData/>
  </xdr:twoCellAnchor>
  <xdr:twoCellAnchor editAs="oneCell">
    <xdr:from>
      <xdr:col>0</xdr:col>
      <xdr:colOff>0</xdr:colOff>
      <xdr:row>67</xdr:row>
      <xdr:rowOff>0</xdr:rowOff>
    </xdr:from>
    <xdr:to>
      <xdr:col>11</xdr:col>
      <xdr:colOff>494296</xdr:colOff>
      <xdr:row>76</xdr:row>
      <xdr:rowOff>56950</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1487150"/>
          <a:ext cx="8038096" cy="1600000"/>
        </a:xfrm>
        <a:prstGeom prst="rect">
          <a:avLst/>
        </a:prstGeom>
      </xdr:spPr>
    </xdr:pic>
    <xdr:clientData/>
  </xdr:twoCellAnchor>
  <xdr:twoCellAnchor editAs="oneCell">
    <xdr:from>
      <xdr:col>0</xdr:col>
      <xdr:colOff>0</xdr:colOff>
      <xdr:row>76</xdr:row>
      <xdr:rowOff>0</xdr:rowOff>
    </xdr:from>
    <xdr:to>
      <xdr:col>9</xdr:col>
      <xdr:colOff>81925</xdr:colOff>
      <xdr:row>96</xdr:row>
      <xdr:rowOff>95250</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13030200"/>
          <a:ext cx="6254125" cy="3524250"/>
        </a:xfrm>
        <a:prstGeom prst="rect">
          <a:avLst/>
        </a:prstGeom>
      </xdr:spPr>
    </xdr:pic>
    <xdr:clientData/>
  </xdr:twoCellAnchor>
  <xdr:twoCellAnchor editAs="oneCell">
    <xdr:from>
      <xdr:col>9</xdr:col>
      <xdr:colOff>238125</xdr:colOff>
      <xdr:row>76</xdr:row>
      <xdr:rowOff>38100</xdr:rowOff>
    </xdr:from>
    <xdr:to>
      <xdr:col>17</xdr:col>
      <xdr:colOff>599278</xdr:colOff>
      <xdr:row>96</xdr:row>
      <xdr:rowOff>4172</xdr:rowOff>
    </xdr:to>
    <xdr:pic>
      <xdr:nvPicPr>
        <xdr:cNvPr id="12" name="图片 11"/>
        <xdr:cNvPicPr>
          <a:picLocks noChangeAspect="1"/>
        </xdr:cNvPicPr>
      </xdr:nvPicPr>
      <xdr:blipFill>
        <a:blip xmlns:r="http://schemas.openxmlformats.org/officeDocument/2006/relationships" r:embed="rId9"/>
        <a:stretch>
          <a:fillRect/>
        </a:stretch>
      </xdr:blipFill>
      <xdr:spPr>
        <a:xfrm>
          <a:off x="6410325" y="13068300"/>
          <a:ext cx="5847553" cy="3395072"/>
        </a:xfrm>
        <a:prstGeom prst="rect">
          <a:avLst/>
        </a:prstGeom>
      </xdr:spPr>
    </xdr:pic>
    <xdr:clientData/>
  </xdr:twoCellAnchor>
  <xdr:twoCellAnchor editAs="oneCell">
    <xdr:from>
      <xdr:col>0</xdr:col>
      <xdr:colOff>0</xdr:colOff>
      <xdr:row>98</xdr:row>
      <xdr:rowOff>0</xdr:rowOff>
    </xdr:from>
    <xdr:to>
      <xdr:col>12</xdr:col>
      <xdr:colOff>46591</xdr:colOff>
      <xdr:row>125</xdr:row>
      <xdr:rowOff>8946</xdr:rowOff>
    </xdr:to>
    <xdr:pic>
      <xdr:nvPicPr>
        <xdr:cNvPr id="13" name="图片 12"/>
        <xdr:cNvPicPr>
          <a:picLocks noChangeAspect="1"/>
        </xdr:cNvPicPr>
      </xdr:nvPicPr>
      <xdr:blipFill>
        <a:blip xmlns:r="http://schemas.openxmlformats.org/officeDocument/2006/relationships" r:embed="rId10"/>
        <a:stretch>
          <a:fillRect/>
        </a:stretch>
      </xdr:blipFill>
      <xdr:spPr>
        <a:xfrm>
          <a:off x="0" y="16802100"/>
          <a:ext cx="8276191" cy="4638096"/>
        </a:xfrm>
        <a:prstGeom prst="rect">
          <a:avLst/>
        </a:prstGeom>
      </xdr:spPr>
    </xdr:pic>
    <xdr:clientData/>
  </xdr:twoCellAnchor>
  <xdr:twoCellAnchor editAs="oneCell">
    <xdr:from>
      <xdr:col>0</xdr:col>
      <xdr:colOff>0</xdr:colOff>
      <xdr:row>125</xdr:row>
      <xdr:rowOff>0</xdr:rowOff>
    </xdr:from>
    <xdr:to>
      <xdr:col>15</xdr:col>
      <xdr:colOff>427286</xdr:colOff>
      <xdr:row>148</xdr:row>
      <xdr:rowOff>94746</xdr:rowOff>
    </xdr:to>
    <xdr:pic>
      <xdr:nvPicPr>
        <xdr:cNvPr id="14" name="图片 13"/>
        <xdr:cNvPicPr>
          <a:picLocks noChangeAspect="1"/>
        </xdr:cNvPicPr>
      </xdr:nvPicPr>
      <xdr:blipFill>
        <a:blip xmlns:r="http://schemas.openxmlformats.org/officeDocument/2006/relationships" r:embed="rId11"/>
        <a:stretch>
          <a:fillRect/>
        </a:stretch>
      </xdr:blipFill>
      <xdr:spPr>
        <a:xfrm>
          <a:off x="0" y="21431250"/>
          <a:ext cx="10714286" cy="4038096"/>
        </a:xfrm>
        <a:prstGeom prst="rect">
          <a:avLst/>
        </a:prstGeom>
      </xdr:spPr>
    </xdr:pic>
    <xdr:clientData/>
  </xdr:twoCellAnchor>
  <xdr:twoCellAnchor editAs="oneCell">
    <xdr:from>
      <xdr:col>0</xdr:col>
      <xdr:colOff>0</xdr:colOff>
      <xdr:row>149</xdr:row>
      <xdr:rowOff>0</xdr:rowOff>
    </xdr:from>
    <xdr:to>
      <xdr:col>16</xdr:col>
      <xdr:colOff>84344</xdr:colOff>
      <xdr:row>176</xdr:row>
      <xdr:rowOff>47041</xdr:rowOff>
    </xdr:to>
    <xdr:pic>
      <xdr:nvPicPr>
        <xdr:cNvPr id="15" name="图片 14"/>
        <xdr:cNvPicPr>
          <a:picLocks noChangeAspect="1"/>
        </xdr:cNvPicPr>
      </xdr:nvPicPr>
      <xdr:blipFill>
        <a:blip xmlns:r="http://schemas.openxmlformats.org/officeDocument/2006/relationships" r:embed="rId12"/>
        <a:stretch>
          <a:fillRect/>
        </a:stretch>
      </xdr:blipFill>
      <xdr:spPr>
        <a:xfrm>
          <a:off x="0" y="25546050"/>
          <a:ext cx="11057144" cy="4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估价对象为北京市房地产，为所有。根据《不动产权证书》[]，估价对象建筑面积为162.32平方米，（分摊）出让国有建设用地使用权面积为平方米。估价对象用途为。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2018年7月2日（评估专业人员实地查勘之日）</v>
      </c>
    </row>
    <row r="10" spans="1:2">
      <c r="A10" s="1702" t="s">
        <v>1116</v>
      </c>
      <c r="B10" s="1689" t="str">
        <f>'预评函-1'!A13</f>
        <v>本次估价的“房地产价值”是指在正常市场情况下，在价值时点2018年7月2日，估价对象规划用途为，假定未设立法定优先受偿款下的房地产市场价值。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162.32</v>
      </c>
    </row>
    <row r="19" spans="1:2">
      <c r="A19" s="1702" t="s">
        <v>1125</v>
      </c>
      <c r="B19" s="1689">
        <f ca="1">'预评函-2（1）'!D7</f>
        <v>8719668</v>
      </c>
    </row>
    <row r="20" spans="1:2">
      <c r="A20" s="1702" t="s">
        <v>1163</v>
      </c>
      <c r="B20" s="1689" t="str">
        <f>'预评函-2（1）'!C7</f>
        <v>总价（元）</v>
      </c>
    </row>
    <row r="21" spans="1:2">
      <c r="A21" s="1702" t="s">
        <v>1126</v>
      </c>
      <c r="B21" s="1689">
        <f ca="1">'预评函-2（1）'!D9</f>
        <v>53719</v>
      </c>
    </row>
    <row r="22" spans="1:2">
      <c r="A22" s="1702" t="s">
        <v>1127</v>
      </c>
      <c r="B22" s="1689" t="str">
        <f ca="1">'预评函-2（1）'!D8</f>
        <v>捌佰柒拾壹万玖仟陆佰陆拾捌元整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8719668</v>
      </c>
    </row>
    <row r="30" spans="1:2">
      <c r="A30" s="1702" t="s">
        <v>1133</v>
      </c>
      <c r="B30" s="1689" t="str">
        <f ca="1">'预评函-2（1）'!D16</f>
        <v>捌佰柒拾壹万玖仟陆佰陆拾捌元整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7873819</v>
      </c>
    </row>
    <row r="38" spans="1:2">
      <c r="A38" s="1702" t="s">
        <v>1141</v>
      </c>
      <c r="B38" s="1689">
        <f ca="1">'预评函-2（2）'!E4</f>
        <v>48508</v>
      </c>
    </row>
    <row r="39" spans="1:2">
      <c r="A39" s="1702" t="s">
        <v>1142</v>
      </c>
      <c r="B39" s="1689" t="str">
        <f ca="1">'预评函-2（2）'!D5</f>
        <v>柒佰捌拾柒万叁仟捌佰壹拾玖元整</v>
      </c>
    </row>
    <row r="40" spans="1:2">
      <c r="A40" s="1702" t="s">
        <v>1143</v>
      </c>
      <c r="B40" s="1689">
        <f ca="1">'预评函-2（2）'!F4</f>
        <v>845850</v>
      </c>
    </row>
    <row r="41" spans="1:2">
      <c r="A41" s="1702" t="s">
        <v>1144</v>
      </c>
      <c r="B41" s="1689">
        <f ca="1">'预评函-2（2）'!G4</f>
        <v>5211</v>
      </c>
    </row>
    <row r="42" spans="1:2" s="1699" customFormat="1" ht="15.75" thickBot="1">
      <c r="A42" s="1703" t="s">
        <v>1145</v>
      </c>
      <c r="B42" s="1691" t="str">
        <f ca="1">'预评函-2（2）'!F5</f>
        <v>捌拾肆万伍仟捌佰伍拾元整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53719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43283</v>
      </c>
      <c r="C2" s="1999" t="s">
        <v>1547</v>
      </c>
      <c r="D2" s="1088">
        <v>43283</v>
      </c>
      <c r="E2" s="1064"/>
      <c r="F2" s="1064"/>
      <c r="G2" s="1683"/>
      <c r="H2" s="1020"/>
    </row>
    <row r="3" spans="1:10" ht="13.5" thickBot="1">
      <c r="A3" s="2000" t="s">
        <v>1548</v>
      </c>
      <c r="B3" s="2001" t="s">
        <v>2887</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4" t="s">
        <v>2819</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162.32</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43283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162.32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45.5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0.88900000000000001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405800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13500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45.5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2894</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2910</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67.5">
      <c r="A9" s="411"/>
      <c r="B9" s="1887" t="s">
        <v>1755</v>
      </c>
      <c r="C9" s="2737" t="s">
        <v>2896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估价对象周边有惠新苑、惠新西街小区、蓝钰苑、惠新里、小关北里等居住小区，小区规模和社区发展完善程度好，综合评价居住社区成熟度好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估价对象紧邻城市主干道——惠新西街，周边有地铁五号线（惠新西街北口站）、有18路、125路、409路、567路公交线路等，综合评价交通便捷度好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自然环境：国家奥林匹克体育中心、小关奥林匹克文化广场等；人文环境：对外经济贸易大学、北京联合大学等，综合评价环境状况好</v>
      </c>
      <c r="D20" s="2152"/>
      <c r="E20" s="2180"/>
      <c r="F20" s="1887" t="s">
        <v>1766</v>
      </c>
      <c r="G20" s="52" t="str">
        <f>G6</f>
        <v>估价对象所在区域基础设施水平</v>
      </c>
    </row>
    <row r="21" spans="1:18" ht="28.5">
      <c r="A21" s="629"/>
      <c r="B21" s="1887" t="s">
        <v>1748</v>
      </c>
      <c r="C21" s="52" t="str">
        <f>C7</f>
        <v>估价对象所在区域公共配套设施齐备情况好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162.32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43283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871.96680000000003</v>
      </c>
      <c r="C5" s="1830">
        <f ca="1">ROUND(B5*10000/$B$1,0)</f>
        <v>53719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162.32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871.96680000000003</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6" sqref="F1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2882</v>
      </c>
      <c r="D4" s="2199" t="s">
        <v>2829</v>
      </c>
      <c r="E4" s="2929" t="s">
        <v>1774</v>
      </c>
      <c r="F4" s="2930"/>
      <c r="G4" s="2930"/>
      <c r="H4" s="2930"/>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9676058</v>
      </c>
      <c r="D19" s="60">
        <f ca="1">SUMIF(INDIRECT("'"&amp;D4&amp;"'"&amp;"!A:A"),结果表!B19,INDIRECT("'"&amp;D4&amp;"'"&amp;"!B:B"))</f>
        <v>4894059</v>
      </c>
      <c r="E19" s="2206" t="s">
        <v>1796</v>
      </c>
      <c r="F19" s="2207" t="s">
        <v>1795</v>
      </c>
      <c r="G19" s="61">
        <f ca="1">ROUND(C19*$C$18+D19*$D$18,0)</f>
        <v>8719658</v>
      </c>
      <c r="H19" s="2208" t="str">
        <f>'数据-取费表'!B3</f>
        <v>元</v>
      </c>
      <c r="I19" s="2195"/>
    </row>
    <row r="20" spans="1:35" ht="15">
      <c r="A20" s="2209"/>
      <c r="B20" s="2210" t="s">
        <v>1797</v>
      </c>
      <c r="C20" s="62">
        <f ca="1">SUMIF(INDIRECT("'"&amp;C4&amp;"'"&amp;"!A:A"),结果表!B20,INDIRECT("'"&amp;C4&amp;"'"&amp;"!B:B"))</f>
        <v>59611</v>
      </c>
      <c r="D20" s="63">
        <f ca="1">SUMIF(INDIRECT("'"&amp;D4&amp;"'"&amp;"!A:A"),结果表!B20,INDIRECT("'"&amp;D4&amp;"'"&amp;"!B:B"))</f>
        <v>30151</v>
      </c>
      <c r="E20" s="2209"/>
      <c r="F20" s="2210" t="s">
        <v>1797</v>
      </c>
      <c r="G20" s="64">
        <f ca="1">ROUND(C20*$C$18+D20*$D$18,0)</f>
        <v>53719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0.97710285061949609</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53719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48508</v>
      </c>
      <c r="D34" s="1091">
        <f ca="1">IF(D33="自定义",ROUND(C34/C32,3),1-D35)</f>
        <v>0.90300000000000002</v>
      </c>
      <c r="E34" s="2233" t="s">
        <v>1810</v>
      </c>
      <c r="F34" s="1828">
        <v>2000</v>
      </c>
      <c r="G34" s="2195"/>
      <c r="H34" s="2195"/>
      <c r="I34" s="2195"/>
    </row>
    <row r="35" spans="1:16" ht="15.75" thickBot="1">
      <c r="A35" s="2234"/>
      <c r="B35" s="2235" t="s">
        <v>1811</v>
      </c>
      <c r="C35" s="73">
        <f ca="1">IF(D33="自定义",F35,ROUND(C32*D35,0))</f>
        <v>5211</v>
      </c>
      <c r="D35" s="1090">
        <f ca="1">IF(D33="自定义",ROUND(C35/C32,3),IF(D33="成本法成本比率",成本法!C56,IF(D33="收益法收益比率",收益法!J38,收益法!J41)))</f>
        <v>9.7000000000000003E-2</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2" t="s">
        <v>1824</v>
      </c>
      <c r="B45" s="2943"/>
      <c r="C45" s="2944"/>
      <c r="D45" s="80">
        <f ca="1">ROUND(I102*F45,0)</f>
        <v>8719668</v>
      </c>
      <c r="E45" s="81" t="s">
        <v>1825</v>
      </c>
      <c r="F45" s="82">
        <v>1</v>
      </c>
      <c r="G45" s="83" t="s">
        <v>1826</v>
      </c>
      <c r="H45" s="2195"/>
      <c r="I45" s="2195"/>
      <c r="J45" s="2854" t="s">
        <v>1827</v>
      </c>
      <c r="K45" s="2854"/>
      <c r="L45" s="2854"/>
      <c r="M45" s="2854"/>
      <c r="N45" s="2854"/>
      <c r="O45" s="2854"/>
      <c r="P45" s="1845"/>
    </row>
    <row r="46" spans="1:16" ht="14.25" customHeight="1">
      <c r="A46" s="2934" t="s">
        <v>1828</v>
      </c>
      <c r="B46" s="2935"/>
      <c r="C46" s="2935"/>
      <c r="D46" s="2935"/>
      <c r="E46" s="2935"/>
      <c r="F46" s="2935"/>
      <c r="G46" s="2936"/>
      <c r="H46" s="2257"/>
      <c r="I46" s="1144"/>
      <c r="J46" s="1883">
        <v>1</v>
      </c>
      <c r="K46" s="2854" t="s">
        <v>1829</v>
      </c>
      <c r="L46" s="2854"/>
      <c r="M46" s="2855" t="str">
        <f>项目基本情况!B1</f>
        <v>北京市预评估</v>
      </c>
      <c r="N46" s="2855"/>
      <c r="O46" s="2855"/>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56">
        <f>'数据-取费表'!B2</f>
        <v>43283</v>
      </c>
      <c r="N47" s="2856"/>
      <c r="O47" s="2856"/>
      <c r="P47" s="1845"/>
    </row>
    <row r="48" spans="1:16" ht="25.5">
      <c r="A48" s="2940" t="s">
        <v>1836</v>
      </c>
      <c r="B48" s="2941"/>
      <c r="C48" s="2941"/>
      <c r="D48" s="56">
        <f ca="1">IF(H48="情况1",0,IF(H48="情况2",D52,IF(H48="情况3",D53,IF(H48="情况4",D54))))</f>
        <v>465049</v>
      </c>
      <c r="E48" s="1893" t="str">
        <f>IF(H48="情况4","(销售额-原购置价)×税（费）率","销售额×税（费）率")</f>
        <v>销售额×税（费）率</v>
      </c>
      <c r="F48" s="91">
        <f>IF(H48="情况1","免征",'数据-取费表'!E29)</f>
        <v>5.6000000000000001E-2</v>
      </c>
      <c r="G48" s="2258" t="s">
        <v>1837</v>
      </c>
      <c r="H48" s="2259" t="s">
        <v>1838</v>
      </c>
      <c r="I48" s="2257"/>
      <c r="J48" s="1883">
        <v>3</v>
      </c>
      <c r="K48" s="2854" t="s">
        <v>1839</v>
      </c>
      <c r="L48" s="2854"/>
      <c r="M48" s="2855">
        <f ca="1">I102</f>
        <v>8719668</v>
      </c>
      <c r="N48" s="2855"/>
      <c r="O48" s="2855"/>
      <c r="P48" s="1845"/>
    </row>
    <row r="49" spans="1:16" ht="25.5" customHeight="1">
      <c r="A49" s="92" t="s">
        <v>1840</v>
      </c>
      <c r="B49" s="2921" t="s">
        <v>1841</v>
      </c>
      <c r="C49" s="2921"/>
      <c r="D49" s="93">
        <v>0</v>
      </c>
      <c r="E49" s="13" t="s">
        <v>1842</v>
      </c>
      <c r="F49" s="18" t="s">
        <v>48</v>
      </c>
      <c r="G49" s="2845"/>
      <c r="H49" s="2195"/>
      <c r="I49" s="2260"/>
      <c r="J49" s="1883">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5"/>
    </row>
    <row r="50" spans="1:16" ht="25.5" customHeight="1">
      <c r="A50" s="94"/>
      <c r="B50" s="2921" t="s">
        <v>1843</v>
      </c>
      <c r="C50" s="2921"/>
      <c r="D50" s="95"/>
      <c r="E50" s="21"/>
      <c r="F50" s="96"/>
      <c r="G50" s="2846"/>
      <c r="H50" s="2195"/>
      <c r="I50" s="2260"/>
      <c r="J50" s="2854" t="s">
        <v>1844</v>
      </c>
      <c r="K50" s="2854"/>
      <c r="L50" s="2854"/>
      <c r="M50" s="2854"/>
      <c r="N50" s="2854"/>
      <c r="O50" s="2854"/>
      <c r="P50" s="1845"/>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5"/>
    </row>
    <row r="52" spans="1:16" ht="24" customHeight="1">
      <c r="A52" s="99" t="s">
        <v>1851</v>
      </c>
      <c r="B52" s="2921" t="s">
        <v>1852</v>
      </c>
      <c r="C52" s="2921"/>
      <c r="D52" s="98">
        <f ca="1">ROUND(D45*'数据-取费表'!E29/(1+'数据-取费表'!F30),0)</f>
        <v>465049</v>
      </c>
      <c r="E52" s="10" t="s">
        <v>1853</v>
      </c>
      <c r="F52" s="100">
        <f>'数据-取费表'!E29</f>
        <v>5.6000000000000001E-2</v>
      </c>
      <c r="G52" s="2262"/>
      <c r="H52" s="2195"/>
      <c r="I52" s="2260"/>
      <c r="J52" s="1883">
        <v>1</v>
      </c>
      <c r="K52" s="2844" t="s">
        <v>1854</v>
      </c>
      <c r="L52" s="2844"/>
      <c r="M52" s="778">
        <f ca="1">D48</f>
        <v>465049</v>
      </c>
      <c r="N52" s="1883" t="str">
        <f>E48</f>
        <v>销售额×税（费）率</v>
      </c>
      <c r="O52" s="779">
        <f>F48</f>
        <v>5.6000000000000001E-2</v>
      </c>
      <c r="P52" s="1845"/>
    </row>
    <row r="53" spans="1:16" ht="12" customHeight="1">
      <c r="A53" s="99" t="s">
        <v>1855</v>
      </c>
      <c r="B53" s="2920" t="s">
        <v>1856</v>
      </c>
      <c r="C53" s="2814"/>
      <c r="D53" s="98">
        <f ca="1">ROUND(D45*'数据-取费表'!E29/(1+'数据-取费表'!F30),0)</f>
        <v>465049</v>
      </c>
      <c r="E53" s="10" t="s">
        <v>1853</v>
      </c>
      <c r="F53" s="100">
        <f>'数据-取费表'!E29</f>
        <v>5.6000000000000001E-2</v>
      </c>
      <c r="G53" s="2262"/>
      <c r="H53" s="2195"/>
      <c r="I53" s="2260"/>
      <c r="J53" s="1883">
        <v>2</v>
      </c>
      <c r="K53" s="2844" t="s">
        <v>1857</v>
      </c>
      <c r="L53" s="2844"/>
      <c r="M53" s="778">
        <f t="shared" ref="M53:O54" ca="1" si="1">D55</f>
        <v>4360</v>
      </c>
      <c r="N53" s="1883" t="str">
        <f t="shared" si="1"/>
        <v>销售额×税（费）率</v>
      </c>
      <c r="O53" s="779">
        <f t="shared" si="1"/>
        <v>5.0000000000000001E-4</v>
      </c>
      <c r="P53" s="1845"/>
    </row>
    <row r="54" spans="1:16" ht="12" customHeight="1">
      <c r="A54" s="99" t="s">
        <v>1858</v>
      </c>
      <c r="B54" s="2920" t="s">
        <v>1859</v>
      </c>
      <c r="C54" s="2814"/>
      <c r="D54" s="98">
        <f ca="1">C68</f>
        <v>465049</v>
      </c>
      <c r="E54" s="20" t="s">
        <v>1860</v>
      </c>
      <c r="F54" s="100">
        <f>'数据-取费表'!E29</f>
        <v>5.6000000000000001E-2</v>
      </c>
      <c r="G54" s="2262"/>
      <c r="H54" s="2263"/>
      <c r="I54" s="2260"/>
      <c r="J54" s="1883">
        <v>3</v>
      </c>
      <c r="K54" s="2844" t="s">
        <v>1861</v>
      </c>
      <c r="L54" s="2844"/>
      <c r="M54" s="778">
        <f t="shared" ca="1" si="1"/>
        <v>4935332</v>
      </c>
      <c r="N54" s="1883" t="str">
        <f t="shared" si="1"/>
        <v>增值额×税（费）率</v>
      </c>
      <c r="O54" s="780" t="str">
        <f t="shared" si="1"/>
        <v>——</v>
      </c>
      <c r="P54" s="1845"/>
    </row>
    <row r="55" spans="1:16" ht="24" customHeight="1">
      <c r="A55" s="2806" t="s">
        <v>1862</v>
      </c>
      <c r="B55" s="2941"/>
      <c r="C55" s="2941"/>
      <c r="D55" s="101">
        <f ca="1">IF(H55="个人住宅",0,ROUND(D45*I55,0))</f>
        <v>4360</v>
      </c>
      <c r="E55" s="10" t="s">
        <v>1863</v>
      </c>
      <c r="F55" s="100">
        <f>IF(H55="正常",I55,"免征")</f>
        <v>5.0000000000000001E-4</v>
      </c>
      <c r="G55" s="2262"/>
      <c r="H55" s="2259" t="s">
        <v>1864</v>
      </c>
      <c r="I55" s="102">
        <f>'数据-取费表'!E37</f>
        <v>5.0000000000000001E-4</v>
      </c>
      <c r="J55" s="1883">
        <f>IF(H59="非个人房产","",4)</f>
        <v>4</v>
      </c>
      <c r="K55" s="2844" t="str">
        <f>IF(H59="非个人房产","——","个人所得税")</f>
        <v>个人所得税</v>
      </c>
      <c r="L55" s="2844"/>
      <c r="M55" s="781">
        <f ca="1">D59</f>
        <v>87197</v>
      </c>
      <c r="N55" s="1886" t="str">
        <f>E59</f>
        <v>销售额×税（费）率</v>
      </c>
      <c r="O55" s="782">
        <f>F59</f>
        <v>0.01</v>
      </c>
      <c r="P55" s="1845"/>
    </row>
    <row r="56" spans="1:16" ht="24.75">
      <c r="A56" s="2806" t="s">
        <v>1865</v>
      </c>
      <c r="B56" s="2941"/>
      <c r="C56" s="2941"/>
      <c r="D56" s="101">
        <f ca="1">IF(H56="个人住宅",D57,D58)</f>
        <v>4935332</v>
      </c>
      <c r="E56" s="10" t="s">
        <v>1866</v>
      </c>
      <c r="F56" s="100" t="str">
        <f>IF(H56="正常",F58,"免征")</f>
        <v>——</v>
      </c>
      <c r="G56" s="2264" t="s">
        <v>1867</v>
      </c>
      <c r="H56" s="2265" t="s">
        <v>1864</v>
      </c>
      <c r="I56" s="1022"/>
      <c r="J56" s="1883"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5"/>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5491938</v>
      </c>
      <c r="O57" s="2267"/>
      <c r="P57" s="1841" t="e">
        <f ca="1">N57/M49</f>
        <v>#VALUE!</v>
      </c>
    </row>
    <row r="58" spans="1:16" ht="24.75">
      <c r="A58" s="99" t="s">
        <v>1851</v>
      </c>
      <c r="B58" s="2929" t="s">
        <v>1871</v>
      </c>
      <c r="C58" s="2930"/>
      <c r="D58" s="101">
        <f ca="1">IF(H58="转让取得",C81,C97)</f>
        <v>4935332</v>
      </c>
      <c r="E58" s="10" t="s">
        <v>1866</v>
      </c>
      <c r="F58" s="14" t="s">
        <v>48</v>
      </c>
      <c r="G58" s="2262"/>
      <c r="H58" s="2265" t="s">
        <v>1872</v>
      </c>
      <c r="I58" s="1022"/>
      <c r="J58" s="2844"/>
      <c r="K58" s="2844"/>
      <c r="L58" s="2266" t="s">
        <v>1873</v>
      </c>
      <c r="M58" s="785"/>
      <c r="N58" s="2268" t="str">
        <f ca="1">IF(H19="元",NUMBERSTRING(INT(N57),2)&amp;"元整",NUMBERSTRING(INT(N57*10000),2)&amp;"元整")</f>
        <v>伍佰肆拾玖万壹仟玖佰叁拾捌元整</v>
      </c>
      <c r="O58" s="2269"/>
      <c r="P58" s="1845"/>
    </row>
    <row r="59" spans="1:16" ht="26.25" thickBot="1">
      <c r="A59" s="2807" t="s">
        <v>1874</v>
      </c>
      <c r="B59" s="2810"/>
      <c r="C59" s="2810"/>
      <c r="D59" s="104">
        <f ca="1">IF(H59="非个人房产","——",IF(H59="个人住宅",0,ROUND(D45*I59,0)))</f>
        <v>87197</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5"/>
    </row>
    <row r="61" spans="1:16" ht="13.5" thickBot="1">
      <c r="A61" s="2945" t="s">
        <v>1877</v>
      </c>
      <c r="B61" s="2945"/>
      <c r="C61" s="2945"/>
      <c r="D61" s="2945"/>
      <c r="E61" s="2945"/>
      <c r="F61" s="1022"/>
      <c r="G61" s="1022"/>
      <c r="H61" s="2248"/>
      <c r="I61" s="2195"/>
      <c r="J61" s="1883">
        <f>J59+1</f>
        <v>7</v>
      </c>
      <c r="K61" s="2844" t="s">
        <v>1878</v>
      </c>
      <c r="L61" s="2844"/>
      <c r="M61" s="788"/>
      <c r="N61" s="789" t="e">
        <f ca="1">IF(H19="元",ROUND(N59/项目基本情况!C12,0),ROUND(N59*10000/项目基本情况!C12,0))</f>
        <v>#VALUE!</v>
      </c>
      <c r="O61" s="2272"/>
      <c r="P61" s="1845"/>
    </row>
    <row r="62" spans="1:16" ht="12.75">
      <c r="A62" s="2882" t="s">
        <v>1879</v>
      </c>
      <c r="B62" s="288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8304446</v>
      </c>
      <c r="D63" s="112"/>
      <c r="E63" s="113"/>
      <c r="F63" s="1022"/>
      <c r="G63" s="1022"/>
      <c r="H63" s="2248"/>
      <c r="I63" s="2195"/>
      <c r="J63" s="286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8719668</v>
      </c>
      <c r="D64" s="117" t="s">
        <v>41</v>
      </c>
      <c r="E64" s="118"/>
      <c r="F64" s="1022"/>
      <c r="G64" s="1022"/>
      <c r="H64" s="2248"/>
      <c r="I64" s="2195"/>
      <c r="J64" s="286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3"/>
      <c r="K66" s="2273" t="s">
        <v>1892</v>
      </c>
      <c r="L66" s="1844" t="e">
        <f>M49*0.5%</f>
        <v>#VALUE!</v>
      </c>
      <c r="M66" s="14" t="e">
        <f>IF(L66&gt;0.5,0.5,ROUND(L66,0))</f>
        <v>#VALUE!</v>
      </c>
      <c r="N66" s="1845" t="s">
        <v>1893</v>
      </c>
      <c r="O66" s="1845"/>
      <c r="P66" s="1845"/>
    </row>
    <row r="67" spans="1:35" ht="12.75">
      <c r="A67" s="120" t="s">
        <v>42</v>
      </c>
      <c r="B67" s="121" t="s">
        <v>1894</v>
      </c>
      <c r="C67" s="124">
        <f ca="1">C63-C66</f>
        <v>8304446</v>
      </c>
      <c r="D67" s="117" t="s">
        <v>41</v>
      </c>
      <c r="E67" s="118"/>
      <c r="F67" s="1022"/>
      <c r="G67" s="1022"/>
      <c r="H67" s="2248"/>
      <c r="I67" s="2195"/>
      <c r="J67" s="286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465049</v>
      </c>
      <c r="D68" s="128">
        <f>'数据-取费表'!E29</f>
        <v>5.6000000000000001E-2</v>
      </c>
      <c r="E68" s="129"/>
      <c r="F68" s="1022"/>
      <c r="G68" s="1022"/>
      <c r="H68" s="2248"/>
      <c r="I68" s="2195"/>
      <c r="J68" s="286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8304446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49827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49827</v>
      </c>
      <c r="D78" s="145">
        <f>'数据-取费表'!E31</f>
        <v>6.000000000000001E-3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8254619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165.66558291689245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4935332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8304446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49827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49827</v>
      </c>
      <c r="D93" s="145">
        <f>'数据-取费表'!E31</f>
        <v>6.000000000000001E-3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8254619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165.66558291689245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4935332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9676058</v>
      </c>
      <c r="D101" s="721">
        <f ca="1">D19</f>
        <v>4894059</v>
      </c>
      <c r="E101" s="2195"/>
      <c r="F101" s="2888" t="str">
        <f>项目基本情况!I1</f>
        <v>北京市房地产</v>
      </c>
      <c r="G101" s="2890"/>
      <c r="H101" s="2949">
        <f>项目基本情况!C12</f>
        <v>162.32</v>
      </c>
      <c r="I101" s="2889"/>
    </row>
    <row r="102" spans="1:35" ht="15.75">
      <c r="A102" s="2908"/>
      <c r="B102" s="2290" t="s">
        <v>1939</v>
      </c>
      <c r="C102" s="722">
        <f ca="1">C20</f>
        <v>59611</v>
      </c>
      <c r="D102" s="723">
        <f ca="1">D20</f>
        <v>30151</v>
      </c>
      <c r="E102" s="2195"/>
      <c r="F102" s="2963" t="s">
        <v>1940</v>
      </c>
      <c r="G102" s="2964"/>
      <c r="H102" s="2291" t="str">
        <f>C106</f>
        <v>总价（元）</v>
      </c>
      <c r="I102" s="1862">
        <f ca="1">H121</f>
        <v>8719668</v>
      </c>
    </row>
    <row r="103" spans="1:35" ht="15">
      <c r="A103" s="2908" t="s">
        <v>1941</v>
      </c>
      <c r="B103" s="2292" t="str">
        <f>B101</f>
        <v>总价（元）</v>
      </c>
      <c r="C103" s="724">
        <f ca="1">H121</f>
        <v>8719668</v>
      </c>
      <c r="D103" s="725"/>
      <c r="E103" s="2195"/>
      <c r="F103" s="2963"/>
      <c r="G103" s="2964"/>
      <c r="H103" s="2291" t="s">
        <v>1939</v>
      </c>
      <c r="I103" s="1050">
        <f ca="1">I121</f>
        <v>53719</v>
      </c>
    </row>
    <row r="104" spans="1:35" ht="16.5" thickBot="1">
      <c r="A104" s="2909"/>
      <c r="B104" s="2293" t="s">
        <v>1939</v>
      </c>
      <c r="C104" s="726">
        <f ca="1">I121</f>
        <v>53719</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2">
        <f>SUMIF(I106:I108,"&lt;9E307")</f>
        <v>0</v>
      </c>
    </row>
    <row r="106" spans="1:35" ht="15">
      <c r="A106" s="2916" t="s">
        <v>1944</v>
      </c>
      <c r="B106" s="2917"/>
      <c r="C106" s="2291" t="str">
        <f>B101</f>
        <v>总价（元）</v>
      </c>
      <c r="D106" s="1051">
        <f ca="1">H121</f>
        <v>8719668</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53719</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3">
        <f ca="1">IF(F110="——","——",I102-I105)</f>
        <v>8719668</v>
      </c>
    </row>
    <row r="111" spans="1:35" ht="15">
      <c r="A111" s="2877" t="s">
        <v>1948</v>
      </c>
      <c r="B111" s="2878"/>
      <c r="C111" s="2294" t="str">
        <f>C108</f>
        <v>总额（元）</v>
      </c>
      <c r="D111" s="637">
        <f>C38</f>
        <v>0</v>
      </c>
      <c r="E111" s="2195"/>
      <c r="F111" s="2859"/>
      <c r="G111" s="2860"/>
      <c r="H111" s="2291" t="s">
        <v>1939</v>
      </c>
      <c r="I111" s="2297">
        <f ca="1">D113</f>
        <v>53719</v>
      </c>
    </row>
    <row r="112" spans="1:35" ht="26.25" customHeight="1">
      <c r="A112" s="2916" t="str">
        <f>IF(项目基本情况!F5="已注销","——","3.房地产抵押价值")</f>
        <v>3.房地产抵押价值</v>
      </c>
      <c r="B112" s="2917"/>
      <c r="C112" s="2291" t="str">
        <f>B101</f>
        <v>总价（元）</v>
      </c>
      <c r="D112" s="1051">
        <f ca="1">IF(A112="——","——",D106-D108)</f>
        <v>8719668</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3" t="str">
        <f>IF(F112="——","——",I102-I107-I108)</f>
        <v>——</v>
      </c>
    </row>
    <row r="113" spans="1:15" ht="15">
      <c r="A113" s="2916"/>
      <c r="B113" s="2917"/>
      <c r="C113" s="2291" t="s">
        <v>1939</v>
      </c>
      <c r="D113" s="1052">
        <f ca="1">ROUND(IF(D112=D106,D107,IF(H19="元",D112/项目基本情况!C12,D112*10000/项目基本情况!C12)),0)</f>
        <v>53719</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2"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4"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162.32</v>
      </c>
      <c r="C121" s="1887">
        <f>项目基本情况!C13</f>
        <v>0</v>
      </c>
      <c r="D121" s="1887">
        <f ca="1">ROUND(IF(B32="总价",C34,IF('数据-取费表'!B3="万元",E121*B121/10000,E121*B121)),0)</f>
        <v>7873819</v>
      </c>
      <c r="E121" s="1887">
        <f ca="1">ROUND(IF(B32="楼面单价",C34,IF(H19="元",D121/B121,D121*10000/B121)),0)</f>
        <v>48508</v>
      </c>
      <c r="F121" s="1887">
        <f ca="1">ROUND(IF(B32="总价",C35,IF('数据-取费表'!B3="万元",G121*B121/10000,G121*B121)),0)</f>
        <v>845850</v>
      </c>
      <c r="G121" s="1887">
        <f ca="1">ROUND(IF(B32="楼面单价",C35,IF(H19="元",F121/B121,F121*10000/B121)),0)</f>
        <v>5211</v>
      </c>
      <c r="H121" s="1887">
        <f ca="1">ROUND(IF(B32="总价",C32,IF('数据-取费表'!B3="万元",I121*B121/10000,I121*B121)),0)</f>
        <v>8719668</v>
      </c>
      <c r="I121" s="637">
        <f ca="1">ROUND(IF(B32="楼面单价",C32,IF(H19="元",H121/B121,H121*10000/B121)),0)</f>
        <v>53719</v>
      </c>
    </row>
    <row r="122" spans="1:15" ht="14.25">
      <c r="A122" s="2868" t="s">
        <v>1958</v>
      </c>
      <c r="B122" s="2864"/>
      <c r="C122" s="2864"/>
      <c r="D122" s="2900" t="str">
        <f ca="1">IF(H19="元",NUMBERSTRING(INT(D121),2)&amp;"元整",NUMBERSTRING(INT(D121*10000),2)&amp;"元整")</f>
        <v>柒佰捌拾柒万叁仟捌佰壹拾玖元整</v>
      </c>
      <c r="E122" s="2901"/>
      <c r="F122" s="2900" t="str">
        <f ca="1">IF(H19="元",NUMBERSTRING(INT(F121),2)&amp;"元整",NUMBERSTRING(INT(F121*10000),2)&amp;"元整")</f>
        <v>捌拾肆万伍仟捌佰伍拾元整</v>
      </c>
      <c r="G122" s="2901"/>
      <c r="H122" s="2900" t="str">
        <f ca="1">IF(H19="元",NUMBERSTRING(INT(H121),2)&amp;"元整",NUMBERSTRING(INT(H121*10000),2)&amp;"元整")</f>
        <v>捌佰柒拾壹万玖仟陆佰陆拾捌元整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8719668</v>
      </c>
      <c r="E125" s="2903"/>
      <c r="F125" s="2903"/>
      <c r="G125" s="2903"/>
      <c r="H125" s="2903"/>
      <c r="I125" s="2952"/>
    </row>
    <row r="126" spans="1:15" ht="14.25">
      <c r="A126" s="2868" t="s">
        <v>1958</v>
      </c>
      <c r="B126" s="2864"/>
      <c r="C126" s="2864"/>
      <c r="D126" s="2953">
        <f ca="1">I111</f>
        <v>53719</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5"/>
    </row>
    <row r="47" spans="1:16" ht="14.25" customHeight="1">
      <c r="A47" s="2934" t="s">
        <v>1828</v>
      </c>
      <c r="B47" s="2935"/>
      <c r="C47" s="2935"/>
      <c r="D47" s="2935"/>
      <c r="E47" s="2935"/>
      <c r="F47" s="2935"/>
      <c r="G47" s="2936"/>
      <c r="H47" s="2257"/>
      <c r="I47" s="1144"/>
      <c r="J47" s="1883">
        <v>1</v>
      </c>
      <c r="K47" s="2854" t="s">
        <v>1829</v>
      </c>
      <c r="L47" s="2854"/>
      <c r="M47" s="2969"/>
      <c r="N47" s="2969"/>
      <c r="O47" s="2969"/>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56">
        <f>'数据-取费表'!B2</f>
        <v>43283</v>
      </c>
      <c r="N48" s="2856"/>
      <c r="O48" s="2856"/>
      <c r="P48" s="1845"/>
    </row>
    <row r="49" spans="1:16" ht="25.5">
      <c r="A49" s="2940" t="s">
        <v>1836</v>
      </c>
      <c r="B49" s="2941"/>
      <c r="C49" s="294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4" t="s">
        <v>1839</v>
      </c>
      <c r="L49" s="2854"/>
      <c r="M49" s="2855">
        <f>I103</f>
        <v>0</v>
      </c>
      <c r="N49" s="2855"/>
      <c r="O49" s="2855"/>
      <c r="P49" s="1845"/>
    </row>
    <row r="50" spans="1:16" ht="25.5" customHeight="1">
      <c r="A50" s="92" t="s">
        <v>1840</v>
      </c>
      <c r="B50" s="2921" t="s">
        <v>1841</v>
      </c>
      <c r="C50" s="2921"/>
      <c r="D50" s="93">
        <v>0</v>
      </c>
      <c r="E50" s="13" t="s">
        <v>1842</v>
      </c>
      <c r="F50" s="18" t="s">
        <v>48</v>
      </c>
      <c r="G50" s="2845"/>
      <c r="H50" s="2195"/>
      <c r="I50" s="2260"/>
      <c r="J50" s="1883">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5"/>
    </row>
    <row r="51" spans="1:16" ht="25.5" customHeight="1">
      <c r="A51" s="94"/>
      <c r="B51" s="2921" t="s">
        <v>1843</v>
      </c>
      <c r="C51" s="2921"/>
      <c r="D51" s="95"/>
      <c r="E51" s="21"/>
      <c r="F51" s="96"/>
      <c r="G51" s="2846"/>
      <c r="H51" s="2195"/>
      <c r="I51" s="2260"/>
      <c r="J51" s="2854" t="s">
        <v>1844</v>
      </c>
      <c r="K51" s="2854"/>
      <c r="L51" s="2854"/>
      <c r="M51" s="2854"/>
      <c r="N51" s="2854"/>
      <c r="O51" s="2854"/>
      <c r="P51" s="1845"/>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5"/>
    </row>
    <row r="53" spans="1:16" ht="24" customHeight="1">
      <c r="A53" s="99" t="s">
        <v>1851</v>
      </c>
      <c r="B53" s="2921" t="s">
        <v>1852</v>
      </c>
      <c r="C53" s="2921"/>
      <c r="D53" s="98">
        <f>ROUND(D46*'数据-取费表'!E29/(1+'数据-取费表'!F30),0)</f>
        <v>0</v>
      </c>
      <c r="E53" s="10" t="s">
        <v>1853</v>
      </c>
      <c r="F53" s="100">
        <f>'数据-取费表'!E29</f>
        <v>5.6000000000000001E-2</v>
      </c>
      <c r="G53" s="2262"/>
      <c r="H53" s="2195"/>
      <c r="I53" s="2260"/>
      <c r="J53" s="1883">
        <v>1</v>
      </c>
      <c r="K53" s="2844" t="s">
        <v>1854</v>
      </c>
      <c r="L53" s="2844"/>
      <c r="M53" s="778">
        <f>D49</f>
        <v>0</v>
      </c>
      <c r="N53" s="1883" t="str">
        <f>E49</f>
        <v>销售额×税（费）率</v>
      </c>
      <c r="O53" s="779">
        <f>F49</f>
        <v>5.6000000000000001E-2</v>
      </c>
      <c r="P53" s="1845"/>
    </row>
    <row r="54" spans="1:16" ht="12" customHeight="1">
      <c r="A54" s="99" t="s">
        <v>1855</v>
      </c>
      <c r="B54" s="2920" t="s">
        <v>1856</v>
      </c>
      <c r="C54" s="2814"/>
      <c r="D54" s="98">
        <f>ROUND(D46*'数据-取费表'!E29/(1+'数据-取费表'!F30),0)</f>
        <v>0</v>
      </c>
      <c r="E54" s="10" t="s">
        <v>1853</v>
      </c>
      <c r="F54" s="100">
        <f>'数据-取费表'!E29</f>
        <v>5.6000000000000001E-2</v>
      </c>
      <c r="G54" s="2262"/>
      <c r="H54" s="2195"/>
      <c r="I54" s="2260"/>
      <c r="J54" s="1883">
        <v>2</v>
      </c>
      <c r="K54" s="2844" t="s">
        <v>1857</v>
      </c>
      <c r="L54" s="2844"/>
      <c r="M54" s="778">
        <f t="shared" ref="M54:O55" si="1">D56</f>
        <v>0</v>
      </c>
      <c r="N54" s="1883" t="str">
        <f t="shared" si="1"/>
        <v>销售额×税（费）率</v>
      </c>
      <c r="O54" s="779">
        <f t="shared" si="1"/>
        <v>5.0000000000000001E-4</v>
      </c>
      <c r="P54" s="1845"/>
    </row>
    <row r="55" spans="1:16" ht="12" customHeight="1">
      <c r="A55" s="99" t="s">
        <v>1858</v>
      </c>
      <c r="B55" s="2920" t="s">
        <v>1859</v>
      </c>
      <c r="C55" s="2814"/>
      <c r="D55" s="98">
        <f>C69</f>
        <v>0</v>
      </c>
      <c r="E55" s="20" t="s">
        <v>1860</v>
      </c>
      <c r="F55" s="100">
        <f>'数据-取费表'!E29</f>
        <v>5.6000000000000001E-2</v>
      </c>
      <c r="G55" s="2262"/>
      <c r="H55" s="2263"/>
      <c r="I55" s="2260"/>
      <c r="J55" s="1883">
        <v>3</v>
      </c>
      <c r="K55" s="2844" t="s">
        <v>1861</v>
      </c>
      <c r="L55" s="2844"/>
      <c r="M55" s="778">
        <f t="shared" si="1"/>
        <v>0</v>
      </c>
      <c r="N55" s="1883" t="str">
        <f t="shared" si="1"/>
        <v>增值额×税（费）率</v>
      </c>
      <c r="O55" s="780" t="str">
        <f t="shared" si="1"/>
        <v>——</v>
      </c>
      <c r="P55" s="1845"/>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4" t="str">
        <f>IF(H60="非个人房产","——","个人所得税")</f>
        <v>——</v>
      </c>
      <c r="L56" s="2844"/>
      <c r="M56" s="781" t="str">
        <f>D60</f>
        <v>——</v>
      </c>
      <c r="N56" s="1886" t="str">
        <f>E60</f>
        <v>——</v>
      </c>
      <c r="O56" s="782" t="str">
        <f>F60</f>
        <v>——</v>
      </c>
      <c r="P56" s="1845"/>
    </row>
    <row r="57" spans="1:16" ht="24.75">
      <c r="A57" s="2806" t="s">
        <v>1865</v>
      </c>
      <c r="B57" s="2941"/>
      <c r="C57" s="2941"/>
      <c r="D57" s="101">
        <f>IF(H57="个人住宅",D58,D59)</f>
        <v>0</v>
      </c>
      <c r="E57" s="10" t="s">
        <v>1866</v>
      </c>
      <c r="F57" s="100" t="str">
        <f>IF(H57="正常",F59,"免征")</f>
        <v>——</v>
      </c>
      <c r="G57" s="2264" t="s">
        <v>1867</v>
      </c>
      <c r="H57" s="2265" t="s">
        <v>1864</v>
      </c>
      <c r="I57" s="1022"/>
      <c r="J57" s="1883"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5"/>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1"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3" t="s">
        <v>1870</v>
      </c>
      <c r="M60" s="786"/>
      <c r="N60" s="787" t="e">
        <f>M50-N58</f>
        <v>#VALUE!</v>
      </c>
      <c r="O60" s="2271"/>
      <c r="P60" s="1845"/>
    </row>
    <row r="61" spans="1:16" ht="12" customHeight="1">
      <c r="A61" s="2068"/>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5"/>
    </row>
    <row r="62" spans="1:16" ht="13.5" thickBot="1">
      <c r="A62" s="2945" t="s">
        <v>1877</v>
      </c>
      <c r="B62" s="2945"/>
      <c r="C62" s="2945"/>
      <c r="D62" s="2945"/>
      <c r="E62" s="2945"/>
      <c r="F62" s="1022"/>
      <c r="G62" s="1022"/>
      <c r="H62" s="2248"/>
      <c r="I62" s="2195"/>
      <c r="J62" s="1883">
        <f>J60+1</f>
        <v>6</v>
      </c>
      <c r="K62" s="2844" t="s">
        <v>1878</v>
      </c>
      <c r="L62" s="2844"/>
      <c r="M62" s="788"/>
      <c r="N62" s="789" t="e">
        <f>IF(H19="元",ROUND(N60/项目基本情况!C12,0),ROUND(N60*10000/项目基本情况!C12,0))</f>
        <v>#VALUE!</v>
      </c>
      <c r="O62" s="2272"/>
      <c r="P62" s="1845"/>
    </row>
    <row r="63" spans="1:16" ht="12.75">
      <c r="A63" s="2882" t="s">
        <v>1879</v>
      </c>
      <c r="B63" s="288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6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2">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2">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2"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2" t="str">
        <f>IF(F115="——","——",N60)</f>
        <v>——</v>
      </c>
    </row>
    <row r="116" spans="1:26" ht="15.75" thickBot="1">
      <c r="A116" s="2916"/>
      <c r="B116" s="2917"/>
      <c r="C116" s="2291" t="s">
        <v>2001</v>
      </c>
      <c r="D116" s="1052" t="e">
        <f>ROUND(IF(D115=D109,D110,IF(H19="元",D115/B124,D115*10000/B124)),0)</f>
        <v>#DIV/0!</v>
      </c>
      <c r="E116" s="2195"/>
      <c r="F116" s="2950"/>
      <c r="G116" s="2951"/>
      <c r="H116" s="2299" t="s">
        <v>2001</v>
      </c>
      <c r="I116" s="1864"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5"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67"/>
      <c r="C123" s="286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1983193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12218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162.32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162.32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1508041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476815</v>
      </c>
      <c r="D33" s="183"/>
      <c r="E33" s="1532"/>
      <c r="F33" s="191"/>
      <c r="G33" s="184"/>
    </row>
    <row r="34" spans="1:7" s="206" customFormat="1" ht="13.5" customHeight="1">
      <c r="A34" s="176" t="s">
        <v>2044</v>
      </c>
      <c r="B34" s="177" t="s">
        <v>2066</v>
      </c>
      <c r="C34" s="199">
        <f>IF(B1="仅计算典型户型",'数据-取费表'!F18,'数据-取费表'!E18)</f>
        <v>405800</v>
      </c>
      <c r="D34" s="1533"/>
      <c r="E34" s="199"/>
      <c r="F34" s="1544" t="str">
        <f>IF('数据-取费表'!B25=0,"",'数据-取费表'!E20)</f>
        <v/>
      </c>
      <c r="G34" s="179"/>
    </row>
    <row r="35" spans="1:7" ht="13.5" customHeight="1">
      <c r="A35" s="176" t="s">
        <v>2018</v>
      </c>
      <c r="B35" s="177" t="s">
        <v>2067</v>
      </c>
      <c r="C35" s="199">
        <f>ROUND(C34*F35,0)</f>
        <v>12174</v>
      </c>
      <c r="D35" s="199"/>
      <c r="E35" s="199"/>
      <c r="F35" s="1545">
        <f>'数据-取费表'!E21</f>
        <v>0.03</v>
      </c>
      <c r="G35" s="179" t="s">
        <v>2068</v>
      </c>
    </row>
    <row r="36" spans="1:7" ht="24">
      <c r="A36" s="176" t="s">
        <v>2020</v>
      </c>
      <c r="B36" s="177" t="s">
        <v>2069</v>
      </c>
      <c r="C36" s="199">
        <f>ROUND(IF('数据-取费表'!B10="住宅",C34*F36,0),0)</f>
        <v>20290</v>
      </c>
      <c r="D36" s="199"/>
      <c r="E36" s="199"/>
      <c r="F36" s="1545">
        <f>'数据-取费表'!E22</f>
        <v>0.05</v>
      </c>
      <c r="G36" s="207" t="s">
        <v>2070</v>
      </c>
    </row>
    <row r="37" spans="1:7" s="206" customFormat="1" ht="13.5" customHeight="1">
      <c r="A37" s="176" t="s">
        <v>2051</v>
      </c>
      <c r="B37" s="177" t="s">
        <v>2071</v>
      </c>
      <c r="C37" s="199">
        <f>ROUND(E37*D37,0)</f>
        <v>32464</v>
      </c>
      <c r="D37" s="1533">
        <f>IF(B1="仅计算典型户型",'数据-取费表'!E5,'数据-取费表'!B5)</f>
        <v>162.32</v>
      </c>
      <c r="E37" s="199">
        <f>'数据-取费表'!E23</f>
        <v>200</v>
      </c>
      <c r="F37" s="1545"/>
      <c r="G37" s="208" t="s">
        <v>2072</v>
      </c>
    </row>
    <row r="38" spans="1:7" ht="13.5" customHeight="1">
      <c r="A38" s="176" t="s">
        <v>2073</v>
      </c>
      <c r="B38" s="177" t="s">
        <v>2074</v>
      </c>
      <c r="C38" s="199">
        <f>ROUND(C34*F38,0)</f>
        <v>6087</v>
      </c>
      <c r="D38" s="199"/>
      <c r="E38" s="199"/>
      <c r="F38" s="1545">
        <f>'数据-取费表'!E24</f>
        <v>1.4999999999999999E-2</v>
      </c>
      <c r="G38" s="179" t="s">
        <v>2068</v>
      </c>
    </row>
    <row r="39" spans="1:7" s="175" customFormat="1" ht="13.5" customHeight="1">
      <c r="A39" s="204" t="s">
        <v>2033</v>
      </c>
      <c r="B39" s="173" t="s">
        <v>2036</v>
      </c>
      <c r="C39" s="183">
        <f>ROUND(C33*F20,0)</f>
        <v>9536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17226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16888</v>
      </c>
      <c r="D42" s="188"/>
      <c r="E42" s="188"/>
      <c r="F42" s="189"/>
      <c r="G42" s="2981" t="s">
        <v>2078</v>
      </c>
    </row>
    <row r="43" spans="1:7" ht="13.5" customHeight="1">
      <c r="A43" s="176" t="s">
        <v>2018</v>
      </c>
      <c r="B43" s="177" t="s">
        <v>2047</v>
      </c>
      <c r="C43" s="188">
        <f ca="1">ROUND(IF('数据-取费表'!B23&lt;=1,C39*F22*'数据-取费表'!B22/2,C39*(POWER((1+F22),'数据-取费表'!B22/2)-1)),0)</f>
        <v>338</v>
      </c>
      <c r="D43" s="188"/>
      <c r="E43" s="188"/>
      <c r="F43" s="189"/>
      <c r="G43" s="2982"/>
    </row>
    <row r="44" spans="1:7" ht="13.5" customHeight="1">
      <c r="A44" s="176" t="s">
        <v>2020</v>
      </c>
      <c r="B44" s="177" t="s">
        <v>2049</v>
      </c>
      <c r="C44" s="188">
        <f ca="1">ROUND(IF('数据-取费表'!B23&lt;=1,C40*F22*'数据-取费表'!B22/2,C40*(POWER((1+F22),'数据-取费表'!B22/2)-1)),4)</f>
        <v>6.9999999999999999E-4</v>
      </c>
      <c r="D44" s="188"/>
      <c r="E44" s="188"/>
      <c r="F44" s="189"/>
      <c r="G44" s="2983"/>
    </row>
    <row r="45" spans="1:7" s="175" customFormat="1" ht="13.5" customHeight="1">
      <c r="A45" s="204" t="s">
        <v>2042</v>
      </c>
      <c r="B45" s="194" t="s">
        <v>2054</v>
      </c>
      <c r="C45" s="195">
        <f>C46</f>
        <v>121588</v>
      </c>
      <c r="D45" s="185">
        <f>C47</f>
        <v>5.0000000000000001E-3</v>
      </c>
      <c r="E45" s="186" t="s">
        <v>2076</v>
      </c>
      <c r="F45" s="196"/>
      <c r="G45" s="197" t="s">
        <v>2079</v>
      </c>
    </row>
    <row r="46" spans="1:7" s="175" customFormat="1" ht="13.5" customHeight="1">
      <c r="A46" s="176" t="s">
        <v>2044</v>
      </c>
      <c r="B46" s="198" t="s">
        <v>2080</v>
      </c>
      <c r="C46" s="199">
        <f>ROUND((C33+C39)*F27,0)</f>
        <v>121588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678789</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475152</v>
      </c>
      <c r="D51" s="183"/>
      <c r="E51" s="183"/>
      <c r="F51" s="210"/>
      <c r="G51" s="184" t="s">
        <v>2092</v>
      </c>
    </row>
    <row r="52" spans="1:7" s="172" customFormat="1" ht="16.5" thickBot="1">
      <c r="A52" s="211" t="s">
        <v>2093</v>
      </c>
      <c r="B52" s="212"/>
      <c r="C52" s="213">
        <f ca="1">C31+C51</f>
        <v>1983193</v>
      </c>
      <c r="D52" s="212"/>
      <c r="E52" s="212"/>
      <c r="F52" s="212"/>
      <c r="G52" s="214"/>
    </row>
    <row r="55" spans="1:7" ht="15">
      <c r="B55" s="216" t="s">
        <v>2094</v>
      </c>
      <c r="C55" s="217"/>
    </row>
    <row r="56" spans="1:7">
      <c r="B56" s="219" t="s">
        <v>2095</v>
      </c>
      <c r="C56" s="220">
        <f ca="1">ROUND(C51/C52,3)</f>
        <v>0.24</v>
      </c>
    </row>
    <row r="57" spans="1:7">
      <c r="B57" s="219" t="s">
        <v>2096</v>
      </c>
      <c r="C57" s="221">
        <f ca="1">1-C56</f>
        <v>0.76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E22" sqref="E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4894059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30151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154092</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153900</v>
      </c>
      <c r="D6" s="80" t="s">
        <v>2804</v>
      </c>
      <c r="E6" s="319" t="s">
        <v>2109</v>
      </c>
      <c r="F6" s="320">
        <f>'数据-取费表'!B29</f>
        <v>13500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192</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475152</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405800</v>
      </c>
      <c r="D14" s="1888" t="s">
        <v>2128</v>
      </c>
      <c r="E14" s="1889"/>
      <c r="F14" s="979"/>
      <c r="G14" s="1239"/>
      <c r="H14" s="337" t="s">
        <v>2107</v>
      </c>
      <c r="I14" s="319" t="s">
        <v>2129</v>
      </c>
      <c r="J14" s="14">
        <f ca="1">C29</f>
        <v>678789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12174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20290</v>
      </c>
      <c r="D16" s="319" t="s">
        <v>2132</v>
      </c>
      <c r="E16" s="319" t="s">
        <v>2133</v>
      </c>
      <c r="F16" s="342">
        <f>IF('数据-取费表'!B10="住宅",'数据-取费表'!E22,0)</f>
        <v>0.05</v>
      </c>
      <c r="G16" s="1239"/>
      <c r="H16" s="1420" t="s">
        <v>14</v>
      </c>
      <c r="I16" s="1421" t="s">
        <v>2138</v>
      </c>
      <c r="J16" s="327">
        <f ca="1">ROUND(J17+J22+J23+J24,0)</f>
        <v>6788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32464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6087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476815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9536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6788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17226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-6788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121588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678789</v>
      </c>
      <c r="D29" s="1433"/>
      <c r="E29" s="1431"/>
      <c r="F29" s="1434"/>
      <c r="G29" s="791"/>
      <c r="H29" s="356" t="s">
        <v>24</v>
      </c>
      <c r="I29" s="357" t="s">
        <v>2203</v>
      </c>
      <c r="J29" s="358">
        <f ca="1">ROUND(J26/(1+F40)^F41,0)</f>
        <v>0</v>
      </c>
      <c r="K29" s="359" t="s">
        <v>2204</v>
      </c>
      <c r="L29" s="360"/>
      <c r="M29" s="361">
        <f>IF(D1="仅计算典型户型",'数据-取费表'!E5,'数据-取费表'!B5)</f>
        <v>162.32</v>
      </c>
    </row>
    <row r="30" spans="1:37" ht="18" customHeight="1" thickTop="1">
      <c r="A30" s="1420" t="s">
        <v>14</v>
      </c>
      <c r="B30" s="1421" t="s">
        <v>2205</v>
      </c>
      <c r="C30" s="327">
        <f ca="1">ROUND(C31+C36+C37+C38,0)</f>
        <v>16509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7704.6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38012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6788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475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1541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137583</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4894059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45.5</v>
      </c>
      <c r="H41" s="1237"/>
      <c r="I41" s="219" t="s">
        <v>2095</v>
      </c>
      <c r="J41" s="220">
        <f ca="1">ROUND(C13/C40,3)</f>
        <v>9.7000000000000003E-2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0.90300000000000002</v>
      </c>
      <c r="K42" s="1234"/>
      <c r="L42" s="1237"/>
      <c r="M42" s="1237"/>
      <c r="Q42" s="795"/>
    </row>
    <row r="43" spans="1:18" s="791" customFormat="1" ht="18" customHeight="1" thickBot="1">
      <c r="A43" s="356" t="s">
        <v>24</v>
      </c>
      <c r="B43" s="357" t="s">
        <v>2225</v>
      </c>
      <c r="C43" s="358">
        <f ca="1">ROUND(C40/F43,0)</f>
        <v>30151</v>
      </c>
      <c r="D43" s="359" t="s">
        <v>2226</v>
      </c>
      <c r="E43" s="360" t="s">
        <v>2227</v>
      </c>
      <c r="F43" s="361">
        <f>IF(D1="仅计算典型户型",'数据-取费表'!E5,'数据-取费表'!B5)</f>
        <v>162.32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4894059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-5045152</v>
      </c>
      <c r="D47" s="2345" t="str">
        <f>C2</f>
        <v>元</v>
      </c>
      <c r="E47" s="776"/>
      <c r="F47" s="776"/>
      <c r="I47" s="2346" t="s">
        <v>2238</v>
      </c>
      <c r="J47" s="1343"/>
      <c r="K47" s="1344"/>
      <c r="L47" s="1357">
        <f>IF(M48="住宅",0,IF(L49&gt;J52,L61,J61))</f>
        <v>0</v>
      </c>
      <c r="O47" s="1371" t="s">
        <v>959</v>
      </c>
      <c r="P47" s="1368" t="s">
        <v>2239</v>
      </c>
      <c r="Q47" s="1369">
        <f ca="1">C29</f>
        <v>678789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45.5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1995</v>
      </c>
      <c r="K50" s="2354" t="s">
        <v>2255</v>
      </c>
      <c r="L50" s="1346"/>
      <c r="O50" s="1371" t="s">
        <v>962</v>
      </c>
      <c r="P50" s="1368" t="s">
        <v>2256</v>
      </c>
      <c r="Q50" s="1369">
        <f>J54</f>
        <v>45.5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4894059</v>
      </c>
      <c r="R51" s="1370" t="s">
        <v>964</v>
      </c>
    </row>
    <row r="52" spans="1:18" s="791" customFormat="1" ht="16.5" thickBot="1">
      <c r="A52" s="321"/>
      <c r="B52" s="322"/>
      <c r="C52" s="323"/>
      <c r="D52" s="324"/>
      <c r="E52" s="319" t="s">
        <v>2112</v>
      </c>
      <c r="F52" s="320">
        <f>F8</f>
        <v>12</v>
      </c>
      <c r="I52" s="2355" t="s">
        <v>2260</v>
      </c>
      <c r="J52" s="1348">
        <f>IF(J50="",J51,J50+J51-YEAR('数据-取费表'!B2))</f>
        <v>-23</v>
      </c>
      <c r="K52" s="2356" t="s">
        <v>2261</v>
      </c>
      <c r="L52" s="1349">
        <f ca="1">ROUND(-PV('数据-取费表'!B15,L49,(C40-C13*J35)),0)</f>
        <v>101021088</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45.5</v>
      </c>
      <c r="K54" s="2984" t="s">
        <v>2803</v>
      </c>
      <c r="L54" s="2985"/>
      <c r="O54" s="1367" t="s">
        <v>957</v>
      </c>
      <c r="P54" s="1368" t="s">
        <v>2233</v>
      </c>
      <c r="Q54" s="1369">
        <f ca="1">C40+J29</f>
        <v>4894059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475152</v>
      </c>
      <c r="D57" s="1294"/>
      <c r="E57" s="1295"/>
      <c r="F57" s="1302"/>
      <c r="I57" s="2364" t="s">
        <v>2270</v>
      </c>
      <c r="J57" s="1355"/>
      <c r="K57" s="2350" t="s">
        <v>2271</v>
      </c>
      <c r="L57" s="1128">
        <f>IF(L49&lt;J52,"——",L49-J52)</f>
        <v>68.5</v>
      </c>
      <c r="O57" s="1371" t="s">
        <v>960</v>
      </c>
      <c r="P57" s="1368" t="s">
        <v>2272</v>
      </c>
      <c r="Q57" s="1372">
        <f>L53</f>
        <v>0</v>
      </c>
      <c r="R57" s="1370"/>
    </row>
    <row r="58" spans="1:18" s="791" customFormat="1" ht="29.25" thickBot="1">
      <c r="A58" s="1301"/>
      <c r="B58" s="319" t="s">
        <v>2202</v>
      </c>
      <c r="C58" s="188">
        <f ca="1">C29</f>
        <v>678789</v>
      </c>
      <c r="D58" s="1294"/>
      <c r="E58" s="1295"/>
      <c r="F58" s="1302"/>
      <c r="I58" s="2365" t="s">
        <v>2273</v>
      </c>
      <c r="J58" s="1354" t="str">
        <f>IF(OR(M48="住宅",J52&lt;L49,J57="是"),"——",J52-L49)</f>
        <v>——</v>
      </c>
      <c r="K58" s="2350" t="s">
        <v>2274</v>
      </c>
      <c r="L58" s="1128">
        <f ca="1">IF(L49&lt;J52,"——",IF(L56="比较法",L50,IF(L56="基准地价",L51,L52)))</f>
        <v>101021088</v>
      </c>
      <c r="O58" s="1371" t="s">
        <v>961</v>
      </c>
      <c r="P58" s="1368" t="s">
        <v>2275</v>
      </c>
      <c r="Q58" s="1369" t="e">
        <f>L59</f>
        <v>#DIV/0!</v>
      </c>
      <c r="R58" s="1370" t="s">
        <v>2276</v>
      </c>
    </row>
    <row r="59" spans="1:18" s="791" customFormat="1" ht="29.25" thickBot="1">
      <c r="A59" s="332" t="s">
        <v>14</v>
      </c>
      <c r="B59" s="333" t="s">
        <v>2205</v>
      </c>
      <c r="C59" s="334">
        <f ca="1">ROUND(C60+C65+C66+C67,0)</f>
        <v>7263</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4894059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4894059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6788</v>
      </c>
      <c r="D65" s="1893" t="s">
        <v>2215</v>
      </c>
      <c r="E65" s="319" t="s">
        <v>2159</v>
      </c>
      <c r="F65" s="350">
        <f t="shared" si="0"/>
        <v>0.01</v>
      </c>
      <c r="I65" s="2368" t="s">
        <v>2295</v>
      </c>
      <c r="J65" s="1874">
        <v>50</v>
      </c>
      <c r="K65" s="1874">
        <v>35</v>
      </c>
      <c r="L65" s="1874">
        <v>60</v>
      </c>
      <c r="M65" s="1873">
        <v>0</v>
      </c>
      <c r="O65" s="1371" t="s">
        <v>959</v>
      </c>
      <c r="P65" s="1368" t="s">
        <v>2269</v>
      </c>
      <c r="Q65" s="1373">
        <f ca="1">L52</f>
        <v>101021088</v>
      </c>
      <c r="R65" s="1374" t="s">
        <v>2296</v>
      </c>
    </row>
    <row r="66" spans="1:18" s="791" customFormat="1" ht="20.25" thickBot="1">
      <c r="A66" s="337" t="s">
        <v>20</v>
      </c>
      <c r="B66" s="319" t="s">
        <v>2174</v>
      </c>
      <c r="C66" s="14">
        <f ca="1">ROUND(C57*F66,0)</f>
        <v>475</v>
      </c>
      <c r="D66" s="1893" t="s">
        <v>2175</v>
      </c>
      <c r="E66" s="319" t="s">
        <v>2176</v>
      </c>
      <c r="F66" s="351">
        <f t="shared" si="0"/>
        <v>1E-3</v>
      </c>
      <c r="I66" s="2368" t="s">
        <v>2297</v>
      </c>
      <c r="J66" s="1874">
        <v>40</v>
      </c>
      <c r="K66" s="1874">
        <v>30</v>
      </c>
      <c r="L66" s="1874">
        <v>50</v>
      </c>
      <c r="M66" s="1872">
        <v>0.02</v>
      </c>
      <c r="O66" s="1371" t="s">
        <v>960</v>
      </c>
      <c r="P66" s="1375" t="s">
        <v>2298</v>
      </c>
      <c r="Q66" s="1369">
        <f ca="1">ROUND(Q67-Q68*Q69,0)</f>
        <v>99571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137583</v>
      </c>
      <c r="R67" s="1370" t="s">
        <v>2234</v>
      </c>
    </row>
    <row r="68" spans="1:18" ht="15.75" thickBot="1">
      <c r="A68" s="332" t="s">
        <v>22</v>
      </c>
      <c r="B68" s="89" t="s">
        <v>2184</v>
      </c>
      <c r="C68" s="334">
        <f ca="1">C49-C59</f>
        <v>-7263</v>
      </c>
      <c r="D68" s="1888" t="s">
        <v>2185</v>
      </c>
      <c r="E68" s="1892"/>
      <c r="F68" s="353"/>
      <c r="H68" s="791"/>
      <c r="I68" s="791"/>
      <c r="J68" s="791"/>
      <c r="K68" s="791"/>
      <c r="L68" s="791"/>
      <c r="M68" s="791"/>
      <c r="O68" s="1371" t="s">
        <v>966</v>
      </c>
      <c r="P68" s="1375" t="s">
        <v>2300</v>
      </c>
      <c r="Q68" s="1369">
        <f ca="1">C13</f>
        <v>475152</v>
      </c>
      <c r="R68" s="1370" t="s">
        <v>2234</v>
      </c>
    </row>
    <row r="69" spans="1:18" ht="15.75" thickBot="1">
      <c r="A69" s="316" t="s">
        <v>23</v>
      </c>
      <c r="B69" s="317" t="s">
        <v>2222</v>
      </c>
      <c r="C69" s="318">
        <f ca="1">ROUND(C68*(1-((1+F71)/(1+F69))^F70)/(F69-F71),0)</f>
        <v>-151093</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45.5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-931</v>
      </c>
      <c r="D72" s="359" t="s">
        <v>2226</v>
      </c>
      <c r="E72" s="360" t="s">
        <v>2227</v>
      </c>
      <c r="F72" s="361">
        <f>F43</f>
        <v>162.32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4894059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pane ySplit="6750" topLeftCell="A122"/>
      <selection activeCell="A38" sqref="A38:XFD38"/>
      <selection pane="bottomLeft" activeCell="C122" sqref="C1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9676058</v>
      </c>
      <c r="C2" s="163" t="str">
        <f>'数据-取费表'!B3</f>
        <v>元</v>
      </c>
      <c r="D2" s="2384" t="s">
        <v>1254</v>
      </c>
      <c r="E2" s="1843">
        <f ca="1">SUMIF(INDIRECT("'"&amp;G2&amp;"'"&amp;"!A:A"),"承租人权益价值",INDIRECT("'"&amp;G2&amp;"'"&amp;"!c:c"))</f>
        <v>-5045152</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59611</v>
      </c>
      <c r="C3" s="379" t="s">
        <v>2339</v>
      </c>
      <c r="D3" s="378">
        <f>IF(C1="仅计算典型户型",'数据-取费表'!E5,'数据-取费表'!B5)</f>
        <v>162.32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44.25" customHeight="1" thickBot="1">
      <c r="A5" s="383"/>
      <c r="B5" s="384"/>
      <c r="C5" s="3035" t="s">
        <v>2888</v>
      </c>
      <c r="D5" s="3036"/>
      <c r="E5" s="3033" t="s">
        <v>2889</v>
      </c>
      <c r="F5" s="3034"/>
      <c r="G5" s="3033" t="s">
        <v>2889</v>
      </c>
      <c r="H5" s="3034"/>
      <c r="I5" s="3033" t="s">
        <v>2889</v>
      </c>
      <c r="J5" s="3034"/>
      <c r="K5" s="2396"/>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391">
        <v>43103</v>
      </c>
      <c r="F7" s="392">
        <f>SUMIF(58:58,YEAR(E7)&amp;"-"&amp;MONTH(E7),59:59)</f>
        <v>98</v>
      </c>
      <c r="G7" s="391">
        <v>43226</v>
      </c>
      <c r="H7" s="390">
        <f>SUMIF(58:58,YEAR(G7)&amp;"-"&amp;MONTH(G7),59:59)</f>
        <v>99</v>
      </c>
      <c r="I7" s="391">
        <v>43242</v>
      </c>
      <c r="J7" s="390">
        <f>SUMIF(58:58,YEAR(I7)&amp;"-"&amp;MONTH(I7),59:59)</f>
        <v>99</v>
      </c>
      <c r="K7" s="2397"/>
      <c r="L7" s="1245"/>
      <c r="M7" s="1246"/>
      <c r="N7" s="1246"/>
      <c r="O7" s="1246"/>
      <c r="P7" s="3048" t="s">
        <v>2354</v>
      </c>
      <c r="Q7" s="3050"/>
      <c r="R7" s="749" t="s">
        <v>34</v>
      </c>
      <c r="S7" s="750">
        <f t="shared" ref="S7:S15" si="0">F7</f>
        <v>98</v>
      </c>
      <c r="T7" s="749" t="s">
        <v>34</v>
      </c>
      <c r="U7" s="750">
        <f t="shared" ref="U7:U15" si="1">H7</f>
        <v>99</v>
      </c>
      <c r="V7" s="749" t="s">
        <v>34</v>
      </c>
      <c r="W7" s="750">
        <f t="shared" ref="W7:W15" si="2">J7</f>
        <v>99</v>
      </c>
      <c r="X7" s="751"/>
      <c r="Y7" s="3048" t="s">
        <v>2354</v>
      </c>
      <c r="Z7" s="3049"/>
      <c r="AA7" s="752">
        <f>D7/F7</f>
        <v>1.0204081632653061</v>
      </c>
      <c r="AB7" s="752">
        <f>D7/H7</f>
        <v>1.0101010101010102</v>
      </c>
      <c r="AC7" s="752">
        <f>D7/J7</f>
        <v>1.0101010101010102</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估价对象周边有惠新苑、惠新西街小区、蓝钰苑、惠新里、小关北里等居住小区，小区规模和社区发展完善程度好，综合评价居住社区成熟度好</v>
      </c>
      <c r="D15" s="420">
        <v>100</v>
      </c>
      <c r="E15" s="2739" t="s">
        <v>2891</v>
      </c>
      <c r="F15" s="422">
        <f>SUMIF(76:76,E16,77:77)-SUMIF(76:76,C16,77:77)+100</f>
        <v>100</v>
      </c>
      <c r="G15" s="2739" t="s">
        <v>2891</v>
      </c>
      <c r="H15" s="420">
        <f>SUMIF(76:76,G16,77:77)-SUMIF(76:76,C16,77:77)+100</f>
        <v>100</v>
      </c>
      <c r="I15" s="2739" t="s">
        <v>2891</v>
      </c>
      <c r="J15" s="420">
        <f>SUMIF(76:76,I16,77:77)-SUMIF(76:76,C16,77:77)+100</f>
        <v>100</v>
      </c>
      <c r="K15" s="424">
        <v>1</v>
      </c>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55"/>
      <c r="Q16" s="1899"/>
      <c r="R16" s="753"/>
      <c r="S16" s="754"/>
      <c r="T16" s="753"/>
      <c r="U16" s="754"/>
      <c r="V16" s="753"/>
      <c r="W16" s="754"/>
      <c r="X16" s="1900"/>
      <c r="Y16" s="3042"/>
      <c r="Z16" s="1902"/>
      <c r="AA16" s="1903">
        <v>1</v>
      </c>
      <c r="AB16" s="1903">
        <v>1</v>
      </c>
      <c r="AC16" s="1903">
        <v>1</v>
      </c>
    </row>
    <row r="17" spans="1:29" ht="139.5" customHeight="1">
      <c r="A17" s="408"/>
      <c r="B17" s="431" t="s">
        <v>1750</v>
      </c>
      <c r="C17" s="2406" t="str">
        <f>估价对象房地状况!C6</f>
        <v>估价对象紧邻城市主干道——惠新西街，周边有地铁五号线（惠新西街北口站）、有18路、125路、409路、567路公交线路等，综合评价交通便捷度好</v>
      </c>
      <c r="D17" s="430">
        <v>100</v>
      </c>
      <c r="E17" s="2740" t="s">
        <v>2893</v>
      </c>
      <c r="F17" s="433">
        <f>SUMIF(78:78,E18,79:79)-SUMIF(78:78,C18,79:79)+100</f>
        <v>100</v>
      </c>
      <c r="G17" s="2740" t="s">
        <v>2893</v>
      </c>
      <c r="H17" s="435">
        <f>SUMIF(78:78,G18,79:79)-SUMIF(78:78,C18,79:79)+100</f>
        <v>100</v>
      </c>
      <c r="I17" s="2740" t="s">
        <v>2893</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29</v>
      </c>
      <c r="D18" s="430"/>
      <c r="E18" s="1468" t="s">
        <v>29</v>
      </c>
      <c r="F18" s="433"/>
      <c r="G18" s="2407" t="s">
        <v>29</v>
      </c>
      <c r="H18" s="427"/>
      <c r="I18" s="1468" t="s">
        <v>29</v>
      </c>
      <c r="J18" s="427"/>
      <c r="K18" s="2405"/>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6" t="str">
        <f>估价对象房地状况!C7</f>
        <v>估价对象所在区域公共配套设施齐备情况好</v>
      </c>
      <c r="D19" s="435">
        <v>100</v>
      </c>
      <c r="E19" s="2741" t="s">
        <v>2909</v>
      </c>
      <c r="F19" s="439">
        <f>SUMIF(80:80,E20,81:81)-SUMIF(80:80,C20,81:81)+100</f>
        <v>100</v>
      </c>
      <c r="G19" s="2741" t="s">
        <v>2909</v>
      </c>
      <c r="H19" s="430">
        <f>SUMIF(80:80,G20,81:81)-SUMIF(80:80,C20,81:81)+100</f>
        <v>100</v>
      </c>
      <c r="I19" s="2741" t="s">
        <v>2909</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2823</v>
      </c>
      <c r="H21" s="430">
        <f>SUMIF(82:82,G22,83:83)-SUMIF(82:82,C22,83:83)+100</f>
        <v>100</v>
      </c>
      <c r="I21" s="2741" t="s">
        <v>2832</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55"/>
      <c r="Q22" s="1899"/>
      <c r="R22" s="753"/>
      <c r="S22" s="754"/>
      <c r="T22" s="753"/>
      <c r="U22" s="754"/>
      <c r="V22" s="753"/>
      <c r="W22" s="754"/>
      <c r="X22" s="1900"/>
      <c r="Y22" s="3042"/>
      <c r="Z22" s="1902"/>
      <c r="AA22" s="1903">
        <v>1</v>
      </c>
      <c r="AB22" s="1903">
        <v>1</v>
      </c>
      <c r="AC22" s="1903">
        <v>1</v>
      </c>
    </row>
    <row r="23" spans="1:29" ht="125.25" customHeight="1">
      <c r="A23" s="408"/>
      <c r="B23" s="431" t="s">
        <v>1755</v>
      </c>
      <c r="C23" s="2406" t="str">
        <f>估价对象房地状况!C9</f>
        <v>自然环境：国家奥林匹克体育中心、小关奥林匹克文化广场等；人文环境：对外经济贸易大学、北京联合大学等，综合评价环境状况好</v>
      </c>
      <c r="D23" s="430">
        <v>100</v>
      </c>
      <c r="E23" s="2742" t="s">
        <v>2895</v>
      </c>
      <c r="F23" s="433">
        <f>SUMIF(84:84,E24,85:85)-SUMIF(84:84,C24,85:85)+100</f>
        <v>100</v>
      </c>
      <c r="G23" s="2742" t="s">
        <v>2895</v>
      </c>
      <c r="H23" s="430">
        <f>SUMIF(84:84,G24,85:85)-SUMIF(84:84,C24,85:85)+100</f>
        <v>100</v>
      </c>
      <c r="I23" s="2742" t="s">
        <v>2895</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t="s">
        <v>2897</v>
      </c>
      <c r="D26" s="415">
        <v>100</v>
      </c>
      <c r="E26" s="2410" t="s">
        <v>2876</v>
      </c>
      <c r="F26" s="442">
        <f>SUMIF(88:88,E26,89:89)-SUMIF(88:88,C26,89:89)+100</f>
        <v>102</v>
      </c>
      <c r="G26" s="2411" t="s">
        <v>2876</v>
      </c>
      <c r="H26" s="415">
        <f>SUMIF(88:88,G26,89:89)-SUMIF(88:88,C26,89:89)+100</f>
        <v>102</v>
      </c>
      <c r="I26" s="2410" t="s">
        <v>2897</v>
      </c>
      <c r="J26" s="415">
        <f>SUMIF(88:88,I26,89:89)-SUMIF(88:88,C26,89:89)+100</f>
        <v>100</v>
      </c>
      <c r="K26" s="406">
        <v>1</v>
      </c>
      <c r="L26" s="1253"/>
      <c r="M26" s="1244"/>
      <c r="N26" s="1244"/>
      <c r="O26" s="1244"/>
      <c r="P26" s="3055"/>
      <c r="Q26" s="1899" t="str">
        <f t="shared" si="11"/>
        <v>朝向</v>
      </c>
      <c r="R26" s="753" t="s">
        <v>28</v>
      </c>
      <c r="S26" s="754">
        <f>F26</f>
        <v>102</v>
      </c>
      <c r="T26" s="753" t="s">
        <v>28</v>
      </c>
      <c r="U26" s="754">
        <f>H26</f>
        <v>102</v>
      </c>
      <c r="V26" s="753" t="s">
        <v>28</v>
      </c>
      <c r="W26" s="754">
        <f>J26</f>
        <v>100</v>
      </c>
      <c r="X26" s="1900"/>
      <c r="Y26" s="3042"/>
      <c r="Z26" s="1902" t="str">
        <f>Q26</f>
        <v>朝向</v>
      </c>
      <c r="AA26" s="1903">
        <f t="shared" si="3"/>
        <v>0.98039215686274506</v>
      </c>
      <c r="AB26" s="1903">
        <f t="shared" si="4"/>
        <v>0.98039215686274506</v>
      </c>
      <c r="AC26" s="1903">
        <f t="shared" si="5"/>
        <v>1</v>
      </c>
    </row>
    <row r="27" spans="1:29" s="35" customFormat="1" ht="15">
      <c r="A27" s="411"/>
      <c r="B27" s="2399" t="s">
        <v>2368</v>
      </c>
      <c r="C27" s="2751" t="s">
        <v>2885</v>
      </c>
      <c r="D27" s="443">
        <v>100</v>
      </c>
      <c r="E27" s="2751" t="s">
        <v>2846</v>
      </c>
      <c r="F27" s="445">
        <f>SUMIF(90:90,E27,91:91)-SUMIF(90:90,C27,91:91)+100</f>
        <v>100</v>
      </c>
      <c r="G27" s="2751" t="s">
        <v>2878</v>
      </c>
      <c r="H27" s="443">
        <f>SUMIF(90:90,G27,91:91)-SUMIF(90:90,C27,91:91)+100</f>
        <v>100</v>
      </c>
      <c r="I27" s="2751" t="s">
        <v>2877</v>
      </c>
      <c r="J27" s="443">
        <f>SUMIF(90:90,I27,91:91)-SUMIF(90:90,C27,91:91)+100</f>
        <v>100</v>
      </c>
      <c r="K27" s="2400"/>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5" t="s">
        <v>2849</v>
      </c>
      <c r="C28" s="414" t="s">
        <v>2899</v>
      </c>
      <c r="D28" s="415">
        <v>100</v>
      </c>
      <c r="E28" s="2752" t="s">
        <v>2905</v>
      </c>
      <c r="F28" s="442">
        <f>SUMIF(92:92,E28,93:93)-SUMIF(92:92,C28,93:93)+100</f>
        <v>98</v>
      </c>
      <c r="G28" s="2752" t="s">
        <v>2900</v>
      </c>
      <c r="H28" s="415">
        <f>SUMIF(92:92,G28,93:93)-SUMIF(92:92,C28,93:93)+100</f>
        <v>98</v>
      </c>
      <c r="I28" s="2752" t="s">
        <v>2907</v>
      </c>
      <c r="J28" s="415">
        <f>SUMIF(92:92,I28,93:93)-SUMIF(92:92,C28,93:93)+100</f>
        <v>96</v>
      </c>
      <c r="K28" s="2400"/>
      <c r="L28" s="1253"/>
      <c r="M28" s="1244"/>
      <c r="N28" s="1244"/>
      <c r="O28" s="1244"/>
      <c r="P28" s="3055"/>
      <c r="Q28" s="1899" t="str">
        <f t="shared" si="11"/>
        <v>楼层</v>
      </c>
      <c r="R28" s="753" t="s">
        <v>28</v>
      </c>
      <c r="S28" s="754">
        <f t="shared" ref="S28:S46" si="12">F28</f>
        <v>98</v>
      </c>
      <c r="T28" s="753" t="s">
        <v>28</v>
      </c>
      <c r="U28" s="754">
        <f t="shared" ref="U28:U46" si="13">H28</f>
        <v>98</v>
      </c>
      <c r="V28" s="753" t="s">
        <v>28</v>
      </c>
      <c r="W28" s="754">
        <f t="shared" ref="W28:W46" si="14">J28</f>
        <v>96</v>
      </c>
      <c r="X28" s="1900"/>
      <c r="Y28" s="3042"/>
      <c r="Z28" s="1902" t="str">
        <f t="shared" ref="Z28:Z46" si="15">Q28</f>
        <v>楼层</v>
      </c>
      <c r="AA28" s="1903">
        <f t="shared" si="3"/>
        <v>1.0204081632653061</v>
      </c>
      <c r="AB28" s="1903">
        <f t="shared" si="4"/>
        <v>1.0204081632653061</v>
      </c>
      <c r="AC28" s="1903">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4" t="s">
        <v>2898</v>
      </c>
      <c r="J32" s="415">
        <f>SUMIF(100:100,I32,101:101)-SUMIF(100:100,C32,101:101)+100</f>
        <v>100</v>
      </c>
      <c r="K32" s="406">
        <v>2</v>
      </c>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162.32</v>
      </c>
      <c r="D33" s="52">
        <v>100</v>
      </c>
      <c r="E33" s="410">
        <v>183.51</v>
      </c>
      <c r="F33" s="405">
        <f>LOOKUP(E33,103:103,104:104)-LOOKUP(C33,103:103,104:104)+100</f>
        <v>98.5</v>
      </c>
      <c r="G33" s="409">
        <v>183.51</v>
      </c>
      <c r="H33" s="52">
        <f>LOOKUP(G33,103:103,104:104)-LOOKUP(C33,103:103,104:104)+100</f>
        <v>98.5</v>
      </c>
      <c r="I33" s="410">
        <v>144.31</v>
      </c>
      <c r="J33" s="52">
        <f>LOOKUP(I33,103:103,104:104)-LOOKUP(C33,103:103,104:104)+100</f>
        <v>101.5</v>
      </c>
      <c r="K33" s="2400"/>
      <c r="L33" s="1251"/>
      <c r="M33" s="1254"/>
      <c r="N33" s="1254"/>
      <c r="O33" s="1254"/>
      <c r="P33" s="3044"/>
      <c r="Q33" s="755" t="str">
        <f t="shared" si="11"/>
        <v>项目建筑规模</v>
      </c>
      <c r="R33" s="756" t="s">
        <v>28</v>
      </c>
      <c r="S33" s="757">
        <f t="shared" si="12"/>
        <v>98.5</v>
      </c>
      <c r="T33" s="756" t="s">
        <v>28</v>
      </c>
      <c r="U33" s="757">
        <f t="shared" si="13"/>
        <v>98.5</v>
      </c>
      <c r="V33" s="756" t="s">
        <v>28</v>
      </c>
      <c r="W33" s="757">
        <f t="shared" si="14"/>
        <v>101.5</v>
      </c>
      <c r="X33" s="758"/>
      <c r="Y33" s="3046"/>
      <c r="Z33" s="759" t="str">
        <f t="shared" si="15"/>
        <v>项目建筑规模</v>
      </c>
      <c r="AA33" s="1903">
        <f t="shared" si="3"/>
        <v>1.015228426395939</v>
      </c>
      <c r="AB33" s="1903">
        <f t="shared" si="4"/>
        <v>1.015228426395939</v>
      </c>
      <c r="AC33" s="1903">
        <f t="shared" si="5"/>
        <v>0.98522167487684731</v>
      </c>
    </row>
    <row r="34" spans="1:29" ht="15">
      <c r="A34" s="453"/>
      <c r="B34" s="402" t="s">
        <v>2373</v>
      </c>
      <c r="C34" s="2415" t="s">
        <v>2901</v>
      </c>
      <c r="D34" s="415">
        <v>100</v>
      </c>
      <c r="E34" s="2416" t="s">
        <v>2901</v>
      </c>
      <c r="F34" s="442">
        <f>SUMIF(105:105,E34,106:106)-SUMIF(105:105,C34,106:106)+100</f>
        <v>100</v>
      </c>
      <c r="G34" s="2415" t="s">
        <v>2901</v>
      </c>
      <c r="H34" s="415">
        <f>SUMIF(105:105,G34,106:106)-SUMIF(105:105,C34,106:106)+100</f>
        <v>100</v>
      </c>
      <c r="I34" s="2416" t="s">
        <v>2901</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1" t="s">
        <v>2902</v>
      </c>
      <c r="D36" s="415">
        <v>100</v>
      </c>
      <c r="E36" s="2410" t="s">
        <v>2902</v>
      </c>
      <c r="F36" s="442">
        <f>SUMIF(109:109,E36,110:110)-SUMIF(109:109,C36,110:110)+100</f>
        <v>100</v>
      </c>
      <c r="G36" s="2411" t="s">
        <v>2902</v>
      </c>
      <c r="H36" s="415">
        <f>SUMIF(109:109,G36,110:110)-SUMIF(109:109,C36,110:110)+100</f>
        <v>100</v>
      </c>
      <c r="I36" s="2410" t="s">
        <v>2902</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1" t="s">
        <v>2833</v>
      </c>
      <c r="D39" s="415">
        <v>100</v>
      </c>
      <c r="E39" s="2410" t="s">
        <v>2833</v>
      </c>
      <c r="F39" s="442">
        <f>SUMIF(116:116,E39,117:117)-SUMIF(116:116,C39,117:117)+100</f>
        <v>100</v>
      </c>
      <c r="G39" s="2411" t="s">
        <v>2833</v>
      </c>
      <c r="H39" s="415">
        <f>SUMIF(116:116,G39,117:117)-SUMIF(116:116,C39,117:117)+100</f>
        <v>100</v>
      </c>
      <c r="I39" s="2410" t="s">
        <v>2833</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1" t="s">
        <v>2881</v>
      </c>
      <c r="D40" s="415">
        <v>100</v>
      </c>
      <c r="E40" s="2410" t="s">
        <v>2881</v>
      </c>
      <c r="F40" s="442">
        <f>SUMIF(118:118,E40,119:119)-SUMIF(118:118,C40,119:119)+100</f>
        <v>100</v>
      </c>
      <c r="G40" s="2411" t="s">
        <v>2881</v>
      </c>
      <c r="H40" s="415">
        <f>SUMIF(118:118,G40,119:119)-SUMIF(118:118,C40,119:119)+100</f>
        <v>100</v>
      </c>
      <c r="I40" s="2410" t="s">
        <v>2881</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1" t="s">
        <v>2879</v>
      </c>
      <c r="D42" s="415">
        <v>100</v>
      </c>
      <c r="E42" s="2410" t="s">
        <v>2879</v>
      </c>
      <c r="F42" s="442">
        <f>SUMIF(122:122,E42,123:123)-SUMIF(122:122,C42,123:123)+100</f>
        <v>100</v>
      </c>
      <c r="G42" s="2411" t="s">
        <v>2903</v>
      </c>
      <c r="H42" s="415">
        <f>SUMIF(122:122,G42,123:123)-SUMIF(122:122,C42,123:123)+100</f>
        <v>98</v>
      </c>
      <c r="I42" s="2410" t="s">
        <v>2879</v>
      </c>
      <c r="J42" s="415">
        <f>SUMIF(122:122,I42,123:123)-SUMIF(122:122,C42,123:123)+100</f>
        <v>100</v>
      </c>
      <c r="K42" s="406">
        <v>2</v>
      </c>
      <c r="L42" s="1253"/>
      <c r="M42" s="1244"/>
      <c r="N42" s="1244"/>
      <c r="O42" s="1244"/>
      <c r="P42" s="3044"/>
      <c r="Q42" s="1899" t="str">
        <f t="shared" si="11"/>
        <v>内部装修</v>
      </c>
      <c r="R42" s="753" t="s">
        <v>28</v>
      </c>
      <c r="S42" s="754">
        <f t="shared" si="12"/>
        <v>100</v>
      </c>
      <c r="T42" s="753" t="s">
        <v>28</v>
      </c>
      <c r="U42" s="754">
        <f t="shared" si="13"/>
        <v>98</v>
      </c>
      <c r="V42" s="753" t="s">
        <v>28</v>
      </c>
      <c r="W42" s="754">
        <f t="shared" si="14"/>
        <v>100</v>
      </c>
      <c r="X42" s="1900"/>
      <c r="Y42" s="3046"/>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5" t="s">
        <v>2875</v>
      </c>
      <c r="C44" s="450">
        <v>1995</v>
      </c>
      <c r="D44" s="52">
        <v>100</v>
      </c>
      <c r="E44" s="450">
        <v>1995</v>
      </c>
      <c r="F44" s="405">
        <f>SUMIF(126:126,E44,127:127)-SUMIF(126:126,C44,127:127)+100</f>
        <v>100</v>
      </c>
      <c r="G44" s="450">
        <v>1995</v>
      </c>
      <c r="H44" s="52">
        <f>SUMIF(126:126,G44,127:127)-SUMIF(126:126,C44,127:127)+100</f>
        <v>100</v>
      </c>
      <c r="I44" s="450">
        <v>1995</v>
      </c>
      <c r="J44" s="52">
        <f>SUMIF(126:126,I44,127:127)-SUMIF(126:126,C44,127:127)+100</f>
        <v>100</v>
      </c>
      <c r="K44" s="2400"/>
      <c r="L44" s="1245"/>
      <c r="M44" s="1246"/>
      <c r="N44" s="1246"/>
      <c r="O44" s="1246"/>
      <c r="P44" s="3044"/>
      <c r="Q44" s="1887" t="str">
        <f t="shared" si="11"/>
        <v>建成年代</v>
      </c>
      <c r="R44" s="749" t="s">
        <v>28</v>
      </c>
      <c r="S44" s="750">
        <f t="shared" si="12"/>
        <v>100</v>
      </c>
      <c r="T44" s="749" t="s">
        <v>28</v>
      </c>
      <c r="U44" s="750">
        <f t="shared" si="13"/>
        <v>100</v>
      </c>
      <c r="V44" s="749" t="s">
        <v>28</v>
      </c>
      <c r="W44" s="750">
        <f t="shared" si="14"/>
        <v>100</v>
      </c>
      <c r="X44" s="751"/>
      <c r="Y44" s="3046"/>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v>54602</v>
      </c>
      <c r="F47" s="1505"/>
      <c r="G47" s="1506">
        <v>57763</v>
      </c>
      <c r="H47" s="1507"/>
      <c r="I47" s="1504">
        <v>59594</v>
      </c>
      <c r="J47" s="1507"/>
      <c r="K47" s="2417"/>
      <c r="L47" s="1256"/>
      <c r="M47" s="1257"/>
      <c r="N47" s="1244"/>
      <c r="O47" s="1257"/>
      <c r="P47" s="3052" t="str">
        <f>A47</f>
        <v>成交单价（元/平方米）</v>
      </c>
      <c r="Q47" s="3052"/>
      <c r="R47" s="3053">
        <f>E47</f>
        <v>54602</v>
      </c>
      <c r="S47" s="3053"/>
      <c r="T47" s="3053">
        <f>G47</f>
        <v>57763</v>
      </c>
      <c r="U47" s="3053"/>
      <c r="V47" s="3053">
        <f>I47</f>
        <v>59594</v>
      </c>
      <c r="W47" s="3053"/>
      <c r="X47" s="738"/>
      <c r="Y47" s="760"/>
      <c r="Z47" s="738"/>
      <c r="AA47" s="738"/>
      <c r="AB47" s="738"/>
      <c r="AC47" s="738"/>
    </row>
    <row r="48" spans="1:29" ht="15.75" thickBot="1">
      <c r="A48" s="467" t="s">
        <v>2384</v>
      </c>
      <c r="B48" s="468"/>
      <c r="C48" s="1508">
        <f>R49</f>
        <v>59611</v>
      </c>
      <c r="D48" s="1509"/>
      <c r="E48" s="1510">
        <f>R48</f>
        <v>56587</v>
      </c>
      <c r="F48" s="1510"/>
      <c r="G48" s="1508">
        <f>T48</f>
        <v>60468</v>
      </c>
      <c r="H48" s="1509"/>
      <c r="I48" s="1510">
        <f>V48</f>
        <v>61777</v>
      </c>
      <c r="J48" s="1509"/>
      <c r="K48" s="2418"/>
      <c r="L48" s="1256"/>
      <c r="M48" s="1257"/>
      <c r="N48" s="1257"/>
      <c r="O48" s="1257"/>
      <c r="P48" s="3052" t="str">
        <f>A48</f>
        <v>比较价值（元/平方米）</v>
      </c>
      <c r="Q48" s="3052"/>
      <c r="R48" s="3053">
        <f>IF(E1="售价",ROUND(PRODUCT(R47,AA7:AA46),0),ROUND(PRODUCT(R47,AA7:AA46),1))</f>
        <v>56587</v>
      </c>
      <c r="S48" s="3053"/>
      <c r="T48" s="3056">
        <f>IF(E1="售价",ROUND(PRODUCT(T47,AB7:AB46),0),ROUND(PRODUCT(T47,AB7:AB46),1))</f>
        <v>60468</v>
      </c>
      <c r="U48" s="3057"/>
      <c r="V48" s="3053">
        <f>IF(E1="售价",ROUND(PRODUCT(V47,AC7:AC46),0),ROUND(PRODUCT(V47,AC7:AC46),1))</f>
        <v>61777</v>
      </c>
      <c r="W48" s="3053"/>
      <c r="X48" s="738"/>
      <c r="Y48" s="738"/>
      <c r="Z48" s="738"/>
      <c r="AA48" s="738"/>
      <c r="AB48" s="738"/>
      <c r="AC48" s="738"/>
    </row>
    <row r="49" spans="1:29" ht="15.75" thickBot="1">
      <c r="A49" s="473" t="s">
        <v>2385</v>
      </c>
      <c r="B49" s="474"/>
      <c r="C49" s="1511">
        <f>R49</f>
        <v>59611</v>
      </c>
      <c r="D49" s="1512"/>
      <c r="E49" s="1512"/>
      <c r="F49" s="1512"/>
      <c r="G49" s="1512"/>
      <c r="H49" s="1512"/>
      <c r="I49" s="1512"/>
      <c r="J49" s="1512"/>
      <c r="K49" s="2419"/>
      <c r="L49" s="1256"/>
      <c r="M49" s="1257"/>
      <c r="N49" s="1257"/>
      <c r="O49" s="1257"/>
      <c r="P49" s="3058" t="str">
        <f>A49</f>
        <v>估价对象XX用房的比较价值（楼面单价，元/平方米）</v>
      </c>
      <c r="Q49" s="3059"/>
      <c r="R49" s="3060">
        <f>IF(E1="售价",ROUND(AVERAGE(R48:V48),0),ROUND(AVERAGE(R48:V48),1))</f>
        <v>59611</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3.6353979707703044E-2</v>
      </c>
      <c r="F52" s="481" t="str">
        <f>IF(OR(E52&gt;=0.3,E52&lt;=-0.3),"超过30%","")</f>
        <v/>
      </c>
      <c r="G52" s="480">
        <f>IF(G47&lt;G48,G48/G47-1,G47/G48-1)</f>
        <v>4.6829285182556246E-2</v>
      </c>
      <c r="H52" s="481" t="str">
        <f>IF(OR(G52&gt;=0.3,G52&lt;=-0.3),"超过30%","")</f>
        <v/>
      </c>
      <c r="I52" s="480">
        <f>IF(I47&lt;I48,I48/I47-1,I47/I48-1)</f>
        <v>3.6631204483672963E-2</v>
      </c>
      <c r="J52" s="481" t="str">
        <f>IF(OR(I52&gt;=0.3,I52&lt;=-0.3),"超过30%","")</f>
        <v/>
      </c>
      <c r="K52" s="1262"/>
      <c r="L52" s="1258"/>
      <c r="M52" s="1257"/>
      <c r="N52" s="1257"/>
      <c r="O52" s="1257"/>
    </row>
    <row r="53" spans="1:29" ht="13.5" customHeight="1">
      <c r="A53" s="1257"/>
      <c r="B53" s="1257"/>
      <c r="C53" s="478" t="s">
        <v>2387</v>
      </c>
      <c r="D53" s="482"/>
      <c r="E53" s="480">
        <f>IF(E48&lt;G48,G48/E48-1,E48/G48-1)</f>
        <v>6.8584657253432768E-2</v>
      </c>
      <c r="F53" s="481" t="str">
        <f>IF(OR(E53&gt;=0.2,E53&lt;=-0.2),"超过20%","")</f>
        <v/>
      </c>
      <c r="G53" s="480">
        <f>IF(G48&lt;I48,I48/G48-1,G48/I48-1)</f>
        <v>2.1647813719653408E-2</v>
      </c>
      <c r="H53" s="481" t="str">
        <f>IF(OR(G53&gt;=0.2,G53&lt;=-0.2),"超过20%","")</f>
        <v/>
      </c>
      <c r="I53" s="480">
        <f>IF(I48&lt;E48,E48/I48-1,I48/E48-1)</f>
        <v>9.1717178857334769E-2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5.7891652320427811E-2</v>
      </c>
      <c r="F54" s="481" t="str">
        <f>IF(OR(E54&gt;=0.3,E54&lt;=-0.3),"超过30%","")</f>
        <v/>
      </c>
      <c r="G54" s="480">
        <f>IF(G47&lt;I47,I47/G47-1,G47/I47-1)</f>
        <v>3.1698492114329291E-2</v>
      </c>
      <c r="H54" s="481" t="str">
        <f>IF(OR(G54&gt;=0.3,G54&lt;=-0.3),"超过30%","")</f>
        <v/>
      </c>
      <c r="I54" s="480">
        <f>IF(I47&lt;E47,E47/I47-1,I47/E47-1)</f>
        <v>9.1425222519321725E-2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2843</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2844</v>
      </c>
      <c r="D90" s="2743" t="s">
        <v>2845</v>
      </c>
      <c r="E90" s="2743" t="s">
        <v>2846</v>
      </c>
      <c r="F90" s="2743" t="s">
        <v>2847</v>
      </c>
      <c r="G90" s="2743" t="s">
        <v>2848</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2904</v>
      </c>
      <c r="D92" s="2753" t="s">
        <v>2906</v>
      </c>
      <c r="E92" s="2753" t="s">
        <v>2908</v>
      </c>
      <c r="F92" s="2753"/>
      <c r="G92" s="567"/>
      <c r="H92" s="567"/>
      <c r="I92" s="567"/>
      <c r="J92" s="567"/>
      <c r="K92" s="568"/>
      <c r="L92" s="569"/>
      <c r="M92" s="570"/>
      <c r="N92" s="1267"/>
      <c r="O92" s="1267"/>
      <c r="P92" s="2426"/>
      <c r="Q92" s="485"/>
    </row>
    <row r="93" spans="1:17" ht="15.75" thickBot="1">
      <c r="A93" s="516"/>
      <c r="B93" s="526"/>
      <c r="C93" s="544">
        <v>100</v>
      </c>
      <c r="D93" s="544">
        <v>98</v>
      </c>
      <c r="E93" s="544">
        <v>96</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2850</v>
      </c>
      <c r="D100" s="2746" t="s">
        <v>2851</v>
      </c>
      <c r="E100" s="2747" t="s">
        <v>2852</v>
      </c>
      <c r="F100" s="2746" t="s">
        <v>2853</v>
      </c>
      <c r="G100" s="2746" t="s">
        <v>2854</v>
      </c>
      <c r="H100" s="2748" t="s">
        <v>2855</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v>89.5</v>
      </c>
      <c r="K104" s="518"/>
      <c r="L104" s="518"/>
      <c r="M104" s="518"/>
      <c r="N104" s="1268"/>
      <c r="O104" s="1268"/>
      <c r="P104" s="2427"/>
      <c r="Q104" s="543"/>
    </row>
    <row r="105" spans="1:17" ht="15" thickTop="1">
      <c r="A105" s="583"/>
      <c r="B105" s="521" t="s">
        <v>2420</v>
      </c>
      <c r="C105" s="2743" t="s">
        <v>2856</v>
      </c>
      <c r="D105" s="2743" t="s">
        <v>2857</v>
      </c>
      <c r="E105" s="2749" t="s">
        <v>2858</v>
      </c>
      <c r="F105" s="2749" t="s">
        <v>2859</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2860</v>
      </c>
      <c r="D107" s="2743" t="s">
        <v>2861</v>
      </c>
      <c r="E107" s="2743" t="s">
        <v>2862</v>
      </c>
      <c r="F107" s="2749" t="s">
        <v>2863</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2860</v>
      </c>
      <c r="D109" s="2743" t="s">
        <v>2861</v>
      </c>
      <c r="E109" s="2743" t="s">
        <v>2862</v>
      </c>
      <c r="F109" s="2749" t="s">
        <v>2863</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2864</v>
      </c>
      <c r="D114" s="2743" t="s">
        <v>2865</v>
      </c>
      <c r="E114" s="2750" t="s">
        <v>2866</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2867</v>
      </c>
      <c r="D116" s="2743" t="s">
        <v>2868</v>
      </c>
      <c r="E116" s="2743" t="s">
        <v>2869</v>
      </c>
      <c r="F116" s="2743" t="s">
        <v>2870</v>
      </c>
      <c r="G116" s="2743" t="s">
        <v>2871</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2872</v>
      </c>
      <c r="E118" s="2750" t="s">
        <v>2873</v>
      </c>
      <c r="F118" s="2749" t="s">
        <v>2874</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2860</v>
      </c>
      <c r="D122" s="2743" t="s">
        <v>2861</v>
      </c>
      <c r="E122" s="2743" t="s">
        <v>2862</v>
      </c>
      <c r="F122" s="2749" t="s">
        <v>2863</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162.32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43283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42.5">
      <c r="A17" s="408"/>
      <c r="B17" s="431" t="s">
        <v>1750</v>
      </c>
      <c r="C17" s="2406" t="str">
        <f>估价对象房地状况!C6</f>
        <v>估价对象紧邻城市主干道——惠新西街，周边有地铁五号线（惠新西街北口站）、有18路、125路、409路、567路公交线路等，综合评价交通便捷度好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6"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28.25">
      <c r="A23" s="408"/>
      <c r="B23" s="431" t="s">
        <v>1755</v>
      </c>
      <c r="C23" s="2457" t="str">
        <f>估价对象房地状况!C9</f>
        <v>自然环境：国家奥林匹克体育中心、小关奥林匹克文化广场等；人文环境：对外经济贸易大学、北京联合大学等，综合评价环境状况好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162.32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5"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42.5">
      <c r="A17" s="408"/>
      <c r="B17" s="615" t="s">
        <v>1750</v>
      </c>
      <c r="C17" s="2468" t="str">
        <f>估价对象房地状况!C6</f>
        <v>估价对象紧邻城市主干道——惠新西街，周边有地铁五号线（惠新西街北口站）、有18路、125路、409路、567路公交线路等，综合评价交通便捷度好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8"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28.25">
      <c r="A23" s="408"/>
      <c r="B23" s="615" t="s">
        <v>2482</v>
      </c>
      <c r="C23" s="2468" t="str">
        <f>估价对象房地状况!C9</f>
        <v>自然环境：国家奥林匹克体育中心、小关奥林匹克文化广场等；人文环境：对外经济贸易大学、北京联合大学等，综合评价环境状况好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162.32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估价对象紧邻城市主干道——惠新西街，周边有地铁五号线（惠新西街北口站）、有18路、125路、409路、567路公交线路等，综合评价交通便捷度好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28.25">
      <c r="A20" s="383"/>
      <c r="B20" s="615" t="s">
        <v>2509</v>
      </c>
      <c r="C20" s="1482" t="str">
        <f>IF(B1="工业",估价对象房地状况!G7,估价对象房地状况!C9)</f>
        <v>自然环境：国家奥林匹克体育中心、小关奥林匹克文化广场等；人文环境：对外经济贸易大学、北京联合大学等，综合评价环境状况好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162.32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估价对象紧邻城市主干道——惠新西街，周边有地铁五号线（惠新西街北口站）、有18路、125路、409路、567路公交线路等，综合评价交通便捷度好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6"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28.25">
      <c r="A20" s="408"/>
      <c r="B20" s="431" t="s">
        <v>2509</v>
      </c>
      <c r="C20" s="2406" t="str">
        <f>IF(B1="工业",估价对象房地状况!G7,估价对象房地状况!C9)</f>
        <v>自然环境：国家奥林匹克体育中心、小关奥林匹克文化广场等；人文环境：对外经济贸易大学、北京联合大学等，综合评价环境状况好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43283</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52"/>
      <c r="Q10" s="1887" t="str">
        <f t="shared" si="6"/>
        <v>土地使用年限（年）</v>
      </c>
      <c r="R10" s="749" t="s">
        <v>25</v>
      </c>
      <c r="S10" s="750">
        <f t="shared" si="0"/>
        <v>112</v>
      </c>
      <c r="T10" s="749" t="s">
        <v>25</v>
      </c>
      <c r="U10" s="750">
        <f t="shared" si="1"/>
        <v>112</v>
      </c>
      <c r="V10" s="749" t="s">
        <v>25</v>
      </c>
      <c r="W10" s="750">
        <f t="shared" si="2"/>
        <v>112</v>
      </c>
      <c r="X10" s="751"/>
      <c r="Y10" s="2864"/>
      <c r="Z10" s="23" t="str">
        <f t="shared" si="7"/>
        <v>土地使用年限（年）</v>
      </c>
      <c r="AA10" s="752">
        <f t="shared" si="3"/>
        <v>0.8928571428571429</v>
      </c>
      <c r="AB10" s="752">
        <f t="shared" si="4"/>
        <v>0.8928571428571429</v>
      </c>
      <c r="AC10" s="752">
        <f t="shared" si="5"/>
        <v>0.8928571428571429</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142.5">
      <c r="A15" s="380" t="s">
        <v>2364</v>
      </c>
      <c r="B15" s="1487" t="s">
        <v>1741</v>
      </c>
      <c r="C15" s="2467" t="str">
        <f>估价对象房地状况!C15</f>
        <v>估价对象周边有惠新苑、惠新西街小区、蓝钰苑、惠新里、小关北里等居住小区，小区规模和社区发展完善程度好，综合评价居住社区成熟度好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42.5">
      <c r="A21" s="383"/>
      <c r="B21" s="1489" t="s">
        <v>2508</v>
      </c>
      <c r="C21" s="2468" t="str">
        <f>估价对象房地状况!C18</f>
        <v>估价对象紧邻城市主干道——惠新西街，周边有地铁五号线（惠新西街北口站）、有18路、125路、409路、567路公交线路等，综合评价交通便捷度好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28.25">
      <c r="A25" s="383"/>
      <c r="B25" s="1491" t="s">
        <v>2549</v>
      </c>
      <c r="C25" s="2485" t="str">
        <f>估价对象房地状况!C20</f>
        <v>自然环境：国家奥林匹克体育中心、小关奥林匹克文化广场等；人文环境：对外经济贸易大学、北京联合大学等，综合评价环境状况好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8"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43283</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52"/>
      <c r="Q10" s="1887" t="str">
        <f t="shared" si="6"/>
        <v>土地使用年限（年）</v>
      </c>
      <c r="R10" s="749" t="s">
        <v>25</v>
      </c>
      <c r="S10" s="750">
        <f t="shared" si="0"/>
        <v>112</v>
      </c>
      <c r="T10" s="749" t="s">
        <v>25</v>
      </c>
      <c r="U10" s="750">
        <f t="shared" si="1"/>
        <v>112</v>
      </c>
      <c r="V10" s="749" t="s">
        <v>25</v>
      </c>
      <c r="W10" s="750">
        <f t="shared" si="2"/>
        <v>112</v>
      </c>
      <c r="X10" s="751"/>
      <c r="Y10" s="2864"/>
      <c r="Z10" s="23" t="str">
        <f t="shared" si="7"/>
        <v>土地使用年限（年）</v>
      </c>
      <c r="AA10" s="752">
        <f t="shared" si="3"/>
        <v>0.8928571428571429</v>
      </c>
      <c r="AB10" s="752">
        <f t="shared" si="4"/>
        <v>0.8928571428571429</v>
      </c>
      <c r="AC10" s="752">
        <f t="shared" si="5"/>
        <v>0.8928571428571429</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估价对象为北京市房地产，为所有。根据《不动产权证书》[]，估价对象建筑面积为162.32平方米，（分摊）出让国有建设用地使用权面积为平方米。估价对象用途为。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2633</v>
      </c>
      <c r="X8" s="308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43283</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45.5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5"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估价对象紧邻城市主干道——惠新西街，周边有地铁五号线（惠新西街北口站）、有18路、125路、409路、567路公交线路等，综合评价交通便捷度好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自然环境：国家奥林匹克体育中心、小关奥林匹克文化广场等；人文环境：对外经济贸易大学、北京联合大学等，综合评价环境状况好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估价对象紧邻城市主干道——惠新西街，周边有地铁五号线（惠新西街北口站）、有18路、125路、409路、567路公交线路等，综合评价交通便捷度好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自然环境：国家奥林匹克体育中心、小关奥林匹克文化广场等；人文环境：对外经济贸易大学、北京联合大学等，综合评价环境状况好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估价对象周边有惠新苑、惠新西街小区、蓝钰苑、惠新里、小关北里等居住小区，小区规模和社区发展完善程度好，综合评价居住社区成熟度好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估价对象紧邻城市主干道——惠新西街，周边有地铁五号线（惠新西街北口站）、有18路、125路、409路、567路公交线路等，综合评价交通便捷度好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自然环境：国家奥林匹克体育中心、小关奥林匹克文化广场等；人文环境：对外经济贸易大学、北京联合大学等，综合评价环境状况好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7" t="s">
        <v>2780</v>
      </c>
      <c r="B90" s="3077"/>
      <c r="C90" s="3077"/>
      <c r="D90" s="3077"/>
      <c r="E90" s="3077"/>
      <c r="F90" s="3077"/>
      <c r="G90" s="3077"/>
      <c r="H90" s="3077"/>
      <c r="I90" s="3077"/>
      <c r="J90" s="3077"/>
      <c r="K90" s="2687"/>
      <c r="L90" s="2687"/>
      <c r="M90" s="2687"/>
      <c r="N90" s="2687"/>
    </row>
    <row r="91" spans="1:37">
      <c r="A91" s="3079" t="s">
        <v>2781</v>
      </c>
      <c r="B91" s="3079" t="s">
        <v>2782</v>
      </c>
      <c r="C91" s="2635" t="s">
        <v>2783</v>
      </c>
      <c r="D91" s="2636"/>
      <c r="E91" s="2636"/>
      <c r="F91" s="2636"/>
      <c r="G91" s="2636"/>
      <c r="H91" s="2636"/>
      <c r="I91" s="2636"/>
      <c r="J91" s="2688"/>
      <c r="K91" s="2689"/>
      <c r="L91" s="2689"/>
      <c r="M91" s="2689"/>
      <c r="N91" s="2689"/>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1"/>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0"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1"/>
      <c r="B108" s="3083"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2"/>
      <c r="B109" s="308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8" t="s">
        <v>2788</v>
      </c>
      <c r="B110" s="3078"/>
      <c r="C110" s="3078"/>
      <c r="D110" s="3078"/>
      <c r="E110" s="3078"/>
      <c r="F110" s="3078"/>
      <c r="G110" s="3078"/>
      <c r="H110" s="3078"/>
      <c r="I110" s="3078"/>
      <c r="J110" s="3078"/>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估价对象紧邻城市主干道——惠新西街，周边有地铁五号线（惠新西街北口站）、有18路、125路、409路、567路公交线路等，综合评价交通便捷度好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自然环境：国家奥林匹克体育中心、小关奥林匹克文化广场等；人文环境：对外经济贸易大学、北京联合大学等，综合评价环境状况好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估价对象紧邻城市主干道——惠新西街，周边有地铁五号线（惠新西街北口站）、有18路、125路、409路、567路公交线路等，综合评价交通便捷度好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自然环境：国家奥林匹克体育中心、小关奥林匹克文化广场等；人文环境：对外经济贸易大学、北京联合大学等，综合评价环境状况好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估价对象周边有惠新苑、惠新西街小区、蓝钰苑、惠新里、小关北里等居住小区，小区规模和社区发展完善程度好，综合评价居住社区成熟度好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估价对象紧邻城市主干道——惠新西街，周边有地铁五号线（惠新西街北口站）、有18路、125路、409路、567路公交线路等，综合评价交通便捷度好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自然环境：国家奥林匹克体育中心、小关奥林匹克文化广场等；人文环境：对外经济贸易大学、北京联合大学等，综合评价环境状况好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43283</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8" workbookViewId="0">
      <selection activeCell="O4" sqref="O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162.32</v>
      </c>
      <c r="D6" s="2760"/>
      <c r="E6" s="1927"/>
    </row>
    <row r="7" spans="1:5" ht="14.25">
      <c r="A7" s="1927"/>
      <c r="B7" s="2754" t="s">
        <v>784</v>
      </c>
      <c r="C7" s="1933" t="str">
        <f>IF('数据-取费表'!B3="万元","总价（万元）","总价（元）")</f>
        <v>总价（元）</v>
      </c>
      <c r="D7" s="1934">
        <f ca="1">IF('数据-取费表'!E3="否",结果表!I102,'结果表 (1修多)'!I103)</f>
        <v>8719668</v>
      </c>
      <c r="E7" s="1927"/>
    </row>
    <row r="8" spans="1:5" ht="28.5">
      <c r="A8" s="1927"/>
      <c r="B8" s="2754"/>
      <c r="C8" s="1935" t="s">
        <v>1175</v>
      </c>
      <c r="D8" s="1936" t="str">
        <f ca="1">IF('数据-取费表'!B3="万元",NUMBERSTRING(INT(D7*10000),2)&amp;"元整",NUMBERSTRING(INT(D7),2)&amp;"元整")</f>
        <v>捌佰柒拾壹万玖仟陆佰陆拾捌元整</v>
      </c>
      <c r="E8" s="1927"/>
    </row>
    <row r="9" spans="1:5" ht="14.25">
      <c r="A9" s="1927"/>
      <c r="B9" s="2754"/>
      <c r="C9" s="1937" t="s">
        <v>1274</v>
      </c>
      <c r="D9" s="1934">
        <f ca="1">IF('数据-取费表'!E3="否",结果表!I103,'结果表 (1修多)'!I104)</f>
        <v>53719</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8719668</v>
      </c>
      <c r="E15" s="1927"/>
    </row>
    <row r="16" spans="1:5" ht="28.5">
      <c r="A16" s="1927"/>
      <c r="B16" s="2761"/>
      <c r="C16" s="1935" t="s">
        <v>1175</v>
      </c>
      <c r="D16" s="1934" t="str">
        <f ca="1">IF('数据-取费表'!B3="万元",NUMBERSTRING(INT(D15*10000),2)&amp;"元整",NUMBERSTRING(INT(D15),2)&amp;"元整")</f>
        <v>捌佰柒拾壹万玖仟陆佰陆拾捌元整</v>
      </c>
      <c r="E16" s="1927"/>
    </row>
    <row r="17" spans="1:5" ht="14.25">
      <c r="A17" s="1927"/>
      <c r="B17" s="2761"/>
      <c r="C17" s="1937" t="s">
        <v>1274</v>
      </c>
      <c r="D17" s="1934">
        <f ca="1">IF('数据-取费表'!E3="否",结果表!I111,'结果表 (1修多)'!I112)</f>
        <v>53719</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8719668</v>
      </c>
      <c r="E28" s="1927"/>
    </row>
    <row r="29" spans="1:5" ht="28.5">
      <c r="A29" s="1927"/>
      <c r="B29" s="2763"/>
      <c r="C29" s="1946" t="s">
        <v>1175</v>
      </c>
      <c r="D29" s="1947" t="str">
        <f ca="1">IF('数据-取费表'!B3="万元",NUMBERSTRING(INT(D28*10000),2)&amp;"元整",NUMBERSTRING(INT(D28),2)&amp;"元整")</f>
        <v>捌佰柒拾壹万玖仟陆佰陆拾捌元整</v>
      </c>
      <c r="E29" s="1927"/>
    </row>
    <row r="30" spans="1:5" ht="14.25">
      <c r="A30" s="1927"/>
      <c r="B30" s="2764"/>
      <c r="C30" s="1937" t="s">
        <v>1178</v>
      </c>
      <c r="D30" s="1948">
        <f ca="1">IF('数据-取费表'!E3="否",结果表!I103,'结果表 (1修多)'!I104)</f>
        <v>53719</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8719668</v>
      </c>
      <c r="E36" s="1927"/>
    </row>
    <row r="37" spans="1:5" ht="28.5">
      <c r="A37" s="1927"/>
      <c r="B37" s="2765"/>
      <c r="C37" s="1946" t="s">
        <v>1175</v>
      </c>
      <c r="D37" s="1951" t="str">
        <f ca="1">IF('数据-取费表'!B3="万元",NUMBERSTRING(INT(D36*10000),2)&amp;"元整",NUMBERSTRING(INT(D36),2)&amp;"元整")</f>
        <v>捌佰柒拾壹万玖仟陆佰陆拾捌元整</v>
      </c>
      <c r="E37" s="1927"/>
    </row>
    <row r="38" spans="1:5" ht="14.25">
      <c r="A38" s="1927"/>
      <c r="B38" s="2765"/>
      <c r="C38" s="1937" t="s">
        <v>1179</v>
      </c>
      <c r="D38" s="1948">
        <f ca="1">IF('数据-取费表'!E3="否",结果表!D113,'结果表 (1修多)'!D116)</f>
        <v>53719</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162.32</v>
      </c>
      <c r="C4" s="1049">
        <f>结果表!C121</f>
        <v>0</v>
      </c>
      <c r="D4" s="1049">
        <f ca="1">IF('数据-取费表'!E3="否",结果表!D121,'结果表 (1修多)'!D124)</f>
        <v>7873819</v>
      </c>
      <c r="E4" s="1049">
        <f ca="1">IF('数据-取费表'!E3="否",结果表!E121,'结果表 (1修多)'!E124)</f>
        <v>48508</v>
      </c>
      <c r="F4" s="1049">
        <f ca="1">IF('数据-取费表'!E3="否",结果表!F121,'结果表 (1修多)'!F124)</f>
        <v>845850</v>
      </c>
      <c r="G4" s="1049">
        <f ca="1">IF('数据-取费表'!E3="否",结果表!G121,'结果表 (1修多)'!G124)</f>
        <v>5211</v>
      </c>
      <c r="H4" s="1049">
        <f ca="1">IF('数据-取费表'!E3="否",结果表!H121,'结果表 (1修多)'!H124)</f>
        <v>8719668</v>
      </c>
      <c r="I4" s="1049">
        <f ca="1">IF('数据-取费表'!E3="否",结果表!I121,'结果表 (1修多)'!I124)</f>
        <v>53719</v>
      </c>
    </row>
    <row r="5" spans="1:9" ht="15">
      <c r="A5" s="2779" t="s">
        <v>1284</v>
      </c>
      <c r="B5" s="2779"/>
      <c r="C5" s="2779"/>
      <c r="D5" s="2777" t="str">
        <f ca="1">IF('数据-取费表'!E3="否",结果表!D122,'结果表 (1修多)'!D125)</f>
        <v>柒佰捌拾柒万叁仟捌佰壹拾玖元整</v>
      </c>
      <c r="E5" s="2777"/>
      <c r="F5" s="2777" t="str">
        <f ca="1">IF('数据-取费表'!E3="否",结果表!F122,'结果表 (1修多)'!F125)</f>
        <v>捌拾肆万伍仟捌佰伍拾元整</v>
      </c>
      <c r="G5" s="2777"/>
      <c r="H5" s="2777" t="str">
        <f ca="1">IF('数据-取费表'!E3="否",结果表!H122,'结果表 (1修多)'!H125)</f>
        <v>捌佰柒拾壹万玖仟陆佰陆拾捌元整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1284</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8719668</v>
      </c>
      <c r="E8" s="2778"/>
      <c r="F8" s="2778"/>
      <c r="G8" s="2778"/>
      <c r="H8" s="2778"/>
      <c r="I8" s="2778"/>
    </row>
    <row r="9" spans="1:9" ht="15">
      <c r="A9" s="2779" t="s">
        <v>1284</v>
      </c>
      <c r="B9" s="2779"/>
      <c r="C9" s="2779"/>
      <c r="D9" s="2777">
        <f ca="1">IF('数据-取费表'!E3="否",结果表!D126,'结果表 (1修多)'!D129)</f>
        <v>53719</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1284</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1301</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2018-07-11T01:21:35Z</dcterms:modified>
</cp:coreProperties>
</file>