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660" yWindow="405" windowWidth="11385" windowHeight="946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 r:id="rId47"/>
    <externalReference r:id="rId48"/>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D17" i="74"/>
  <c r="G17"/>
  <c r="C17"/>
  <c r="B17"/>
  <c r="D16"/>
  <c r="C16"/>
  <c r="B16"/>
  <c r="D15"/>
  <c r="C15"/>
  <c r="B15"/>
  <c r="N6" i="1"/>
  <c r="AH5" i="71"/>
  <c r="AG5"/>
  <c r="AE5"/>
  <c r="AF5"/>
  <c r="AD5"/>
  <c r="Q5"/>
  <c r="AB5"/>
  <c r="P5"/>
  <c r="AA5"/>
  <c r="O5"/>
  <c r="Y5"/>
  <c r="Z5"/>
  <c r="N5"/>
  <c r="X5"/>
  <c r="F5"/>
  <c r="E5"/>
  <c r="C5"/>
  <c r="D5"/>
  <c r="B5"/>
  <c r="K92" i="77"/>
  <c r="H48"/>
  <c r="O18"/>
  <c r="M18"/>
  <c r="J18"/>
  <c r="I18"/>
  <c r="H18"/>
  <c r="K16"/>
  <c r="K15"/>
  <c r="K14"/>
  <c r="C1" i="73"/>
  <c r="J1"/>
  <c r="D4"/>
  <c r="E20" i="43"/>
  <c r="P28"/>
  <c r="G20"/>
  <c r="F6" i="1"/>
  <c r="I20" i="43"/>
  <c r="C20"/>
  <c r="B2" i="1"/>
  <c r="G19" i="43"/>
  <c r="M20"/>
  <c r="M19"/>
  <c r="I19"/>
  <c r="C19"/>
  <c r="G2"/>
  <c r="I2"/>
  <c r="M9"/>
  <c r="C6"/>
  <c r="H17"/>
  <c r="I17"/>
  <c r="J17"/>
  <c r="K17"/>
  <c r="L17"/>
  <c r="M17"/>
  <c r="N17"/>
  <c r="O17"/>
  <c r="G17"/>
  <c r="E17"/>
  <c r="C17"/>
  <c r="C16"/>
  <c r="C5"/>
  <c r="C18"/>
  <c r="I4" i="6"/>
  <c r="G3" i="43"/>
  <c r="E22"/>
  <c r="G22"/>
  <c r="F22"/>
  <c r="H22"/>
  <c r="D22"/>
  <c r="C21"/>
  <c r="C24"/>
  <c r="C29"/>
  <c r="F19" i="6"/>
  <c r="E8"/>
  <c r="F27"/>
  <c r="D29" i="43"/>
  <c r="E29"/>
  <c r="C6" i="68"/>
  <c r="F7"/>
  <c r="C7"/>
  <c r="C8"/>
  <c r="C5"/>
  <c r="C19"/>
  <c r="F20"/>
  <c r="C20"/>
  <c r="D5" i="73"/>
  <c r="E1"/>
  <c r="K1"/>
  <c r="G1"/>
  <c r="B40" i="1"/>
  <c r="F22" i="68"/>
  <c r="C23"/>
  <c r="C24"/>
  <c r="C25"/>
  <c r="C22"/>
  <c r="F21"/>
  <c r="C26"/>
  <c r="D22"/>
  <c r="C21"/>
  <c r="F34"/>
  <c r="A6" i="1"/>
  <c r="E19" i="6"/>
  <c r="K6" i="1"/>
  <c r="M6"/>
  <c r="A7"/>
  <c r="K7"/>
  <c r="M7"/>
  <c r="A8"/>
  <c r="K8"/>
  <c r="M8"/>
  <c r="A9"/>
  <c r="K9"/>
  <c r="M9"/>
  <c r="A10"/>
  <c r="K10"/>
  <c r="M10"/>
  <c r="A11"/>
  <c r="K11"/>
  <c r="M11"/>
  <c r="A12"/>
  <c r="K12"/>
  <c r="M12"/>
  <c r="A13"/>
  <c r="K13"/>
  <c r="M13"/>
  <c r="F28" i="6"/>
  <c r="G28"/>
  <c r="E28"/>
  <c r="K14" i="1"/>
  <c r="M14"/>
  <c r="M16"/>
  <c r="C34" i="68"/>
  <c r="F35"/>
  <c r="C35"/>
  <c r="C42" i="1"/>
  <c r="F36" i="68"/>
  <c r="C36"/>
  <c r="E5" i="6"/>
  <c r="D9" i="68"/>
  <c r="E3" i="6"/>
  <c r="E6"/>
  <c r="D10" i="68"/>
  <c r="D19"/>
  <c r="D37"/>
  <c r="E37"/>
  <c r="C37"/>
  <c r="F38"/>
  <c r="C38"/>
  <c r="C33"/>
  <c r="C39"/>
  <c r="C42"/>
  <c r="C43"/>
  <c r="C41"/>
  <c r="C40"/>
  <c r="C44"/>
  <c r="D41"/>
  <c r="N16" i="1"/>
  <c r="F50" i="68"/>
  <c r="G1" i="15"/>
  <c r="F6"/>
  <c r="F8"/>
  <c r="F7"/>
  <c r="F9"/>
  <c r="C6"/>
  <c r="L1" i="73"/>
  <c r="F4"/>
  <c r="I1"/>
  <c r="B39" i="1"/>
  <c r="F11" i="15"/>
  <c r="C10"/>
  <c r="C5"/>
  <c r="F32"/>
  <c r="C32"/>
  <c r="F33"/>
  <c r="C33"/>
  <c r="D3" i="6"/>
  <c r="D19"/>
  <c r="E27"/>
  <c r="K19"/>
  <c r="L19"/>
  <c r="M19"/>
  <c r="I19"/>
  <c r="H19"/>
  <c r="R19"/>
  <c r="R6" i="1"/>
  <c r="F35" i="15"/>
  <c r="F34"/>
  <c r="C34"/>
  <c r="C31"/>
  <c r="S6" i="1"/>
  <c r="T6"/>
  <c r="C14" i="15"/>
  <c r="F15"/>
  <c r="C15"/>
  <c r="F16"/>
  <c r="C16"/>
  <c r="F43"/>
  <c r="F17"/>
  <c r="C17"/>
  <c r="F18"/>
  <c r="C18"/>
  <c r="C19"/>
  <c r="F20"/>
  <c r="C20"/>
  <c r="F24"/>
  <c r="F23"/>
  <c r="C23"/>
  <c r="F26"/>
  <c r="C26"/>
  <c r="F21"/>
  <c r="C24"/>
  <c r="C27"/>
  <c r="F28"/>
  <c r="C28"/>
  <c r="C29"/>
  <c r="F36"/>
  <c r="C36"/>
  <c r="Y6" i="1"/>
  <c r="F13" i="15"/>
  <c r="C13"/>
  <c r="F37"/>
  <c r="C37"/>
  <c r="F38"/>
  <c r="C38"/>
  <c r="C30"/>
  <c r="C39"/>
  <c r="F42"/>
  <c r="F40"/>
  <c r="L48"/>
  <c r="J51"/>
  <c r="J53"/>
  <c r="F1"/>
  <c r="AE6" i="1"/>
  <c r="F41" i="15"/>
  <c r="C40"/>
  <c r="M6"/>
  <c r="M8"/>
  <c r="M7"/>
  <c r="M9"/>
  <c r="J6"/>
  <c r="M11"/>
  <c r="J10"/>
  <c r="J5"/>
  <c r="J26"/>
  <c r="J29"/>
  <c r="J60"/>
  <c r="L46"/>
  <c r="B2"/>
  <c r="D19" i="9"/>
  <c r="F7" i="73"/>
  <c r="D7"/>
  <c r="F6"/>
  <c r="D6"/>
  <c r="F5"/>
  <c r="F3"/>
  <c r="D3"/>
  <c r="F22" i="11"/>
  <c r="F34"/>
  <c r="C34"/>
  <c r="F35"/>
  <c r="C35"/>
  <c r="C36"/>
  <c r="E37"/>
  <c r="D37"/>
  <c r="C37"/>
  <c r="F38"/>
  <c r="C38"/>
  <c r="C33"/>
  <c r="C42"/>
  <c r="F20"/>
  <c r="C39"/>
  <c r="C43"/>
  <c r="C41"/>
  <c r="F21"/>
  <c r="C40"/>
  <c r="C44"/>
  <c r="D41"/>
  <c r="F50"/>
  <c r="F7"/>
  <c r="C7"/>
  <c r="C8"/>
  <c r="C5"/>
  <c r="C23"/>
  <c r="D19"/>
  <c r="E19"/>
  <c r="C19"/>
  <c r="C24"/>
  <c r="C20"/>
  <c r="C25"/>
  <c r="C22"/>
  <c r="C26"/>
  <c r="D22"/>
  <c r="F30"/>
  <c r="C48"/>
  <c r="G41"/>
  <c r="F36"/>
  <c r="C30"/>
  <c r="C21"/>
  <c r="G22"/>
  <c r="E10"/>
  <c r="D10"/>
  <c r="C10"/>
  <c r="E9"/>
  <c r="D9"/>
  <c r="C9"/>
  <c r="S524" i="31"/>
  <c r="R524"/>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S25"/>
  <c r="R25"/>
  <c r="Q25"/>
  <c r="O25"/>
  <c r="M25"/>
  <c r="K25"/>
  <c r="I25"/>
  <c r="G25"/>
  <c r="E25"/>
  <c r="C25"/>
  <c r="S24"/>
  <c r="P23"/>
  <c r="N23"/>
  <c r="L23"/>
  <c r="J23"/>
  <c r="H23"/>
  <c r="F23"/>
  <c r="D23"/>
  <c r="S22"/>
  <c r="R22"/>
  <c r="B22"/>
  <c r="B21"/>
  <c r="F20"/>
  <c r="B20"/>
  <c r="S12"/>
  <c r="R12"/>
  <c r="Q12"/>
  <c r="P12"/>
  <c r="O12"/>
  <c r="N12"/>
  <c r="M12"/>
  <c r="L12"/>
  <c r="K12"/>
  <c r="J12"/>
  <c r="I12"/>
  <c r="H12"/>
  <c r="G12"/>
  <c r="F12"/>
  <c r="E12"/>
  <c r="D12"/>
  <c r="S10"/>
  <c r="R10"/>
  <c r="Q10"/>
  <c r="P10"/>
  <c r="O10"/>
  <c r="N10"/>
  <c r="M10"/>
  <c r="L10"/>
  <c r="K10"/>
  <c r="J10"/>
  <c r="I10"/>
  <c r="H10"/>
  <c r="G10"/>
  <c r="F10"/>
  <c r="E10"/>
  <c r="D10"/>
  <c r="S8"/>
  <c r="R8"/>
  <c r="Q8"/>
  <c r="P8"/>
  <c r="O8"/>
  <c r="N8"/>
  <c r="M8"/>
  <c r="L8"/>
  <c r="K8"/>
  <c r="J8"/>
  <c r="I8"/>
  <c r="H8"/>
  <c r="G8"/>
  <c r="F8"/>
  <c r="E8"/>
  <c r="D8"/>
  <c r="S6"/>
  <c r="R6"/>
  <c r="Q6"/>
  <c r="P6"/>
  <c r="O6"/>
  <c r="N6"/>
  <c r="M6"/>
  <c r="L6"/>
  <c r="K6"/>
  <c r="J6"/>
  <c r="I6"/>
  <c r="H6"/>
  <c r="G6"/>
  <c r="F6"/>
  <c r="E6"/>
  <c r="D6"/>
  <c r="S2"/>
  <c r="R2"/>
  <c r="Q2"/>
  <c r="P2"/>
  <c r="O2"/>
  <c r="N2"/>
  <c r="M2"/>
  <c r="L2"/>
  <c r="K2"/>
  <c r="J2"/>
  <c r="I2"/>
  <c r="H2"/>
  <c r="G2"/>
  <c r="F2"/>
  <c r="E2"/>
  <c r="D2"/>
  <c r="C2"/>
  <c r="D78" i="71"/>
  <c r="F77"/>
  <c r="E77"/>
  <c r="D77"/>
  <c r="C77"/>
  <c r="B77"/>
  <c r="F76"/>
  <c r="E76"/>
  <c r="D76"/>
  <c r="C76"/>
  <c r="B76"/>
  <c r="F75"/>
  <c r="E75"/>
  <c r="D75"/>
  <c r="C75"/>
  <c r="B75"/>
  <c r="D74"/>
  <c r="F73"/>
  <c r="E73"/>
  <c r="D73"/>
  <c r="C73"/>
  <c r="B73"/>
  <c r="F72"/>
  <c r="E72"/>
  <c r="D72"/>
  <c r="C72"/>
  <c r="B72"/>
  <c r="F71"/>
  <c r="E71"/>
  <c r="D71"/>
  <c r="C71"/>
  <c r="B71"/>
  <c r="D70"/>
  <c r="V69"/>
  <c r="U69"/>
  <c r="T69"/>
  <c r="S69"/>
  <c r="Q69"/>
  <c r="P69"/>
  <c r="O69"/>
  <c r="N69"/>
  <c r="F69"/>
  <c r="E69"/>
  <c r="D69"/>
  <c r="C69"/>
  <c r="B69"/>
  <c r="Q68"/>
  <c r="P68"/>
  <c r="O68"/>
  <c r="N68"/>
  <c r="F68"/>
  <c r="E68"/>
  <c r="D68"/>
  <c r="C68"/>
  <c r="B68"/>
  <c r="Q67"/>
  <c r="P67"/>
  <c r="O67"/>
  <c r="N67"/>
  <c r="F67"/>
  <c r="E67"/>
  <c r="D67"/>
  <c r="C67"/>
  <c r="B67"/>
  <c r="Q66"/>
  <c r="P66"/>
  <c r="O66"/>
  <c r="N66"/>
  <c r="D66"/>
  <c r="V65"/>
  <c r="U65"/>
  <c r="T65"/>
  <c r="S65"/>
  <c r="Q65"/>
  <c r="P65"/>
  <c r="O65"/>
  <c r="N65"/>
  <c r="F65"/>
  <c r="E65"/>
  <c r="D65"/>
  <c r="C65"/>
  <c r="B65"/>
  <c r="Q64"/>
  <c r="P64"/>
  <c r="O64"/>
  <c r="N64"/>
  <c r="F64"/>
  <c r="E64"/>
  <c r="D64"/>
  <c r="C64"/>
  <c r="B64"/>
  <c r="Q63"/>
  <c r="P63"/>
  <c r="O63"/>
  <c r="N63"/>
  <c r="F63"/>
  <c r="E63"/>
  <c r="D63"/>
  <c r="C63"/>
  <c r="B63"/>
  <c r="Q62"/>
  <c r="P62"/>
  <c r="O62"/>
  <c r="N62"/>
  <c r="D62"/>
  <c r="V61"/>
  <c r="U61"/>
  <c r="T61"/>
  <c r="S61"/>
  <c r="Q61"/>
  <c r="P61"/>
  <c r="O61"/>
  <c r="N61"/>
  <c r="F61"/>
  <c r="E61"/>
  <c r="D61"/>
  <c r="C61"/>
  <c r="B61"/>
  <c r="Q60"/>
  <c r="P60"/>
  <c r="O60"/>
  <c r="N60"/>
  <c r="F60"/>
  <c r="E60"/>
  <c r="D60"/>
  <c r="C60"/>
  <c r="B60"/>
  <c r="Q59"/>
  <c r="P59"/>
  <c r="O59"/>
  <c r="N59"/>
  <c r="F59"/>
  <c r="E59"/>
  <c r="D59"/>
  <c r="C59"/>
  <c r="B59"/>
  <c r="Q58"/>
  <c r="P58"/>
  <c r="O58"/>
  <c r="N58"/>
  <c r="D58"/>
  <c r="V57"/>
  <c r="U57"/>
  <c r="T57"/>
  <c r="S57"/>
  <c r="Q57"/>
  <c r="P57"/>
  <c r="O57"/>
  <c r="N57"/>
  <c r="F57"/>
  <c r="E57"/>
  <c r="D57"/>
  <c r="C57"/>
  <c r="B57"/>
  <c r="Q56"/>
  <c r="P56"/>
  <c r="O56"/>
  <c r="N56"/>
  <c r="F56"/>
  <c r="E56"/>
  <c r="D56"/>
  <c r="C56"/>
  <c r="B56"/>
  <c r="Q55"/>
  <c r="P55"/>
  <c r="O55"/>
  <c r="N55"/>
  <c r="F55"/>
  <c r="E55"/>
  <c r="D55"/>
  <c r="C55"/>
  <c r="B55"/>
  <c r="Q54"/>
  <c r="P54"/>
  <c r="O54"/>
  <c r="N54"/>
  <c r="D54"/>
  <c r="V53"/>
  <c r="U53"/>
  <c r="T53"/>
  <c r="S53"/>
  <c r="Q53"/>
  <c r="P53"/>
  <c r="O53"/>
  <c r="N53"/>
  <c r="F53"/>
  <c r="E53"/>
  <c r="D53"/>
  <c r="C53"/>
  <c r="B53"/>
  <c r="Q52"/>
  <c r="P52"/>
  <c r="O52"/>
  <c r="N52"/>
  <c r="F52"/>
  <c r="E52"/>
  <c r="D52"/>
  <c r="C52"/>
  <c r="B52"/>
  <c r="Q51"/>
  <c r="P51"/>
  <c r="O51"/>
  <c r="N51"/>
  <c r="F51"/>
  <c r="E51"/>
  <c r="D51"/>
  <c r="C51"/>
  <c r="B51"/>
  <c r="Q50"/>
  <c r="P50"/>
  <c r="O50"/>
  <c r="N50"/>
  <c r="D50"/>
  <c r="V49"/>
  <c r="U49"/>
  <c r="T49"/>
  <c r="S49"/>
  <c r="Q49"/>
  <c r="P49"/>
  <c r="O49"/>
  <c r="N49"/>
  <c r="F49"/>
  <c r="E49"/>
  <c r="D49"/>
  <c r="C49"/>
  <c r="B49"/>
  <c r="Q48"/>
  <c r="P48"/>
  <c r="O48"/>
  <c r="N48"/>
  <c r="F48"/>
  <c r="E48"/>
  <c r="D48"/>
  <c r="C48"/>
  <c r="B48"/>
  <c r="Q47"/>
  <c r="P47"/>
  <c r="O47"/>
  <c r="N47"/>
  <c r="F47"/>
  <c r="E47"/>
  <c r="D47"/>
  <c r="C47"/>
  <c r="B47"/>
  <c r="Q46"/>
  <c r="P46"/>
  <c r="O46"/>
  <c r="N46"/>
  <c r="D46"/>
  <c r="V45"/>
  <c r="U45"/>
  <c r="T45"/>
  <c r="S45"/>
  <c r="Q45"/>
  <c r="P45"/>
  <c r="O45"/>
  <c r="N45"/>
  <c r="F45"/>
  <c r="E45"/>
  <c r="D45"/>
  <c r="C45"/>
  <c r="B45"/>
  <c r="Q44"/>
  <c r="P44"/>
  <c r="O44"/>
  <c r="N44"/>
  <c r="F44"/>
  <c r="E44"/>
  <c r="D44"/>
  <c r="C44"/>
  <c r="B44"/>
  <c r="Q43"/>
  <c r="P43"/>
  <c r="O43"/>
  <c r="N43"/>
  <c r="F43"/>
  <c r="E43"/>
  <c r="D43"/>
  <c r="C43"/>
  <c r="B43"/>
  <c r="Q42"/>
  <c r="P42"/>
  <c r="O42"/>
  <c r="N42"/>
  <c r="D42"/>
  <c r="V41"/>
  <c r="U41"/>
  <c r="T41"/>
  <c r="S41"/>
  <c r="Q41"/>
  <c r="P41"/>
  <c r="O41"/>
  <c r="N41"/>
  <c r="F41"/>
  <c r="E41"/>
  <c r="D41"/>
  <c r="C41"/>
  <c r="B41"/>
  <c r="Q40"/>
  <c r="P40"/>
  <c r="O40"/>
  <c r="N40"/>
  <c r="F40"/>
  <c r="E40"/>
  <c r="D40"/>
  <c r="C40"/>
  <c r="B40"/>
  <c r="Q39"/>
  <c r="P39"/>
  <c r="O39"/>
  <c r="N39"/>
  <c r="F39"/>
  <c r="E39"/>
  <c r="D39"/>
  <c r="C39"/>
  <c r="B39"/>
  <c r="Q38"/>
  <c r="P38"/>
  <c r="O38"/>
  <c r="N38"/>
  <c r="D38"/>
  <c r="V37"/>
  <c r="U37"/>
  <c r="T37"/>
  <c r="S37"/>
  <c r="Q37"/>
  <c r="P37"/>
  <c r="O37"/>
  <c r="N37"/>
  <c r="F37"/>
  <c r="E37"/>
  <c r="D37"/>
  <c r="B37"/>
  <c r="Q36"/>
  <c r="P36"/>
  <c r="O36"/>
  <c r="N36"/>
  <c r="F36"/>
  <c r="E36"/>
  <c r="D36"/>
  <c r="C36"/>
  <c r="B36"/>
  <c r="Q35"/>
  <c r="P35"/>
  <c r="O35"/>
  <c r="N35"/>
  <c r="F35"/>
  <c r="E35"/>
  <c r="D35"/>
  <c r="C35"/>
  <c r="B35"/>
  <c r="Q34"/>
  <c r="P34"/>
  <c r="O34"/>
  <c r="N34"/>
  <c r="D34"/>
  <c r="V33"/>
  <c r="U33"/>
  <c r="T33"/>
  <c r="S33"/>
  <c r="Q33"/>
  <c r="P33"/>
  <c r="O33"/>
  <c r="N33"/>
  <c r="F33"/>
  <c r="E33"/>
  <c r="D33"/>
  <c r="C33"/>
  <c r="B33"/>
  <c r="Q32"/>
  <c r="P32"/>
  <c r="O32"/>
  <c r="N32"/>
  <c r="F32"/>
  <c r="E32"/>
  <c r="D32"/>
  <c r="C32"/>
  <c r="B32"/>
  <c r="Q31"/>
  <c r="P31"/>
  <c r="O31"/>
  <c r="N31"/>
  <c r="F31"/>
  <c r="E31"/>
  <c r="D31"/>
  <c r="C31"/>
  <c r="B31"/>
  <c r="Q30"/>
  <c r="P30"/>
  <c r="O30"/>
  <c r="N30"/>
  <c r="D30"/>
  <c r="AH29"/>
  <c r="AG29"/>
  <c r="AF29"/>
  <c r="AE29"/>
  <c r="AD29"/>
  <c r="V29"/>
  <c r="U29"/>
  <c r="T29"/>
  <c r="S29"/>
  <c r="Q29"/>
  <c r="P29"/>
  <c r="O29"/>
  <c r="N29"/>
  <c r="F29"/>
  <c r="E29"/>
  <c r="D29"/>
  <c r="C29"/>
  <c r="B29"/>
  <c r="AH28"/>
  <c r="AG28"/>
  <c r="AF28"/>
  <c r="AE28"/>
  <c r="AD28"/>
  <c r="AB28"/>
  <c r="AA28"/>
  <c r="Z28"/>
  <c r="Y28"/>
  <c r="X28"/>
  <c r="Q28"/>
  <c r="P28"/>
  <c r="O28"/>
  <c r="N28"/>
  <c r="F28"/>
  <c r="E28"/>
  <c r="D28"/>
  <c r="C28"/>
  <c r="B28"/>
  <c r="AH27"/>
  <c r="AG27"/>
  <c r="AF27"/>
  <c r="AE27"/>
  <c r="AD27"/>
  <c r="AB27"/>
  <c r="AA27"/>
  <c r="Z27"/>
  <c r="Y27"/>
  <c r="X27"/>
  <c r="Q27"/>
  <c r="P27"/>
  <c r="O27"/>
  <c r="N27"/>
  <c r="F27"/>
  <c r="E27"/>
  <c r="D27"/>
  <c r="C27"/>
  <c r="B27"/>
  <c r="AH26"/>
  <c r="AG26"/>
  <c r="AF26"/>
  <c r="AE26"/>
  <c r="AD26"/>
  <c r="AB26"/>
  <c r="AA26"/>
  <c r="Z26"/>
  <c r="Y26"/>
  <c r="X26"/>
  <c r="Q26"/>
  <c r="P26"/>
  <c r="O26"/>
  <c r="N26"/>
  <c r="D26"/>
  <c r="AH25"/>
  <c r="AG25"/>
  <c r="AF25"/>
  <c r="AE25"/>
  <c r="AD25"/>
  <c r="AB25"/>
  <c r="AA25"/>
  <c r="Z25"/>
  <c r="Y25"/>
  <c r="X25"/>
  <c r="V25"/>
  <c r="U25"/>
  <c r="T25"/>
  <c r="S25"/>
  <c r="Q25"/>
  <c r="P25"/>
  <c r="O25"/>
  <c r="N25"/>
  <c r="F25"/>
  <c r="E25"/>
  <c r="D25"/>
  <c r="C25"/>
  <c r="B25"/>
  <c r="AH24"/>
  <c r="AG24"/>
  <c r="AF24"/>
  <c r="AE24"/>
  <c r="AD24"/>
  <c r="AB24"/>
  <c r="AA24"/>
  <c r="Z24"/>
  <c r="Y24"/>
  <c r="X24"/>
  <c r="Q24"/>
  <c r="P24"/>
  <c r="O24"/>
  <c r="N24"/>
  <c r="F24"/>
  <c r="E24"/>
  <c r="D24"/>
  <c r="C24"/>
  <c r="B24"/>
  <c r="AH23"/>
  <c r="AG23"/>
  <c r="AF23"/>
  <c r="AE23"/>
  <c r="AD23"/>
  <c r="AB23"/>
  <c r="AA23"/>
  <c r="Z23"/>
  <c r="Y23"/>
  <c r="X23"/>
  <c r="Q23"/>
  <c r="P23"/>
  <c r="O23"/>
  <c r="N23"/>
  <c r="F23"/>
  <c r="E23"/>
  <c r="D23"/>
  <c r="C23"/>
  <c r="B23"/>
  <c r="AH22"/>
  <c r="AG22"/>
  <c r="AF22"/>
  <c r="AE22"/>
  <c r="AD22"/>
  <c r="AB22"/>
  <c r="AA22"/>
  <c r="Z22"/>
  <c r="Y22"/>
  <c r="X22"/>
  <c r="Q22"/>
  <c r="P22"/>
  <c r="O22"/>
  <c r="N22"/>
  <c r="D22"/>
  <c r="AH21"/>
  <c r="AG21"/>
  <c r="AF21"/>
  <c r="AE21"/>
  <c r="AD21"/>
  <c r="AB21"/>
  <c r="AA21"/>
  <c r="Z21"/>
  <c r="Y21"/>
  <c r="X21"/>
  <c r="V21"/>
  <c r="U21"/>
  <c r="T21"/>
  <c r="S21"/>
  <c r="Q21"/>
  <c r="P21"/>
  <c r="O21"/>
  <c r="N21"/>
  <c r="F21"/>
  <c r="E21"/>
  <c r="D21"/>
  <c r="C21"/>
  <c r="B21"/>
  <c r="AH20"/>
  <c r="AG20"/>
  <c r="AF20"/>
  <c r="AE20"/>
  <c r="AD20"/>
  <c r="AB20"/>
  <c r="AA20"/>
  <c r="Z20"/>
  <c r="Y20"/>
  <c r="X20"/>
  <c r="Q20"/>
  <c r="P20"/>
  <c r="O20"/>
  <c r="N20"/>
  <c r="F20"/>
  <c r="E20"/>
  <c r="D20"/>
  <c r="C20"/>
  <c r="B20"/>
  <c r="AH19"/>
  <c r="AG19"/>
  <c r="AF19"/>
  <c r="AE19"/>
  <c r="AD19"/>
  <c r="AB19"/>
  <c r="AA19"/>
  <c r="Z19"/>
  <c r="Y19"/>
  <c r="X19"/>
  <c r="Q19"/>
  <c r="P19"/>
  <c r="O19"/>
  <c r="N19"/>
  <c r="F19"/>
  <c r="E19"/>
  <c r="D19"/>
  <c r="C19"/>
  <c r="B19"/>
  <c r="AH18"/>
  <c r="AG18"/>
  <c r="AF18"/>
  <c r="AE18"/>
  <c r="AD18"/>
  <c r="AB18"/>
  <c r="AA18"/>
  <c r="Z18"/>
  <c r="Y18"/>
  <c r="X18"/>
  <c r="Q18"/>
  <c r="P18"/>
  <c r="O18"/>
  <c r="N18"/>
  <c r="D18"/>
  <c r="AH17"/>
  <c r="AG17"/>
  <c r="AF17"/>
  <c r="AE17"/>
  <c r="AD17"/>
  <c r="AB17"/>
  <c r="AA17"/>
  <c r="Z17"/>
  <c r="Y17"/>
  <c r="X17"/>
  <c r="V17"/>
  <c r="U17"/>
  <c r="T17"/>
  <c r="S17"/>
  <c r="Q17"/>
  <c r="P17"/>
  <c r="O17"/>
  <c r="N17"/>
  <c r="F17"/>
  <c r="E17"/>
  <c r="D17"/>
  <c r="C17"/>
  <c r="B17"/>
  <c r="AH16"/>
  <c r="AG16"/>
  <c r="AF16"/>
  <c r="AE16"/>
  <c r="AD16"/>
  <c r="AB16"/>
  <c r="AA16"/>
  <c r="Z16"/>
  <c r="Y16"/>
  <c r="X16"/>
  <c r="Q16"/>
  <c r="P16"/>
  <c r="O16"/>
  <c r="N16"/>
  <c r="F16"/>
  <c r="E16"/>
  <c r="D16"/>
  <c r="C16"/>
  <c r="B16"/>
  <c r="AH15"/>
  <c r="AG15"/>
  <c r="AF15"/>
  <c r="AE15"/>
  <c r="AD15"/>
  <c r="AB15"/>
  <c r="AA15"/>
  <c r="Z15"/>
  <c r="Y15"/>
  <c r="X15"/>
  <c r="Q15"/>
  <c r="P15"/>
  <c r="O15"/>
  <c r="N15"/>
  <c r="F15"/>
  <c r="E15"/>
  <c r="D15"/>
  <c r="C15"/>
  <c r="B15"/>
  <c r="AH14"/>
  <c r="AG14"/>
  <c r="AF14"/>
  <c r="AE14"/>
  <c r="AD14"/>
  <c r="AB14"/>
  <c r="AA14"/>
  <c r="Z14"/>
  <c r="Y14"/>
  <c r="X14"/>
  <c r="Q14"/>
  <c r="P14"/>
  <c r="O14"/>
  <c r="N14"/>
  <c r="D14"/>
  <c r="AH13"/>
  <c r="AG13"/>
  <c r="AF13"/>
  <c r="AE13"/>
  <c r="AD13"/>
  <c r="AB13"/>
  <c r="AA13"/>
  <c r="Z13"/>
  <c r="Y13"/>
  <c r="X13"/>
  <c r="V13"/>
  <c r="U13"/>
  <c r="T13"/>
  <c r="S13"/>
  <c r="Q13"/>
  <c r="P13"/>
  <c r="O13"/>
  <c r="N13"/>
  <c r="F13"/>
  <c r="E13"/>
  <c r="D13"/>
  <c r="C13"/>
  <c r="B13"/>
  <c r="AH12"/>
  <c r="AG12"/>
  <c r="AF12"/>
  <c r="AE12"/>
  <c r="AD12"/>
  <c r="AB12"/>
  <c r="AA12"/>
  <c r="Z12"/>
  <c r="Y12"/>
  <c r="X12"/>
  <c r="Q12"/>
  <c r="P12"/>
  <c r="O12"/>
  <c r="N12"/>
  <c r="F12"/>
  <c r="E12"/>
  <c r="D12"/>
  <c r="C12"/>
  <c r="B12"/>
  <c r="AH11"/>
  <c r="AG11"/>
  <c r="AF11"/>
  <c r="AE11"/>
  <c r="AD11"/>
  <c r="AB11"/>
  <c r="AA11"/>
  <c r="Z11"/>
  <c r="Y11"/>
  <c r="X11"/>
  <c r="Q11"/>
  <c r="P11"/>
  <c r="O11"/>
  <c r="N11"/>
  <c r="F11"/>
  <c r="E11"/>
  <c r="D11"/>
  <c r="C11"/>
  <c r="B11"/>
  <c r="AH10"/>
  <c r="AG10"/>
  <c r="AF10"/>
  <c r="AE10"/>
  <c r="AD10"/>
  <c r="AB10"/>
  <c r="AA10"/>
  <c r="Z10"/>
  <c r="Y10"/>
  <c r="X10"/>
  <c r="Q10"/>
  <c r="P10"/>
  <c r="O10"/>
  <c r="N10"/>
  <c r="F10"/>
  <c r="E10"/>
  <c r="D10"/>
  <c r="C10"/>
  <c r="B10"/>
  <c r="AH9"/>
  <c r="AG9"/>
  <c r="AF9"/>
  <c r="AE9"/>
  <c r="AD9"/>
  <c r="AB9"/>
  <c r="AA9"/>
  <c r="Y9"/>
  <c r="Z9"/>
  <c r="X9"/>
  <c r="V9"/>
  <c r="U9"/>
  <c r="T9"/>
  <c r="S9"/>
  <c r="Q9"/>
  <c r="P9"/>
  <c r="O9"/>
  <c r="N9"/>
  <c r="F9"/>
  <c r="E9"/>
  <c r="D9"/>
  <c r="C9"/>
  <c r="B9"/>
  <c r="AH8"/>
  <c r="AG8"/>
  <c r="AF8"/>
  <c r="AE8"/>
  <c r="AD8"/>
  <c r="AB8"/>
  <c r="AA8"/>
  <c r="Y8"/>
  <c r="Z8"/>
  <c r="X8"/>
  <c r="Q8"/>
  <c r="P8"/>
  <c r="O8"/>
  <c r="N8"/>
  <c r="F8"/>
  <c r="E8"/>
  <c r="D8"/>
  <c r="C8"/>
  <c r="B8"/>
  <c r="AH7"/>
  <c r="AG7"/>
  <c r="AF7"/>
  <c r="AE7"/>
  <c r="AD7"/>
  <c r="AB7"/>
  <c r="AA7"/>
  <c r="Y7"/>
  <c r="Z7"/>
  <c r="X7"/>
  <c r="Q7"/>
  <c r="P7"/>
  <c r="O7"/>
  <c r="N7"/>
  <c r="F7"/>
  <c r="E7"/>
  <c r="D7"/>
  <c r="C7"/>
  <c r="B7"/>
  <c r="AH6"/>
  <c r="AG6"/>
  <c r="AF6"/>
  <c r="AE6"/>
  <c r="AD6"/>
  <c r="AB6"/>
  <c r="AA6"/>
  <c r="Y6"/>
  <c r="Z6"/>
  <c r="X6"/>
  <c r="Q6"/>
  <c r="P6"/>
  <c r="O6"/>
  <c r="N6"/>
  <c r="F6"/>
  <c r="E6"/>
  <c r="D6"/>
  <c r="C6"/>
  <c r="B6"/>
  <c r="L3"/>
  <c r="AH3"/>
  <c r="K3"/>
  <c r="AG3"/>
  <c r="J3"/>
  <c r="AE3"/>
  <c r="AF3"/>
  <c r="I3"/>
  <c r="AD3"/>
  <c r="AB3"/>
  <c r="AA3"/>
  <c r="Y3"/>
  <c r="Z3"/>
  <c r="X3"/>
  <c r="E13" i="76"/>
  <c r="B13"/>
  <c r="E12"/>
  <c r="B12"/>
  <c r="E11"/>
  <c r="B11"/>
  <c r="E10"/>
  <c r="B10"/>
  <c r="E9"/>
  <c r="B9"/>
  <c r="E8"/>
  <c r="B8"/>
  <c r="E7"/>
  <c r="B7"/>
  <c r="D5" i="43"/>
  <c r="F33"/>
  <c r="C33"/>
  <c r="E33"/>
  <c r="F34"/>
  <c r="C34"/>
  <c r="E34"/>
  <c r="F35"/>
  <c r="C35"/>
  <c r="E35"/>
  <c r="F36"/>
  <c r="C36"/>
  <c r="E36"/>
  <c r="F37"/>
  <c r="C37"/>
  <c r="E37"/>
  <c r="E41"/>
  <c r="C41"/>
  <c r="F38"/>
  <c r="C38"/>
  <c r="E38"/>
  <c r="F39"/>
  <c r="C39"/>
  <c r="E39"/>
  <c r="C26"/>
  <c r="C30"/>
  <c r="E30"/>
  <c r="G33"/>
  <c r="I33"/>
  <c r="G34"/>
  <c r="I34"/>
  <c r="G35"/>
  <c r="I35"/>
  <c r="G36"/>
  <c r="I36"/>
  <c r="G37"/>
  <c r="I37"/>
  <c r="G38"/>
  <c r="I38"/>
  <c r="G39"/>
  <c r="I39"/>
  <c r="C27"/>
  <c r="D1"/>
  <c r="C10"/>
  <c r="C11"/>
  <c r="E8"/>
  <c r="E9"/>
  <c r="E10"/>
  <c r="E11"/>
  <c r="C9"/>
  <c r="C7"/>
  <c r="B2"/>
  <c r="B6" i="76"/>
  <c r="B2"/>
  <c r="N104" i="46"/>
  <c r="M15" i="45"/>
  <c r="L15"/>
  <c r="K15"/>
  <c r="J15"/>
  <c r="I15"/>
  <c r="H15"/>
  <c r="G15"/>
  <c r="F15"/>
  <c r="E15"/>
  <c r="D15"/>
  <c r="C15"/>
  <c r="B15"/>
  <c r="B113" i="43"/>
  <c r="I118"/>
  <c r="J118"/>
  <c r="K118"/>
  <c r="L118"/>
  <c r="M118"/>
  <c r="G118"/>
  <c r="H118"/>
  <c r="D118"/>
  <c r="E118"/>
  <c r="F118"/>
  <c r="B118"/>
  <c r="C118"/>
  <c r="I117"/>
  <c r="J117"/>
  <c r="K117"/>
  <c r="L117"/>
  <c r="M117"/>
  <c r="D117"/>
  <c r="E117"/>
  <c r="F117"/>
  <c r="G117"/>
  <c r="H117"/>
  <c r="B117"/>
  <c r="C117"/>
  <c r="I116"/>
  <c r="J116"/>
  <c r="K116"/>
  <c r="L116"/>
  <c r="M116"/>
  <c r="D116"/>
  <c r="E116"/>
  <c r="F116"/>
  <c r="G116"/>
  <c r="H116"/>
  <c r="B116"/>
  <c r="C116"/>
  <c r="I115"/>
  <c r="J115"/>
  <c r="K115"/>
  <c r="L115"/>
  <c r="M115"/>
  <c r="D115"/>
  <c r="E115"/>
  <c r="F115"/>
  <c r="G115"/>
  <c r="H115"/>
  <c r="B115"/>
  <c r="C115"/>
  <c r="H113"/>
  <c r="F113"/>
  <c r="D113"/>
  <c r="N101"/>
  <c r="N109"/>
  <c r="M101"/>
  <c r="M109"/>
  <c r="L101"/>
  <c r="L109"/>
  <c r="K101"/>
  <c r="K109"/>
  <c r="J101"/>
  <c r="J109"/>
  <c r="I101"/>
  <c r="I109"/>
  <c r="H101"/>
  <c r="H109"/>
  <c r="G101"/>
  <c r="G109"/>
  <c r="F101"/>
  <c r="F109"/>
  <c r="E101"/>
  <c r="E109"/>
  <c r="D101"/>
  <c r="D109"/>
  <c r="C101"/>
  <c r="C109"/>
  <c r="N108"/>
  <c r="M108"/>
  <c r="L108"/>
  <c r="K108"/>
  <c r="J108"/>
  <c r="I108"/>
  <c r="H108"/>
  <c r="G108"/>
  <c r="F108"/>
  <c r="E108"/>
  <c r="D108"/>
  <c r="C108"/>
  <c r="N107"/>
  <c r="M107"/>
  <c r="L107"/>
  <c r="K107"/>
  <c r="J107"/>
  <c r="I107"/>
  <c r="H107"/>
  <c r="G107"/>
  <c r="F107"/>
  <c r="E107"/>
  <c r="D107"/>
  <c r="C107"/>
  <c r="N106"/>
  <c r="M106"/>
  <c r="L106"/>
  <c r="K106"/>
  <c r="J106"/>
  <c r="I106"/>
  <c r="H106"/>
  <c r="G106"/>
  <c r="F106"/>
  <c r="E106"/>
  <c r="D106"/>
  <c r="C106"/>
  <c r="N105"/>
  <c r="M105"/>
  <c r="L105"/>
  <c r="K105"/>
  <c r="J105"/>
  <c r="I105"/>
  <c r="H105"/>
  <c r="G105"/>
  <c r="F105"/>
  <c r="E105"/>
  <c r="D105"/>
  <c r="C105"/>
  <c r="N104"/>
  <c r="M104"/>
  <c r="L104"/>
  <c r="K104"/>
  <c r="J104"/>
  <c r="I104"/>
  <c r="H104"/>
  <c r="G104"/>
  <c r="F104"/>
  <c r="E104"/>
  <c r="D104"/>
  <c r="C104"/>
  <c r="N103"/>
  <c r="M103"/>
  <c r="L103"/>
  <c r="K103"/>
  <c r="J103"/>
  <c r="I103"/>
  <c r="H103"/>
  <c r="G103"/>
  <c r="F103"/>
  <c r="E103"/>
  <c r="D103"/>
  <c r="C103"/>
  <c r="N102"/>
  <c r="M102"/>
  <c r="L102"/>
  <c r="K102"/>
  <c r="J102"/>
  <c r="I102"/>
  <c r="H102"/>
  <c r="G102"/>
  <c r="F102"/>
  <c r="E102"/>
  <c r="D102"/>
  <c r="C102"/>
  <c r="N100"/>
  <c r="M100"/>
  <c r="L100"/>
  <c r="K100"/>
  <c r="J100"/>
  <c r="I100"/>
  <c r="H100"/>
  <c r="G100"/>
  <c r="F100"/>
  <c r="E100"/>
  <c r="D100"/>
  <c r="C100"/>
  <c r="N99"/>
  <c r="M99"/>
  <c r="L99"/>
  <c r="K99"/>
  <c r="J99"/>
  <c r="I99"/>
  <c r="H99"/>
  <c r="G99"/>
  <c r="F99"/>
  <c r="E99"/>
  <c r="D99"/>
  <c r="C99"/>
  <c r="N88"/>
  <c r="M88"/>
  <c r="K88"/>
  <c r="J88"/>
  <c r="N9"/>
  <c r="F81"/>
  <c r="H88"/>
  <c r="D88"/>
  <c r="B88"/>
  <c r="N87"/>
  <c r="M87"/>
  <c r="K87"/>
  <c r="J87"/>
  <c r="H87"/>
  <c r="D87"/>
  <c r="N86"/>
  <c r="M86"/>
  <c r="K86"/>
  <c r="J86"/>
  <c r="H86"/>
  <c r="D86"/>
  <c r="B86"/>
  <c r="N85"/>
  <c r="M85"/>
  <c r="K85"/>
  <c r="J85"/>
  <c r="H85"/>
  <c r="D85"/>
  <c r="B85"/>
  <c r="N84"/>
  <c r="M84"/>
  <c r="K84"/>
  <c r="J84"/>
  <c r="H84"/>
  <c r="D84"/>
  <c r="B84"/>
  <c r="N83"/>
  <c r="M83"/>
  <c r="K83"/>
  <c r="J83"/>
  <c r="H83"/>
  <c r="D83"/>
  <c r="B83"/>
  <c r="N82"/>
  <c r="M82"/>
  <c r="K82"/>
  <c r="J82"/>
  <c r="H82"/>
  <c r="D82"/>
  <c r="B82"/>
  <c r="N81"/>
  <c r="M81"/>
  <c r="K81"/>
  <c r="J81"/>
  <c r="H81"/>
  <c r="E81"/>
  <c r="D81"/>
  <c r="B81"/>
  <c r="B79"/>
  <c r="N78"/>
  <c r="M78"/>
  <c r="K78"/>
  <c r="J78"/>
  <c r="F70"/>
  <c r="H78"/>
  <c r="D78"/>
  <c r="N77"/>
  <c r="M77"/>
  <c r="K77"/>
  <c r="J77"/>
  <c r="H77"/>
  <c r="D77"/>
  <c r="B77"/>
  <c r="N76"/>
  <c r="M76"/>
  <c r="K76"/>
  <c r="J76"/>
  <c r="H76"/>
  <c r="D76"/>
  <c r="N75"/>
  <c r="M75"/>
  <c r="K75"/>
  <c r="J75"/>
  <c r="H75"/>
  <c r="D75"/>
  <c r="B75"/>
  <c r="N74"/>
  <c r="M74"/>
  <c r="K74"/>
  <c r="J74"/>
  <c r="H74"/>
  <c r="D74"/>
  <c r="B74"/>
  <c r="N73"/>
  <c r="M73"/>
  <c r="K73"/>
  <c r="J73"/>
  <c r="H73"/>
  <c r="D73"/>
  <c r="B73"/>
  <c r="N72"/>
  <c r="M72"/>
  <c r="K72"/>
  <c r="J72"/>
  <c r="H72"/>
  <c r="D72"/>
  <c r="B72"/>
  <c r="N71"/>
  <c r="M71"/>
  <c r="K71"/>
  <c r="J71"/>
  <c r="H71"/>
  <c r="D71"/>
  <c r="B71"/>
  <c r="N70"/>
  <c r="M70"/>
  <c r="K70"/>
  <c r="J70"/>
  <c r="H70"/>
  <c r="E70"/>
  <c r="D70"/>
  <c r="B70"/>
  <c r="B68"/>
  <c r="N67"/>
  <c r="M67"/>
  <c r="K67"/>
  <c r="J67"/>
  <c r="F59"/>
  <c r="H67"/>
  <c r="D67"/>
  <c r="B67"/>
  <c r="N66"/>
  <c r="M66"/>
  <c r="K66"/>
  <c r="J66"/>
  <c r="H66"/>
  <c r="D66"/>
  <c r="B66"/>
  <c r="N65"/>
  <c r="M65"/>
  <c r="K65"/>
  <c r="J65"/>
  <c r="H65"/>
  <c r="D65"/>
  <c r="B65"/>
  <c r="N64"/>
  <c r="M64"/>
  <c r="K64"/>
  <c r="J64"/>
  <c r="H64"/>
  <c r="D64"/>
  <c r="N63"/>
  <c r="M63"/>
  <c r="K63"/>
  <c r="J63"/>
  <c r="H63"/>
  <c r="D63"/>
  <c r="B63"/>
  <c r="N62"/>
  <c r="M62"/>
  <c r="K62"/>
  <c r="J62"/>
  <c r="H62"/>
  <c r="D62"/>
  <c r="N61"/>
  <c r="M61"/>
  <c r="K61"/>
  <c r="J61"/>
  <c r="H61"/>
  <c r="D61"/>
  <c r="B61"/>
  <c r="N60"/>
  <c r="M60"/>
  <c r="K60"/>
  <c r="J60"/>
  <c r="H60"/>
  <c r="D60"/>
  <c r="B60"/>
  <c r="N59"/>
  <c r="M59"/>
  <c r="K59"/>
  <c r="J59"/>
  <c r="H59"/>
  <c r="E59"/>
  <c r="D59"/>
  <c r="B59"/>
  <c r="B57"/>
  <c r="N56"/>
  <c r="M56"/>
  <c r="K56"/>
  <c r="J56"/>
  <c r="F48"/>
  <c r="H56"/>
  <c r="D56"/>
  <c r="B56"/>
  <c r="N55"/>
  <c r="M55"/>
  <c r="K55"/>
  <c r="J55"/>
  <c r="H55"/>
  <c r="D55"/>
  <c r="B55"/>
  <c r="N54"/>
  <c r="M54"/>
  <c r="K54"/>
  <c r="J54"/>
  <c r="H54"/>
  <c r="D54"/>
  <c r="B54"/>
  <c r="N53"/>
  <c r="M53"/>
  <c r="K53"/>
  <c r="J53"/>
  <c r="H53"/>
  <c r="D53"/>
  <c r="N52"/>
  <c r="M52"/>
  <c r="K52"/>
  <c r="J52"/>
  <c r="H52"/>
  <c r="D52"/>
  <c r="B52"/>
  <c r="N51"/>
  <c r="M51"/>
  <c r="K51"/>
  <c r="J51"/>
  <c r="H51"/>
  <c r="D51"/>
  <c r="N50"/>
  <c r="M50"/>
  <c r="K50"/>
  <c r="J50"/>
  <c r="H50"/>
  <c r="D50"/>
  <c r="B50"/>
  <c r="N49"/>
  <c r="M49"/>
  <c r="K49"/>
  <c r="J49"/>
  <c r="H49"/>
  <c r="D49"/>
  <c r="B49"/>
  <c r="N48"/>
  <c r="M48"/>
  <c r="K48"/>
  <c r="J48"/>
  <c r="H48"/>
  <c r="E48"/>
  <c r="D48"/>
  <c r="B48"/>
  <c r="B46"/>
  <c r="H39"/>
  <c r="H38"/>
  <c r="H37"/>
  <c r="H36"/>
  <c r="H35"/>
  <c r="H34"/>
  <c r="H33"/>
  <c r="O28"/>
  <c r="N28"/>
  <c r="M28"/>
  <c r="P25"/>
  <c r="P24"/>
  <c r="P23"/>
  <c r="P22"/>
  <c r="J22"/>
  <c r="P21"/>
  <c r="J20"/>
  <c r="O19"/>
  <c r="D17"/>
  <c r="T16"/>
  <c r="V16"/>
  <c r="T15"/>
  <c r="V15"/>
  <c r="F15"/>
  <c r="E15"/>
  <c r="D15"/>
  <c r="C15"/>
  <c r="T14"/>
  <c r="V14"/>
  <c r="AJ11"/>
  <c r="AJ13"/>
  <c r="AI11"/>
  <c r="AI13"/>
  <c r="AH11"/>
  <c r="AH13"/>
  <c r="AG11"/>
  <c r="AG13"/>
  <c r="AF11"/>
  <c r="AF13"/>
  <c r="AE11"/>
  <c r="AE13"/>
  <c r="AD11"/>
  <c r="AD13"/>
  <c r="AC11"/>
  <c r="AC13"/>
  <c r="AB11"/>
  <c r="AB13"/>
  <c r="AA11"/>
  <c r="AA13"/>
  <c r="Z11"/>
  <c r="Z13"/>
  <c r="Y11"/>
  <c r="Y13"/>
  <c r="T13"/>
  <c r="V13"/>
  <c r="AJ12"/>
  <c r="AI12"/>
  <c r="AH12"/>
  <c r="AG12"/>
  <c r="AF12"/>
  <c r="AE12"/>
  <c r="AD12"/>
  <c r="AC12"/>
  <c r="AB12"/>
  <c r="AA12"/>
  <c r="Z12"/>
  <c r="Y12"/>
  <c r="T12"/>
  <c r="V12"/>
  <c r="N12"/>
  <c r="M12"/>
  <c r="C12"/>
  <c r="T11"/>
  <c r="V11"/>
  <c r="N11"/>
  <c r="M11"/>
  <c r="AJ10"/>
  <c r="AI10"/>
  <c r="AH10"/>
  <c r="AG10"/>
  <c r="AF10"/>
  <c r="AE10"/>
  <c r="AD10"/>
  <c r="AC10"/>
  <c r="AB10"/>
  <c r="AA10"/>
  <c r="Z10"/>
  <c r="Y10"/>
  <c r="T10"/>
  <c r="V10"/>
  <c r="N10"/>
  <c r="M10"/>
  <c r="AJ9"/>
  <c r="AI9"/>
  <c r="AH9"/>
  <c r="AG9"/>
  <c r="AF9"/>
  <c r="AE9"/>
  <c r="AD9"/>
  <c r="AC9"/>
  <c r="AB9"/>
  <c r="AA9"/>
  <c r="Z9"/>
  <c r="T9"/>
  <c r="V9"/>
  <c r="T8"/>
  <c r="V8"/>
  <c r="N8"/>
  <c r="M8"/>
  <c r="Z7"/>
  <c r="X7"/>
  <c r="S7"/>
  <c r="T7"/>
  <c r="V7"/>
  <c r="N7"/>
  <c r="M7"/>
  <c r="A7"/>
  <c r="S6"/>
  <c r="T6"/>
  <c r="V6"/>
  <c r="N6"/>
  <c r="M6"/>
  <c r="S5"/>
  <c r="T5"/>
  <c r="V5"/>
  <c r="N5"/>
  <c r="M5"/>
  <c r="S4"/>
  <c r="T4"/>
  <c r="V4"/>
  <c r="N4"/>
  <c r="M4"/>
  <c r="S3"/>
  <c r="T3"/>
  <c r="V3"/>
  <c r="N3"/>
  <c r="M3"/>
  <c r="B3"/>
  <c r="S2"/>
  <c r="T2"/>
  <c r="V2"/>
  <c r="N2"/>
  <c r="M2"/>
  <c r="N1"/>
  <c r="M1"/>
  <c r="F30" i="68"/>
  <c r="C48"/>
  <c r="G41"/>
  <c r="C30"/>
  <c r="G22"/>
  <c r="E19"/>
  <c r="E10"/>
  <c r="C10"/>
  <c r="E9"/>
  <c r="C9"/>
  <c r="E2"/>
  <c r="G1"/>
  <c r="B120" i="40"/>
  <c r="B118"/>
  <c r="B116"/>
  <c r="M115"/>
  <c r="L115"/>
  <c r="K115"/>
  <c r="J115"/>
  <c r="I115"/>
  <c r="H115"/>
  <c r="G115"/>
  <c r="F115"/>
  <c r="E115"/>
  <c r="D115"/>
  <c r="M113"/>
  <c r="L113"/>
  <c r="K113"/>
  <c r="J113"/>
  <c r="I113"/>
  <c r="H113"/>
  <c r="G113"/>
  <c r="F113"/>
  <c r="E113"/>
  <c r="D113"/>
  <c r="M111"/>
  <c r="L111"/>
  <c r="K111"/>
  <c r="J111"/>
  <c r="I111"/>
  <c r="H111"/>
  <c r="G111"/>
  <c r="F111"/>
  <c r="E111"/>
  <c r="D111"/>
  <c r="M107"/>
  <c r="L107"/>
  <c r="K107"/>
  <c r="J107"/>
  <c r="I107"/>
  <c r="H107"/>
  <c r="G107"/>
  <c r="F107"/>
  <c r="E107"/>
  <c r="D107"/>
  <c r="C107"/>
  <c r="B105"/>
  <c r="B103"/>
  <c r="B101"/>
  <c r="M100"/>
  <c r="L100"/>
  <c r="K100"/>
  <c r="J100"/>
  <c r="I100"/>
  <c r="H100"/>
  <c r="G100"/>
  <c r="F100"/>
  <c r="E100"/>
  <c r="D100"/>
  <c r="M98"/>
  <c r="L98"/>
  <c r="K98"/>
  <c r="J98"/>
  <c r="I98"/>
  <c r="H98"/>
  <c r="G98"/>
  <c r="F98"/>
  <c r="E98"/>
  <c r="D98"/>
  <c r="M96"/>
  <c r="L96"/>
  <c r="K96"/>
  <c r="J96"/>
  <c r="I96"/>
  <c r="H96"/>
  <c r="G96"/>
  <c r="F96"/>
  <c r="E96"/>
  <c r="D96"/>
  <c r="B95"/>
  <c r="G94"/>
  <c r="F94"/>
  <c r="E94"/>
  <c r="D94"/>
  <c r="G92"/>
  <c r="F92"/>
  <c r="E92"/>
  <c r="D92"/>
  <c r="G90"/>
  <c r="F90"/>
  <c r="E90"/>
  <c r="D90"/>
  <c r="G88"/>
  <c r="F88"/>
  <c r="E88"/>
  <c r="D88"/>
  <c r="G86"/>
  <c r="F86"/>
  <c r="E86"/>
  <c r="D86"/>
  <c r="G84"/>
  <c r="F84"/>
  <c r="E84"/>
  <c r="D84"/>
  <c r="B81"/>
  <c r="B79"/>
  <c r="B77"/>
  <c r="M76"/>
  <c r="L76"/>
  <c r="K76"/>
  <c r="J76"/>
  <c r="I76"/>
  <c r="H76"/>
  <c r="G76"/>
  <c r="F76"/>
  <c r="E76"/>
  <c r="D76"/>
  <c r="M74"/>
  <c r="L74"/>
  <c r="K74"/>
  <c r="J74"/>
  <c r="I74"/>
  <c r="H74"/>
  <c r="G74"/>
  <c r="F74"/>
  <c r="E74"/>
  <c r="D74"/>
  <c r="C74"/>
  <c r="B66"/>
  <c r="C7"/>
  <c r="C63"/>
  <c r="D63"/>
  <c r="E63"/>
  <c r="F63"/>
  <c r="G63"/>
  <c r="H63"/>
  <c r="I63"/>
  <c r="J63"/>
  <c r="K63"/>
  <c r="L63"/>
  <c r="M63"/>
  <c r="N63"/>
  <c r="O63"/>
  <c r="O65"/>
  <c r="N65"/>
  <c r="M65"/>
  <c r="L65"/>
  <c r="K65"/>
  <c r="J65"/>
  <c r="I65"/>
  <c r="H65"/>
  <c r="G65"/>
  <c r="F65"/>
  <c r="E65"/>
  <c r="D65"/>
  <c r="C65"/>
  <c r="F7"/>
  <c r="AA7"/>
  <c r="R42"/>
  <c r="R43"/>
  <c r="C43"/>
  <c r="E61"/>
  <c r="F61"/>
  <c r="H60"/>
  <c r="I60"/>
  <c r="C60"/>
  <c r="B60"/>
  <c r="E15" i="6"/>
  <c r="E60" i="40"/>
  <c r="F60"/>
  <c r="H59"/>
  <c r="I59"/>
  <c r="C59"/>
  <c r="B59"/>
  <c r="E14" i="6"/>
  <c r="E59" i="40"/>
  <c r="F59"/>
  <c r="H58"/>
  <c r="I58"/>
  <c r="C58"/>
  <c r="B58"/>
  <c r="E13" i="6"/>
  <c r="E58" i="40"/>
  <c r="F58"/>
  <c r="H57"/>
  <c r="I57"/>
  <c r="C57"/>
  <c r="B57"/>
  <c r="E12" i="6"/>
  <c r="E57" i="40"/>
  <c r="F57"/>
  <c r="H56"/>
  <c r="I56"/>
  <c r="C56"/>
  <c r="B56"/>
  <c r="E11" i="6"/>
  <c r="E56" i="40"/>
  <c r="F56"/>
  <c r="H55"/>
  <c r="I55"/>
  <c r="C55"/>
  <c r="B55"/>
  <c r="F55"/>
  <c r="H54"/>
  <c r="I54"/>
  <c r="C54"/>
  <c r="B54"/>
  <c r="F54"/>
  <c r="H53"/>
  <c r="I53"/>
  <c r="C53"/>
  <c r="B53"/>
  <c r="F53"/>
  <c r="H52"/>
  <c r="I52"/>
  <c r="C52"/>
  <c r="B52"/>
  <c r="F52"/>
  <c r="B51"/>
  <c r="E51"/>
  <c r="F51"/>
  <c r="J50"/>
  <c r="J48"/>
  <c r="I48"/>
  <c r="H48"/>
  <c r="G48"/>
  <c r="F48"/>
  <c r="E48"/>
  <c r="J7"/>
  <c r="AC7"/>
  <c r="V42"/>
  <c r="I42"/>
  <c r="E42"/>
  <c r="I47"/>
  <c r="J47"/>
  <c r="H7"/>
  <c r="AB7"/>
  <c r="T42"/>
  <c r="G42"/>
  <c r="G47"/>
  <c r="H47"/>
  <c r="E47"/>
  <c r="F47"/>
  <c r="I46"/>
  <c r="J46"/>
  <c r="G46"/>
  <c r="H46"/>
  <c r="E46"/>
  <c r="F46"/>
  <c r="P43"/>
  <c r="P42"/>
  <c r="C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C30"/>
  <c r="J30"/>
  <c r="AC30"/>
  <c r="H30"/>
  <c r="AB30"/>
  <c r="F30"/>
  <c r="AA30"/>
  <c r="Z30"/>
  <c r="W30"/>
  <c r="U30"/>
  <c r="S30"/>
  <c r="Q30"/>
  <c r="AC28"/>
  <c r="AB28"/>
  <c r="AA28"/>
  <c r="Z28"/>
  <c r="W28"/>
  <c r="U28"/>
  <c r="S28"/>
  <c r="Q28"/>
  <c r="J28"/>
  <c r="H28"/>
  <c r="F28"/>
  <c r="C28"/>
  <c r="AC27"/>
  <c r="AB27"/>
  <c r="AA27"/>
  <c r="Z27"/>
  <c r="W27"/>
  <c r="U27"/>
  <c r="S27"/>
  <c r="Q27"/>
  <c r="J27"/>
  <c r="H27"/>
  <c r="F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H6" i="1"/>
  <c r="D6"/>
  <c r="G6"/>
  <c r="D7"/>
  <c r="F7"/>
  <c r="G7"/>
  <c r="D8"/>
  <c r="F8"/>
  <c r="G8"/>
  <c r="D9"/>
  <c r="F9"/>
  <c r="G9"/>
  <c r="D10"/>
  <c r="F10"/>
  <c r="G10"/>
  <c r="D11"/>
  <c r="F11"/>
  <c r="G11"/>
  <c r="D12"/>
  <c r="F12"/>
  <c r="G12"/>
  <c r="D13"/>
  <c r="F13"/>
  <c r="G13"/>
  <c r="G16"/>
  <c r="J10" i="40"/>
  <c r="AC10"/>
  <c r="H10"/>
  <c r="AB10"/>
  <c r="F10"/>
  <c r="AA10"/>
  <c r="Z10"/>
  <c r="W10"/>
  <c r="U10"/>
  <c r="S10"/>
  <c r="Q10"/>
  <c r="AC9"/>
  <c r="AB9"/>
  <c r="AA9"/>
  <c r="Z9"/>
  <c r="W9"/>
  <c r="U9"/>
  <c r="S9"/>
  <c r="Q9"/>
  <c r="J9"/>
  <c r="H9"/>
  <c r="F9"/>
  <c r="AC8"/>
  <c r="AB8"/>
  <c r="AA8"/>
  <c r="W8"/>
  <c r="U8"/>
  <c r="S8"/>
  <c r="J8"/>
  <c r="H8"/>
  <c r="F8"/>
  <c r="W7"/>
  <c r="U7"/>
  <c r="S7"/>
  <c r="B2"/>
  <c r="B3"/>
  <c r="B131" i="39"/>
  <c r="B129"/>
  <c r="B127"/>
  <c r="M126"/>
  <c r="L126"/>
  <c r="K126"/>
  <c r="J126"/>
  <c r="I126"/>
  <c r="H126"/>
  <c r="G126"/>
  <c r="F126"/>
  <c r="E126"/>
  <c r="D126"/>
  <c r="M124"/>
  <c r="L124"/>
  <c r="K124"/>
  <c r="J124"/>
  <c r="I124"/>
  <c r="H124"/>
  <c r="G124"/>
  <c r="F124"/>
  <c r="E124"/>
  <c r="D124"/>
  <c r="M122"/>
  <c r="L122"/>
  <c r="K122"/>
  <c r="J122"/>
  <c r="I122"/>
  <c r="H122"/>
  <c r="G122"/>
  <c r="F122"/>
  <c r="E122"/>
  <c r="D122"/>
  <c r="M120"/>
  <c r="L120"/>
  <c r="K120"/>
  <c r="J120"/>
  <c r="I120"/>
  <c r="H120"/>
  <c r="G120"/>
  <c r="F120"/>
  <c r="E120"/>
  <c r="D120"/>
  <c r="M116"/>
  <c r="L116"/>
  <c r="K116"/>
  <c r="J116"/>
  <c r="I116"/>
  <c r="H116"/>
  <c r="G116"/>
  <c r="F116"/>
  <c r="E116"/>
  <c r="D116"/>
  <c r="C116"/>
  <c r="B114"/>
  <c r="B112"/>
  <c r="B110"/>
  <c r="M109"/>
  <c r="L109"/>
  <c r="K109"/>
  <c r="J109"/>
  <c r="I109"/>
  <c r="H109"/>
  <c r="G109"/>
  <c r="F109"/>
  <c r="E109"/>
  <c r="D109"/>
  <c r="M107"/>
  <c r="L107"/>
  <c r="K107"/>
  <c r="J107"/>
  <c r="I107"/>
  <c r="H107"/>
  <c r="G107"/>
  <c r="F107"/>
  <c r="E107"/>
  <c r="D107"/>
  <c r="M105"/>
  <c r="L105"/>
  <c r="K105"/>
  <c r="J105"/>
  <c r="I105"/>
  <c r="H105"/>
  <c r="G105"/>
  <c r="F105"/>
  <c r="E105"/>
  <c r="D105"/>
  <c r="B104"/>
  <c r="G103"/>
  <c r="F103"/>
  <c r="E103"/>
  <c r="D103"/>
  <c r="G101"/>
  <c r="F101"/>
  <c r="E101"/>
  <c r="D101"/>
  <c r="G99"/>
  <c r="F99"/>
  <c r="E99"/>
  <c r="D99"/>
  <c r="G97"/>
  <c r="F97"/>
  <c r="E97"/>
  <c r="D97"/>
  <c r="G95"/>
  <c r="F95"/>
  <c r="E95"/>
  <c r="D95"/>
  <c r="G93"/>
  <c r="F93"/>
  <c r="E93"/>
  <c r="D93"/>
  <c r="G91"/>
  <c r="F91"/>
  <c r="E91"/>
  <c r="D91"/>
  <c r="G89"/>
  <c r="F89"/>
  <c r="E89"/>
  <c r="D89"/>
  <c r="B86"/>
  <c r="B84"/>
  <c r="B82"/>
  <c r="M81"/>
  <c r="L81"/>
  <c r="K81"/>
  <c r="J81"/>
  <c r="I81"/>
  <c r="H81"/>
  <c r="G81"/>
  <c r="F81"/>
  <c r="E81"/>
  <c r="D81"/>
  <c r="M79"/>
  <c r="L79"/>
  <c r="K79"/>
  <c r="J79"/>
  <c r="I79"/>
  <c r="H79"/>
  <c r="G79"/>
  <c r="F79"/>
  <c r="E79"/>
  <c r="D79"/>
  <c r="C79"/>
  <c r="B71"/>
  <c r="C7"/>
  <c r="C68"/>
  <c r="D68"/>
  <c r="E68"/>
  <c r="F68"/>
  <c r="G68"/>
  <c r="H68"/>
  <c r="I68"/>
  <c r="J68"/>
  <c r="K68"/>
  <c r="L68"/>
  <c r="M68"/>
  <c r="N68"/>
  <c r="O68"/>
  <c r="O70"/>
  <c r="N70"/>
  <c r="M70"/>
  <c r="L70"/>
  <c r="K70"/>
  <c r="J70"/>
  <c r="I70"/>
  <c r="H70"/>
  <c r="G70"/>
  <c r="F70"/>
  <c r="E70"/>
  <c r="D70"/>
  <c r="C70"/>
  <c r="F7"/>
  <c r="AA7"/>
  <c r="R47"/>
  <c r="R48"/>
  <c r="C48"/>
  <c r="B56"/>
  <c r="E56"/>
  <c r="F56"/>
  <c r="F66"/>
  <c r="E61"/>
  <c r="E62"/>
  <c r="E63"/>
  <c r="E64"/>
  <c r="E65"/>
  <c r="E66"/>
  <c r="H65"/>
  <c r="I65"/>
  <c r="C65"/>
  <c r="B65"/>
  <c r="F65"/>
  <c r="H64"/>
  <c r="I64"/>
  <c r="C64"/>
  <c r="B64"/>
  <c r="F64"/>
  <c r="H63"/>
  <c r="I63"/>
  <c r="C63"/>
  <c r="B63"/>
  <c r="F63"/>
  <c r="H62"/>
  <c r="I62"/>
  <c r="C62"/>
  <c r="B62"/>
  <c r="F62"/>
  <c r="H61"/>
  <c r="I61"/>
  <c r="C61"/>
  <c r="B61"/>
  <c r="F61"/>
  <c r="H60"/>
  <c r="I60"/>
  <c r="C60"/>
  <c r="B60"/>
  <c r="F60"/>
  <c r="H59"/>
  <c r="I59"/>
  <c r="C59"/>
  <c r="B59"/>
  <c r="F59"/>
  <c r="H58"/>
  <c r="I58"/>
  <c r="C58"/>
  <c r="B58"/>
  <c r="F58"/>
  <c r="H57"/>
  <c r="I57"/>
  <c r="C57"/>
  <c r="B57"/>
  <c r="F57"/>
  <c r="J55"/>
  <c r="J53"/>
  <c r="I53"/>
  <c r="H53"/>
  <c r="G53"/>
  <c r="F53"/>
  <c r="E53"/>
  <c r="J7"/>
  <c r="AC7"/>
  <c r="V47"/>
  <c r="I47"/>
  <c r="E47"/>
  <c r="I52"/>
  <c r="J52"/>
  <c r="H7"/>
  <c r="AB7"/>
  <c r="T47"/>
  <c r="G47"/>
  <c r="G52"/>
  <c r="H52"/>
  <c r="E52"/>
  <c r="F52"/>
  <c r="I51"/>
  <c r="J51"/>
  <c r="G51"/>
  <c r="H51"/>
  <c r="E51"/>
  <c r="F51"/>
  <c r="P48"/>
  <c r="P47"/>
  <c r="C47"/>
  <c r="V46"/>
  <c r="T46"/>
  <c r="R46"/>
  <c r="P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2"/>
  <c r="AB32"/>
  <c r="AA32"/>
  <c r="Z32"/>
  <c r="W32"/>
  <c r="U32"/>
  <c r="S32"/>
  <c r="Q32"/>
  <c r="J32"/>
  <c r="H32"/>
  <c r="F32"/>
  <c r="AC31"/>
  <c r="AB31"/>
  <c r="AA31"/>
  <c r="Z31"/>
  <c r="W31"/>
  <c r="U31"/>
  <c r="S31"/>
  <c r="Q31"/>
  <c r="J31"/>
  <c r="H31"/>
  <c r="F31"/>
  <c r="AC29"/>
  <c r="AB29"/>
  <c r="AA29"/>
  <c r="Z29"/>
  <c r="W29"/>
  <c r="U29"/>
  <c r="S29"/>
  <c r="Q29"/>
  <c r="J29"/>
  <c r="H29"/>
  <c r="F29"/>
  <c r="C29"/>
  <c r="AC27"/>
  <c r="AB27"/>
  <c r="AA27"/>
  <c r="Z27"/>
  <c r="W27"/>
  <c r="U27"/>
  <c r="S27"/>
  <c r="Q27"/>
  <c r="J27"/>
  <c r="H27"/>
  <c r="F27"/>
  <c r="C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J10"/>
  <c r="AC10"/>
  <c r="H10"/>
  <c r="AB10"/>
  <c r="F10"/>
  <c r="AA10"/>
  <c r="Z10"/>
  <c r="W10"/>
  <c r="U10"/>
  <c r="S10"/>
  <c r="Q10"/>
  <c r="AC9"/>
  <c r="AB9"/>
  <c r="AA9"/>
  <c r="Z9"/>
  <c r="W9"/>
  <c r="U9"/>
  <c r="S9"/>
  <c r="Q9"/>
  <c r="J9"/>
  <c r="H9"/>
  <c r="F9"/>
  <c r="AC8"/>
  <c r="AB8"/>
  <c r="AA8"/>
  <c r="W8"/>
  <c r="U8"/>
  <c r="S8"/>
  <c r="J8"/>
  <c r="H8"/>
  <c r="F8"/>
  <c r="W7"/>
  <c r="U7"/>
  <c r="S7"/>
  <c r="B2"/>
  <c r="B3"/>
  <c r="B95" i="36"/>
  <c r="B93"/>
  <c r="B91"/>
  <c r="M86"/>
  <c r="L86"/>
  <c r="K86"/>
  <c r="J86"/>
  <c r="I86"/>
  <c r="H86"/>
  <c r="G86"/>
  <c r="F86"/>
  <c r="E86"/>
  <c r="D86"/>
  <c r="C86"/>
  <c r="M85"/>
  <c r="L85"/>
  <c r="K85"/>
  <c r="J85"/>
  <c r="I85"/>
  <c r="H85"/>
  <c r="G85"/>
  <c r="F85"/>
  <c r="E85"/>
  <c r="D85"/>
  <c r="M83"/>
  <c r="L83"/>
  <c r="K83"/>
  <c r="J83"/>
  <c r="I83"/>
  <c r="H83"/>
  <c r="G83"/>
  <c r="F83"/>
  <c r="E83"/>
  <c r="D83"/>
  <c r="M81"/>
  <c r="L81"/>
  <c r="K81"/>
  <c r="J81"/>
  <c r="I81"/>
  <c r="H81"/>
  <c r="G81"/>
  <c r="F81"/>
  <c r="E81"/>
  <c r="D81"/>
  <c r="G79"/>
  <c r="F79"/>
  <c r="E79"/>
  <c r="D79"/>
  <c r="C79"/>
  <c r="M78"/>
  <c r="L78"/>
  <c r="K78"/>
  <c r="J78"/>
  <c r="I78"/>
  <c r="H78"/>
  <c r="G78"/>
  <c r="F78"/>
  <c r="E78"/>
  <c r="D78"/>
  <c r="B75"/>
  <c r="B73"/>
  <c r="B71"/>
  <c r="D70"/>
  <c r="G68"/>
  <c r="F68"/>
  <c r="E68"/>
  <c r="D68"/>
  <c r="G66"/>
  <c r="F66"/>
  <c r="E66"/>
  <c r="D66"/>
  <c r="G64"/>
  <c r="F64"/>
  <c r="E64"/>
  <c r="D64"/>
  <c r="G62"/>
  <c r="F62"/>
  <c r="E62"/>
  <c r="D62"/>
  <c r="B59"/>
  <c r="B57"/>
  <c r="B55"/>
  <c r="I54"/>
  <c r="H54"/>
  <c r="G54"/>
  <c r="F54"/>
  <c r="C51"/>
  <c r="C7"/>
  <c r="C46"/>
  <c r="D46"/>
  <c r="E46"/>
  <c r="F46"/>
  <c r="G46"/>
  <c r="H46"/>
  <c r="I46"/>
  <c r="J46"/>
  <c r="K46"/>
  <c r="L46"/>
  <c r="M46"/>
  <c r="N46"/>
  <c r="O46"/>
  <c r="J42"/>
  <c r="I42"/>
  <c r="H42"/>
  <c r="G42"/>
  <c r="F42"/>
  <c r="E42"/>
  <c r="J7"/>
  <c r="AC7"/>
  <c r="V36"/>
  <c r="I36"/>
  <c r="F7"/>
  <c r="AA7"/>
  <c r="R36"/>
  <c r="E36"/>
  <c r="I41"/>
  <c r="J41"/>
  <c r="H7"/>
  <c r="AB7"/>
  <c r="T36"/>
  <c r="G36"/>
  <c r="G41"/>
  <c r="H41"/>
  <c r="E41"/>
  <c r="F41"/>
  <c r="I40"/>
  <c r="J40"/>
  <c r="G40"/>
  <c r="H40"/>
  <c r="E40"/>
  <c r="F40"/>
  <c r="R37"/>
  <c r="P37"/>
  <c r="C37"/>
  <c r="P36"/>
  <c r="C36"/>
  <c r="V35"/>
  <c r="T35"/>
  <c r="R35"/>
  <c r="P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W7"/>
  <c r="U7"/>
  <c r="S7"/>
  <c r="D3"/>
  <c r="D2"/>
  <c r="B2"/>
  <c r="B3"/>
  <c r="B101" i="35"/>
  <c r="B99"/>
  <c r="B97"/>
  <c r="G96"/>
  <c r="F96"/>
  <c r="E96"/>
  <c r="D96"/>
  <c r="M94"/>
  <c r="L94"/>
  <c r="K94"/>
  <c r="J94"/>
  <c r="I94"/>
  <c r="H94"/>
  <c r="G94"/>
  <c r="F94"/>
  <c r="E94"/>
  <c r="D94"/>
  <c r="M90"/>
  <c r="L90"/>
  <c r="K90"/>
  <c r="J90"/>
  <c r="I90"/>
  <c r="H90"/>
  <c r="G90"/>
  <c r="F90"/>
  <c r="E90"/>
  <c r="D90"/>
  <c r="C90"/>
  <c r="M89"/>
  <c r="L89"/>
  <c r="K89"/>
  <c r="J89"/>
  <c r="I89"/>
  <c r="H89"/>
  <c r="G89"/>
  <c r="F89"/>
  <c r="E89"/>
  <c r="D89"/>
  <c r="M87"/>
  <c r="L87"/>
  <c r="K87"/>
  <c r="J87"/>
  <c r="I87"/>
  <c r="H87"/>
  <c r="G87"/>
  <c r="F87"/>
  <c r="E87"/>
  <c r="D87"/>
  <c r="G85"/>
  <c r="F85"/>
  <c r="E85"/>
  <c r="D85"/>
  <c r="C85"/>
  <c r="M84"/>
  <c r="L84"/>
  <c r="K84"/>
  <c r="J84"/>
  <c r="I84"/>
  <c r="H84"/>
  <c r="G84"/>
  <c r="F84"/>
  <c r="E84"/>
  <c r="D84"/>
  <c r="M80"/>
  <c r="L80"/>
  <c r="K80"/>
  <c r="J80"/>
  <c r="I80"/>
  <c r="H80"/>
  <c r="G80"/>
  <c r="F80"/>
  <c r="E80"/>
  <c r="D80"/>
  <c r="C79"/>
  <c r="B77"/>
  <c r="B75"/>
  <c r="B73"/>
  <c r="G72"/>
  <c r="F72"/>
  <c r="E72"/>
  <c r="D72"/>
  <c r="G70"/>
  <c r="F70"/>
  <c r="E70"/>
  <c r="D70"/>
  <c r="G68"/>
  <c r="F68"/>
  <c r="E68"/>
  <c r="D68"/>
  <c r="G66"/>
  <c r="F66"/>
  <c r="E66"/>
  <c r="D66"/>
  <c r="G64"/>
  <c r="F64"/>
  <c r="E64"/>
  <c r="D64"/>
  <c r="B61"/>
  <c r="B59"/>
  <c r="B57"/>
  <c r="I56"/>
  <c r="H56"/>
  <c r="G56"/>
  <c r="F56"/>
  <c r="C53"/>
  <c r="C7"/>
  <c r="C48"/>
  <c r="D48"/>
  <c r="E48"/>
  <c r="F48"/>
  <c r="G48"/>
  <c r="H48"/>
  <c r="I48"/>
  <c r="J48"/>
  <c r="K48"/>
  <c r="L48"/>
  <c r="M48"/>
  <c r="N48"/>
  <c r="O48"/>
  <c r="J44"/>
  <c r="I44"/>
  <c r="H44"/>
  <c r="G44"/>
  <c r="F44"/>
  <c r="E44"/>
  <c r="J7"/>
  <c r="AC7"/>
  <c r="V38"/>
  <c r="I38"/>
  <c r="F7"/>
  <c r="AA7"/>
  <c r="R38"/>
  <c r="E38"/>
  <c r="I43"/>
  <c r="J43"/>
  <c r="H7"/>
  <c r="AB7"/>
  <c r="T38"/>
  <c r="G38"/>
  <c r="G43"/>
  <c r="H43"/>
  <c r="E43"/>
  <c r="F43"/>
  <c r="I42"/>
  <c r="J42"/>
  <c r="G42"/>
  <c r="H42"/>
  <c r="E42"/>
  <c r="F42"/>
  <c r="R39"/>
  <c r="P39"/>
  <c r="C39"/>
  <c r="P38"/>
  <c r="C38"/>
  <c r="B38"/>
  <c r="V37"/>
  <c r="T37"/>
  <c r="R37"/>
  <c r="P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C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W7"/>
  <c r="U7"/>
  <c r="S7"/>
  <c r="F3"/>
  <c r="D3"/>
  <c r="D2"/>
  <c r="B2"/>
  <c r="B3"/>
  <c r="B112" i="37"/>
  <c r="B110"/>
  <c r="B108"/>
  <c r="M107"/>
  <c r="L107"/>
  <c r="K107"/>
  <c r="J107"/>
  <c r="I107"/>
  <c r="H107"/>
  <c r="G107"/>
  <c r="F107"/>
  <c r="E107"/>
  <c r="D107"/>
  <c r="G105"/>
  <c r="F105"/>
  <c r="E105"/>
  <c r="D105"/>
  <c r="M103"/>
  <c r="L103"/>
  <c r="K103"/>
  <c r="J103"/>
  <c r="I103"/>
  <c r="H103"/>
  <c r="G103"/>
  <c r="F103"/>
  <c r="E103"/>
  <c r="D103"/>
  <c r="M101"/>
  <c r="L101"/>
  <c r="K101"/>
  <c r="J101"/>
  <c r="I101"/>
  <c r="H101"/>
  <c r="G101"/>
  <c r="F101"/>
  <c r="E101"/>
  <c r="D101"/>
  <c r="M99"/>
  <c r="L99"/>
  <c r="K99"/>
  <c r="J99"/>
  <c r="I99"/>
  <c r="H99"/>
  <c r="G99"/>
  <c r="F99"/>
  <c r="E99"/>
  <c r="D99"/>
  <c r="G97"/>
  <c r="F97"/>
  <c r="E97"/>
  <c r="D97"/>
  <c r="C97"/>
  <c r="M96"/>
  <c r="L96"/>
  <c r="K96"/>
  <c r="J96"/>
  <c r="I96"/>
  <c r="H96"/>
  <c r="G96"/>
  <c r="F96"/>
  <c r="E96"/>
  <c r="D96"/>
  <c r="M94"/>
  <c r="L94"/>
  <c r="K94"/>
  <c r="J94"/>
  <c r="I94"/>
  <c r="H94"/>
  <c r="G94"/>
  <c r="F94"/>
  <c r="E94"/>
  <c r="D94"/>
  <c r="M90"/>
  <c r="L90"/>
  <c r="K90"/>
  <c r="J90"/>
  <c r="I90"/>
  <c r="H90"/>
  <c r="G90"/>
  <c r="F90"/>
  <c r="E90"/>
  <c r="D90"/>
  <c r="C90"/>
  <c r="M89"/>
  <c r="L89"/>
  <c r="K89"/>
  <c r="J89"/>
  <c r="I89"/>
  <c r="H89"/>
  <c r="G89"/>
  <c r="F89"/>
  <c r="E89"/>
  <c r="D89"/>
  <c r="B86"/>
  <c r="B84"/>
  <c r="B82"/>
  <c r="B80"/>
  <c r="G79"/>
  <c r="F79"/>
  <c r="E79"/>
  <c r="D79"/>
  <c r="G77"/>
  <c r="F77"/>
  <c r="E77"/>
  <c r="D77"/>
  <c r="G75"/>
  <c r="F75"/>
  <c r="E75"/>
  <c r="D75"/>
  <c r="G73"/>
  <c r="F73"/>
  <c r="E73"/>
  <c r="D73"/>
  <c r="G71"/>
  <c r="F71"/>
  <c r="E71"/>
  <c r="D71"/>
  <c r="B68"/>
  <c r="B66"/>
  <c r="B64"/>
  <c r="M63"/>
  <c r="L63"/>
  <c r="K63"/>
  <c r="J63"/>
  <c r="I63"/>
  <c r="H63"/>
  <c r="G63"/>
  <c r="F63"/>
  <c r="E63"/>
  <c r="D63"/>
  <c r="M61"/>
  <c r="L61"/>
  <c r="K61"/>
  <c r="J61"/>
  <c r="I61"/>
  <c r="H61"/>
  <c r="G61"/>
  <c r="F61"/>
  <c r="E61"/>
  <c r="D61"/>
  <c r="C61"/>
  <c r="I60"/>
  <c r="H60"/>
  <c r="G60"/>
  <c r="F60"/>
  <c r="C57"/>
  <c r="C7"/>
  <c r="C52"/>
  <c r="D52"/>
  <c r="E52"/>
  <c r="F52"/>
  <c r="G52"/>
  <c r="H52"/>
  <c r="I52"/>
  <c r="J52"/>
  <c r="K52"/>
  <c r="L52"/>
  <c r="M52"/>
  <c r="N52"/>
  <c r="O52"/>
  <c r="J48"/>
  <c r="I48"/>
  <c r="H48"/>
  <c r="G48"/>
  <c r="F48"/>
  <c r="E48"/>
  <c r="J7"/>
  <c r="AC7"/>
  <c r="V42"/>
  <c r="I42"/>
  <c r="F7"/>
  <c r="AA7"/>
  <c r="R42"/>
  <c r="E42"/>
  <c r="I47"/>
  <c r="J47"/>
  <c r="H7"/>
  <c r="AB7"/>
  <c r="T42"/>
  <c r="G42"/>
  <c r="G47"/>
  <c r="H47"/>
  <c r="E47"/>
  <c r="F47"/>
  <c r="I46"/>
  <c r="J46"/>
  <c r="G46"/>
  <c r="H46"/>
  <c r="E46"/>
  <c r="F46"/>
  <c r="R43"/>
  <c r="P43"/>
  <c r="C43"/>
  <c r="P42"/>
  <c r="C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W7"/>
  <c r="U7"/>
  <c r="S7"/>
  <c r="D3"/>
  <c r="D2"/>
  <c r="B2"/>
  <c r="B3"/>
  <c r="B131" i="34"/>
  <c r="B129"/>
  <c r="B127"/>
  <c r="G126"/>
  <c r="F126"/>
  <c r="E126"/>
  <c r="D126"/>
  <c r="M124"/>
  <c r="L124"/>
  <c r="K124"/>
  <c r="J124"/>
  <c r="I124"/>
  <c r="H124"/>
  <c r="G124"/>
  <c r="F124"/>
  <c r="E124"/>
  <c r="D124"/>
  <c r="M120"/>
  <c r="L120"/>
  <c r="K120"/>
  <c r="J120"/>
  <c r="I120"/>
  <c r="H120"/>
  <c r="G120"/>
  <c r="F120"/>
  <c r="E120"/>
  <c r="D120"/>
  <c r="G118"/>
  <c r="F118"/>
  <c r="E118"/>
  <c r="D118"/>
  <c r="M116"/>
  <c r="L116"/>
  <c r="K116"/>
  <c r="J116"/>
  <c r="I116"/>
  <c r="H116"/>
  <c r="G116"/>
  <c r="F116"/>
  <c r="E116"/>
  <c r="D116"/>
  <c r="M114"/>
  <c r="L114"/>
  <c r="K114"/>
  <c r="J114"/>
  <c r="I114"/>
  <c r="H114"/>
  <c r="G114"/>
  <c r="F114"/>
  <c r="E114"/>
  <c r="D114"/>
  <c r="M112"/>
  <c r="L112"/>
  <c r="K112"/>
  <c r="J112"/>
  <c r="I112"/>
  <c r="H112"/>
  <c r="G112"/>
  <c r="F112"/>
  <c r="E112"/>
  <c r="D112"/>
  <c r="G110"/>
  <c r="F110"/>
  <c r="E110"/>
  <c r="D110"/>
  <c r="C110"/>
  <c r="M109"/>
  <c r="L109"/>
  <c r="K109"/>
  <c r="J109"/>
  <c r="I109"/>
  <c r="H109"/>
  <c r="G109"/>
  <c r="F109"/>
  <c r="E109"/>
  <c r="D109"/>
  <c r="M107"/>
  <c r="L107"/>
  <c r="K107"/>
  <c r="J107"/>
  <c r="I107"/>
  <c r="H107"/>
  <c r="G107"/>
  <c r="F107"/>
  <c r="E107"/>
  <c r="D107"/>
  <c r="M103"/>
  <c r="L103"/>
  <c r="K103"/>
  <c r="J103"/>
  <c r="I103"/>
  <c r="H103"/>
  <c r="G103"/>
  <c r="F103"/>
  <c r="E103"/>
  <c r="D103"/>
  <c r="C103"/>
  <c r="M102"/>
  <c r="L102"/>
  <c r="K102"/>
  <c r="J102"/>
  <c r="I102"/>
  <c r="H102"/>
  <c r="G102"/>
  <c r="F102"/>
  <c r="E102"/>
  <c r="D102"/>
  <c r="B99"/>
  <c r="B97"/>
  <c r="B95"/>
  <c r="B93"/>
  <c r="M92"/>
  <c r="L92"/>
  <c r="K92"/>
  <c r="J92"/>
  <c r="I92"/>
  <c r="H92"/>
  <c r="G92"/>
  <c r="F92"/>
  <c r="E92"/>
  <c r="D92"/>
  <c r="B91"/>
  <c r="M90"/>
  <c r="L90"/>
  <c r="K90"/>
  <c r="J90"/>
  <c r="I90"/>
  <c r="H90"/>
  <c r="G90"/>
  <c r="F90"/>
  <c r="E90"/>
  <c r="D90"/>
  <c r="B89"/>
  <c r="M88"/>
  <c r="L88"/>
  <c r="K88"/>
  <c r="J88"/>
  <c r="I88"/>
  <c r="H88"/>
  <c r="G88"/>
  <c r="F88"/>
  <c r="E88"/>
  <c r="D88"/>
  <c r="G86"/>
  <c r="F86"/>
  <c r="E86"/>
  <c r="D86"/>
  <c r="G84"/>
  <c r="F84"/>
  <c r="E84"/>
  <c r="D84"/>
  <c r="G82"/>
  <c r="F82"/>
  <c r="E82"/>
  <c r="D82"/>
  <c r="G80"/>
  <c r="F80"/>
  <c r="E80"/>
  <c r="D80"/>
  <c r="G78"/>
  <c r="F78"/>
  <c r="E78"/>
  <c r="D78"/>
  <c r="B75"/>
  <c r="B73"/>
  <c r="B71"/>
  <c r="M70"/>
  <c r="L70"/>
  <c r="K70"/>
  <c r="J70"/>
  <c r="I70"/>
  <c r="H70"/>
  <c r="G70"/>
  <c r="F70"/>
  <c r="E70"/>
  <c r="D70"/>
  <c r="M68"/>
  <c r="L68"/>
  <c r="K68"/>
  <c r="J68"/>
  <c r="I68"/>
  <c r="H68"/>
  <c r="G68"/>
  <c r="F68"/>
  <c r="E68"/>
  <c r="D68"/>
  <c r="C68"/>
  <c r="I67"/>
  <c r="H67"/>
  <c r="G67"/>
  <c r="F67"/>
  <c r="C64"/>
  <c r="C7"/>
  <c r="C59"/>
  <c r="D59"/>
  <c r="E59"/>
  <c r="F59"/>
  <c r="G59"/>
  <c r="H59"/>
  <c r="I59"/>
  <c r="J59"/>
  <c r="K59"/>
  <c r="L59"/>
  <c r="M59"/>
  <c r="N59"/>
  <c r="O59"/>
  <c r="J55"/>
  <c r="I55"/>
  <c r="H55"/>
  <c r="G55"/>
  <c r="F55"/>
  <c r="E55"/>
  <c r="J7"/>
  <c r="AC7"/>
  <c r="V49"/>
  <c r="I49"/>
  <c r="F7"/>
  <c r="AA7"/>
  <c r="R49"/>
  <c r="E49"/>
  <c r="I54"/>
  <c r="J54"/>
  <c r="H7"/>
  <c r="AB7"/>
  <c r="T49"/>
  <c r="G49"/>
  <c r="G54"/>
  <c r="H54"/>
  <c r="E54"/>
  <c r="F54"/>
  <c r="I53"/>
  <c r="J53"/>
  <c r="G53"/>
  <c r="H53"/>
  <c r="E53"/>
  <c r="F53"/>
  <c r="R50"/>
  <c r="P50"/>
  <c r="C50"/>
  <c r="P49"/>
  <c r="C49"/>
  <c r="V48"/>
  <c r="T48"/>
  <c r="R48"/>
  <c r="P48"/>
  <c r="AC47"/>
  <c r="AB47"/>
  <c r="AA47"/>
  <c r="Z47"/>
  <c r="W47"/>
  <c r="U47"/>
  <c r="S47"/>
  <c r="Q47"/>
  <c r="J47"/>
  <c r="H47"/>
  <c r="F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W7"/>
  <c r="U7"/>
  <c r="S7"/>
  <c r="D3"/>
  <c r="D2"/>
  <c r="B2"/>
  <c r="B3"/>
  <c r="B130" i="33"/>
  <c r="B128"/>
  <c r="B126"/>
  <c r="G125"/>
  <c r="F125"/>
  <c r="E125"/>
  <c r="D125"/>
  <c r="M123"/>
  <c r="L123"/>
  <c r="K123"/>
  <c r="J123"/>
  <c r="I123"/>
  <c r="H123"/>
  <c r="G123"/>
  <c r="F123"/>
  <c r="E123"/>
  <c r="D123"/>
  <c r="M121"/>
  <c r="L121"/>
  <c r="K121"/>
  <c r="J121"/>
  <c r="I121"/>
  <c r="H121"/>
  <c r="G121"/>
  <c r="F121"/>
  <c r="E121"/>
  <c r="D121"/>
  <c r="G117"/>
  <c r="F117"/>
  <c r="E117"/>
  <c r="D117"/>
  <c r="M115"/>
  <c r="L115"/>
  <c r="K115"/>
  <c r="J115"/>
  <c r="I115"/>
  <c r="H115"/>
  <c r="G115"/>
  <c r="F115"/>
  <c r="E115"/>
  <c r="D115"/>
  <c r="M113"/>
  <c r="L113"/>
  <c r="K113"/>
  <c r="J113"/>
  <c r="I113"/>
  <c r="H113"/>
  <c r="G113"/>
  <c r="F113"/>
  <c r="E113"/>
  <c r="D113"/>
  <c r="M111"/>
  <c r="L111"/>
  <c r="K111"/>
  <c r="J111"/>
  <c r="I111"/>
  <c r="H111"/>
  <c r="G111"/>
  <c r="F111"/>
  <c r="E111"/>
  <c r="D111"/>
  <c r="G109"/>
  <c r="F109"/>
  <c r="E109"/>
  <c r="D109"/>
  <c r="C109"/>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M91"/>
  <c r="L91"/>
  <c r="K91"/>
  <c r="J91"/>
  <c r="I91"/>
  <c r="H91"/>
  <c r="G91"/>
  <c r="F91"/>
  <c r="E91"/>
  <c r="D91"/>
  <c r="B90"/>
  <c r="B88"/>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C63"/>
  <c r="C7"/>
  <c r="C58"/>
  <c r="D58"/>
  <c r="E58"/>
  <c r="F58"/>
  <c r="G58"/>
  <c r="H58"/>
  <c r="I58"/>
  <c r="J58"/>
  <c r="K58"/>
  <c r="L58"/>
  <c r="M58"/>
  <c r="N58"/>
  <c r="O58"/>
  <c r="J54"/>
  <c r="I54"/>
  <c r="H54"/>
  <c r="G54"/>
  <c r="F54"/>
  <c r="E54"/>
  <c r="J7"/>
  <c r="AC7"/>
  <c r="V48"/>
  <c r="I48"/>
  <c r="F7"/>
  <c r="AA7"/>
  <c r="R48"/>
  <c r="E48"/>
  <c r="I53"/>
  <c r="J53"/>
  <c r="H7"/>
  <c r="AB7"/>
  <c r="T48"/>
  <c r="G48"/>
  <c r="G53"/>
  <c r="H53"/>
  <c r="E53"/>
  <c r="F53"/>
  <c r="I52"/>
  <c r="J52"/>
  <c r="G52"/>
  <c r="H52"/>
  <c r="E52"/>
  <c r="F52"/>
  <c r="R49"/>
  <c r="P49"/>
  <c r="C49"/>
  <c r="P48"/>
  <c r="C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W7"/>
  <c r="U7"/>
  <c r="S7"/>
  <c r="D3"/>
  <c r="D2"/>
  <c r="B2"/>
  <c r="B3"/>
  <c r="K145" i="21"/>
  <c r="C145"/>
  <c r="K144"/>
  <c r="K143"/>
  <c r="J142"/>
  <c r="K141"/>
  <c r="J140"/>
  <c r="K139"/>
  <c r="B130"/>
  <c r="B128"/>
  <c r="B126"/>
  <c r="G125"/>
  <c r="F125"/>
  <c r="E125"/>
  <c r="D125"/>
  <c r="M123"/>
  <c r="L123"/>
  <c r="K123"/>
  <c r="J123"/>
  <c r="I123"/>
  <c r="H123"/>
  <c r="G123"/>
  <c r="F123"/>
  <c r="E123"/>
  <c r="D123"/>
  <c r="M119"/>
  <c r="L119"/>
  <c r="K119"/>
  <c r="J119"/>
  <c r="I119"/>
  <c r="H119"/>
  <c r="G119"/>
  <c r="F119"/>
  <c r="E119"/>
  <c r="D119"/>
  <c r="G117"/>
  <c r="F117"/>
  <c r="E117"/>
  <c r="D117"/>
  <c r="M115"/>
  <c r="L115"/>
  <c r="K115"/>
  <c r="J115"/>
  <c r="I115"/>
  <c r="H115"/>
  <c r="G115"/>
  <c r="F115"/>
  <c r="E115"/>
  <c r="D115"/>
  <c r="H113"/>
  <c r="G113"/>
  <c r="F113"/>
  <c r="E113"/>
  <c r="D113"/>
  <c r="H111"/>
  <c r="G111"/>
  <c r="F111"/>
  <c r="E111"/>
  <c r="D111"/>
  <c r="C111"/>
  <c r="M110"/>
  <c r="L110"/>
  <c r="K110"/>
  <c r="J110"/>
  <c r="I110"/>
  <c r="H110"/>
  <c r="G110"/>
  <c r="F110"/>
  <c r="E110"/>
  <c r="D110"/>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B90"/>
  <c r="M89"/>
  <c r="L89"/>
  <c r="K89"/>
  <c r="J89"/>
  <c r="I89"/>
  <c r="H89"/>
  <c r="G89"/>
  <c r="F89"/>
  <c r="E89"/>
  <c r="D89"/>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F66"/>
  <c r="E66"/>
  <c r="D66"/>
  <c r="C63"/>
  <c r="C7"/>
  <c r="C58"/>
  <c r="D58"/>
  <c r="E58"/>
  <c r="F58"/>
  <c r="G58"/>
  <c r="H58"/>
  <c r="I58"/>
  <c r="J58"/>
  <c r="K58"/>
  <c r="L58"/>
  <c r="M58"/>
  <c r="N58"/>
  <c r="O58"/>
  <c r="J54"/>
  <c r="I54"/>
  <c r="H54"/>
  <c r="G54"/>
  <c r="F54"/>
  <c r="E54"/>
  <c r="J7"/>
  <c r="AC7"/>
  <c r="V48"/>
  <c r="I48"/>
  <c r="F7"/>
  <c r="AA7"/>
  <c r="R48"/>
  <c r="E48"/>
  <c r="I53"/>
  <c r="J53"/>
  <c r="H7"/>
  <c r="AB7"/>
  <c r="T48"/>
  <c r="G48"/>
  <c r="G53"/>
  <c r="H53"/>
  <c r="E53"/>
  <c r="F53"/>
  <c r="I52"/>
  <c r="J52"/>
  <c r="G52"/>
  <c r="H52"/>
  <c r="E52"/>
  <c r="F52"/>
  <c r="R49"/>
  <c r="P49"/>
  <c r="C49"/>
  <c r="P48"/>
  <c r="C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W7"/>
  <c r="U7"/>
  <c r="S7"/>
  <c r="D3"/>
  <c r="D2"/>
  <c r="B2"/>
  <c r="B3"/>
  <c r="C32" i="66"/>
  <c r="C31"/>
  <c r="C30"/>
  <c r="C27"/>
  <c r="E26"/>
  <c r="I23"/>
  <c r="I21"/>
  <c r="I20"/>
  <c r="D20"/>
  <c r="I19"/>
  <c r="I18"/>
  <c r="I17"/>
  <c r="I15"/>
  <c r="E15"/>
  <c r="I14"/>
  <c r="I13"/>
  <c r="I12"/>
  <c r="I10"/>
  <c r="E10"/>
  <c r="I9"/>
  <c r="I8"/>
  <c r="I7"/>
  <c r="I6"/>
  <c r="I5"/>
  <c r="I4"/>
  <c r="I3"/>
  <c r="D1"/>
  <c r="A13" i="70"/>
  <c r="E13"/>
  <c r="AO13" i="1"/>
  <c r="B13" i="70"/>
  <c r="A12"/>
  <c r="E12"/>
  <c r="AO12" i="1"/>
  <c r="B12" i="70"/>
  <c r="A11"/>
  <c r="E11"/>
  <c r="AO11" i="1"/>
  <c r="B11" i="70"/>
  <c r="A10"/>
  <c r="E10"/>
  <c r="AO10" i="1"/>
  <c r="B10" i="70"/>
  <c r="A9"/>
  <c r="E9"/>
  <c r="AO9" i="1"/>
  <c r="B9" i="70"/>
  <c r="A8"/>
  <c r="E8"/>
  <c r="AO8" i="1"/>
  <c r="B8" i="70"/>
  <c r="A7"/>
  <c r="E7"/>
  <c r="AO7" i="1"/>
  <c r="B7" i="70"/>
  <c r="A6"/>
  <c r="E6"/>
  <c r="AO6" i="1"/>
  <c r="B6" i="70"/>
  <c r="B2"/>
  <c r="E2"/>
  <c r="B3"/>
  <c r="G1" i="67"/>
  <c r="F43"/>
  <c r="S7" i="1"/>
  <c r="C14" i="67"/>
  <c r="F15"/>
  <c r="C15"/>
  <c r="F16"/>
  <c r="C16"/>
  <c r="F17"/>
  <c r="C17"/>
  <c r="F18"/>
  <c r="C18"/>
  <c r="C19"/>
  <c r="F20"/>
  <c r="C20"/>
  <c r="F24"/>
  <c r="F23"/>
  <c r="C23"/>
  <c r="F26"/>
  <c r="C26"/>
  <c r="F21"/>
  <c r="C24"/>
  <c r="C27"/>
  <c r="F28"/>
  <c r="C28"/>
  <c r="C29"/>
  <c r="F13"/>
  <c r="C13"/>
  <c r="F6"/>
  <c r="F8"/>
  <c r="F7"/>
  <c r="F9"/>
  <c r="C6"/>
  <c r="F11"/>
  <c r="C10"/>
  <c r="C5"/>
  <c r="F32"/>
  <c r="C32"/>
  <c r="F33"/>
  <c r="C33"/>
  <c r="R7" i="1"/>
  <c r="F35" i="67"/>
  <c r="F34"/>
  <c r="C34"/>
  <c r="C31"/>
  <c r="F36"/>
  <c r="C36"/>
  <c r="F37"/>
  <c r="C37"/>
  <c r="F38"/>
  <c r="C38"/>
  <c r="C30"/>
  <c r="C39"/>
  <c r="F42"/>
  <c r="F40"/>
  <c r="AE7" i="1"/>
  <c r="F41" i="67"/>
  <c r="C40"/>
  <c r="C83"/>
  <c r="C82"/>
  <c r="C76"/>
  <c r="C75"/>
  <c r="C80"/>
  <c r="C79"/>
  <c r="M6"/>
  <c r="M8"/>
  <c r="M7"/>
  <c r="M9"/>
  <c r="J6"/>
  <c r="M11"/>
  <c r="J10"/>
  <c r="J5"/>
  <c r="J26"/>
  <c r="J29"/>
  <c r="Q65"/>
  <c r="L48"/>
  <c r="L51"/>
  <c r="J51"/>
  <c r="L57"/>
  <c r="L47"/>
  <c r="L58"/>
  <c r="L59"/>
  <c r="L60"/>
  <c r="Q66"/>
  <c r="Q75"/>
  <c r="Q74"/>
  <c r="P74"/>
  <c r="Q73"/>
  <c r="Q72"/>
  <c r="Q71"/>
  <c r="F71"/>
  <c r="F51"/>
  <c r="F50"/>
  <c r="C49"/>
  <c r="C53"/>
  <c r="C48"/>
  <c r="F60"/>
  <c r="C60"/>
  <c r="C57"/>
  <c r="F61"/>
  <c r="C61"/>
  <c r="F63"/>
  <c r="F62"/>
  <c r="C62"/>
  <c r="C59"/>
  <c r="F64"/>
  <c r="C64"/>
  <c r="C56"/>
  <c r="F65"/>
  <c r="C65"/>
  <c r="F66"/>
  <c r="C66"/>
  <c r="C58"/>
  <c r="C67"/>
  <c r="F70"/>
  <c r="F68"/>
  <c r="F69"/>
  <c r="C68"/>
  <c r="C71"/>
  <c r="Q70"/>
  <c r="Q69"/>
  <c r="Q68"/>
  <c r="Q67"/>
  <c r="Q56"/>
  <c r="Q57"/>
  <c r="Q62"/>
  <c r="Q61"/>
  <c r="P61"/>
  <c r="Q60"/>
  <c r="J57"/>
  <c r="J55"/>
  <c r="J58"/>
  <c r="J59"/>
  <c r="J53"/>
  <c r="J60"/>
  <c r="Q59"/>
  <c r="N59"/>
  <c r="M59"/>
  <c r="K59"/>
  <c r="F59"/>
  <c r="Q58"/>
  <c r="L56"/>
  <c r="I54"/>
  <c r="Q47"/>
  <c r="Q48"/>
  <c r="Q53"/>
  <c r="Q52"/>
  <c r="Q51"/>
  <c r="Q50"/>
  <c r="J50"/>
  <c r="Q49"/>
  <c r="M47"/>
  <c r="L46"/>
  <c r="D46"/>
  <c r="C45"/>
  <c r="C46"/>
  <c r="C43"/>
  <c r="F31"/>
  <c r="M29"/>
  <c r="M28"/>
  <c r="M27"/>
  <c r="M26"/>
  <c r="M18"/>
  <c r="J18"/>
  <c r="M19"/>
  <c r="J19"/>
  <c r="M21"/>
  <c r="M20"/>
  <c r="J20"/>
  <c r="J17"/>
  <c r="J14"/>
  <c r="M22"/>
  <c r="J22"/>
  <c r="J15"/>
  <c r="J13"/>
  <c r="M23"/>
  <c r="J23"/>
  <c r="M24"/>
  <c r="J24"/>
  <c r="J16"/>
  <c r="J25"/>
  <c r="D24"/>
  <c r="D23"/>
  <c r="D22"/>
  <c r="M17"/>
  <c r="D2"/>
  <c r="B3"/>
  <c r="B2"/>
  <c r="F1"/>
  <c r="C83" i="15"/>
  <c r="C82"/>
  <c r="C76"/>
  <c r="C75"/>
  <c r="C80"/>
  <c r="C79"/>
  <c r="Q65"/>
  <c r="L60"/>
  <c r="Q66"/>
  <c r="Q75"/>
  <c r="L47"/>
  <c r="L59"/>
  <c r="Q74"/>
  <c r="P74"/>
  <c r="L58"/>
  <c r="Q73"/>
  <c r="Q72"/>
  <c r="Q71"/>
  <c r="F71"/>
  <c r="F51"/>
  <c r="F50"/>
  <c r="C49"/>
  <c r="C53"/>
  <c r="C48"/>
  <c r="F60"/>
  <c r="C60"/>
  <c r="C57"/>
  <c r="F61"/>
  <c r="C61"/>
  <c r="F63"/>
  <c r="F62"/>
  <c r="C62"/>
  <c r="C59"/>
  <c r="F64"/>
  <c r="C64"/>
  <c r="C56"/>
  <c r="F65"/>
  <c r="C65"/>
  <c r="F66"/>
  <c r="C66"/>
  <c r="C58"/>
  <c r="C67"/>
  <c r="F68"/>
  <c r="F69"/>
  <c r="C68"/>
  <c r="C71"/>
  <c r="Q70"/>
  <c r="Q69"/>
  <c r="Q68"/>
  <c r="L51"/>
  <c r="Q67"/>
  <c r="Q56"/>
  <c r="Q57"/>
  <c r="Q62"/>
  <c r="Q61"/>
  <c r="P61"/>
  <c r="Q60"/>
  <c r="Q59"/>
  <c r="N59"/>
  <c r="M59"/>
  <c r="K59"/>
  <c r="J59"/>
  <c r="F59"/>
  <c r="Q58"/>
  <c r="J57"/>
  <c r="J55"/>
  <c r="J58"/>
  <c r="L57"/>
  <c r="L56"/>
  <c r="I54"/>
  <c r="Q47"/>
  <c r="Q48"/>
  <c r="Q53"/>
  <c r="Q52"/>
  <c r="Q51"/>
  <c r="Q50"/>
  <c r="J50"/>
  <c r="Q49"/>
  <c r="M47"/>
  <c r="D46"/>
  <c r="C46"/>
  <c r="C43"/>
  <c r="F31"/>
  <c r="M29"/>
  <c r="M28"/>
  <c r="M27"/>
  <c r="M26"/>
  <c r="M18"/>
  <c r="J18"/>
  <c r="M19"/>
  <c r="J19"/>
  <c r="M21"/>
  <c r="M20"/>
  <c r="J20"/>
  <c r="J17"/>
  <c r="J14"/>
  <c r="M22"/>
  <c r="J22"/>
  <c r="J15"/>
  <c r="J13"/>
  <c r="M23"/>
  <c r="J23"/>
  <c r="M24"/>
  <c r="J24"/>
  <c r="J16"/>
  <c r="J25"/>
  <c r="D24"/>
  <c r="D23"/>
  <c r="D22"/>
  <c r="M17"/>
  <c r="B3"/>
  <c r="P6" i="1"/>
  <c r="P7"/>
  <c r="P8"/>
  <c r="P9"/>
  <c r="P10"/>
  <c r="P11"/>
  <c r="P12"/>
  <c r="P13"/>
  <c r="P14"/>
  <c r="P16"/>
  <c r="C11" i="12"/>
  <c r="F12"/>
  <c r="C12"/>
  <c r="F13"/>
  <c r="C13"/>
  <c r="D14"/>
  <c r="F11"/>
  <c r="E14"/>
  <c r="C14"/>
  <c r="F15"/>
  <c r="C15"/>
  <c r="C16"/>
  <c r="D17"/>
  <c r="E17"/>
  <c r="C17"/>
  <c r="D19"/>
  <c r="E19"/>
  <c r="C19"/>
  <c r="D20"/>
  <c r="E20"/>
  <c r="C20"/>
  <c r="C18"/>
  <c r="C21"/>
  <c r="F22"/>
  <c r="C22"/>
  <c r="F23"/>
  <c r="C23"/>
  <c r="F25"/>
  <c r="C27"/>
  <c r="C25"/>
  <c r="F24"/>
  <c r="C24"/>
  <c r="C26"/>
  <c r="D25"/>
  <c r="F31"/>
  <c r="C31"/>
  <c r="G27"/>
  <c r="G26"/>
  <c r="G25"/>
  <c r="K7"/>
  <c r="J7"/>
  <c r="I7"/>
  <c r="H7"/>
  <c r="G7"/>
  <c r="F7"/>
  <c r="E7"/>
  <c r="D7"/>
  <c r="C7"/>
  <c r="C4"/>
  <c r="K1"/>
  <c r="C34" i="69"/>
  <c r="F35"/>
  <c r="C35"/>
  <c r="AP6" i="1"/>
  <c r="AP7"/>
  <c r="AP8"/>
  <c r="AP9"/>
  <c r="AP10"/>
  <c r="AP11"/>
  <c r="AP12"/>
  <c r="AP13"/>
  <c r="F36" i="69"/>
  <c r="C36"/>
  <c r="D9"/>
  <c r="D10"/>
  <c r="D19"/>
  <c r="D37"/>
  <c r="E37"/>
  <c r="C37"/>
  <c r="F38"/>
  <c r="C38"/>
  <c r="C33"/>
  <c r="F20"/>
  <c r="C39"/>
  <c r="F22"/>
  <c r="C42"/>
  <c r="C43"/>
  <c r="C41"/>
  <c r="F21"/>
  <c r="C40"/>
  <c r="C44"/>
  <c r="D41"/>
  <c r="F50"/>
  <c r="E9"/>
  <c r="C9"/>
  <c r="E10"/>
  <c r="C10"/>
  <c r="C8"/>
  <c r="F7"/>
  <c r="C7"/>
  <c r="C5"/>
  <c r="E19"/>
  <c r="C19"/>
  <c r="C20"/>
  <c r="C23"/>
  <c r="C24"/>
  <c r="C25"/>
  <c r="C22"/>
  <c r="C26"/>
  <c r="D22"/>
  <c r="C21"/>
  <c r="F30"/>
  <c r="C48"/>
  <c r="G41"/>
  <c r="C30"/>
  <c r="G22"/>
  <c r="E2"/>
  <c r="H1"/>
  <c r="G1"/>
  <c r="E111" i="9"/>
  <c r="H111"/>
  <c r="D126"/>
  <c r="D127"/>
  <c r="A126"/>
  <c r="E109"/>
  <c r="H109"/>
  <c r="D124"/>
  <c r="D125"/>
  <c r="A124"/>
  <c r="E107"/>
  <c r="A122"/>
  <c r="D121"/>
  <c r="A120"/>
  <c r="K120"/>
  <c r="D120"/>
  <c r="M19"/>
  <c r="C118"/>
  <c r="M18"/>
  <c r="B118"/>
  <c r="S2" i="4"/>
  <c r="A118" i="9"/>
  <c r="H112"/>
  <c r="H110"/>
  <c r="H106"/>
  <c r="H105"/>
  <c r="H104"/>
  <c r="H103"/>
  <c r="D20"/>
  <c r="D103"/>
  <c r="D102"/>
  <c r="D101"/>
  <c r="C101"/>
  <c r="D89"/>
  <c r="C89"/>
  <c r="C87"/>
  <c r="C91"/>
  <c r="C92"/>
  <c r="C94"/>
  <c r="D93"/>
  <c r="E90"/>
  <c r="C76"/>
  <c r="D77"/>
  <c r="C77"/>
  <c r="C74"/>
  <c r="D78"/>
  <c r="H77"/>
  <c r="D68"/>
  <c r="D48"/>
  <c r="M52"/>
  <c r="J56"/>
  <c r="J57"/>
  <c r="J59"/>
  <c r="J61"/>
  <c r="F59"/>
  <c r="E59"/>
  <c r="D59"/>
  <c r="N56"/>
  <c r="M56"/>
  <c r="K56"/>
  <c r="F56"/>
  <c r="O55"/>
  <c r="N55"/>
  <c r="M55"/>
  <c r="K55"/>
  <c r="J55"/>
  <c r="I55"/>
  <c r="F55"/>
  <c r="O54"/>
  <c r="N54"/>
  <c r="F54"/>
  <c r="O53"/>
  <c r="N53"/>
  <c r="F53"/>
  <c r="F48"/>
  <c r="O52"/>
  <c r="N52"/>
  <c r="F52"/>
  <c r="K49"/>
  <c r="E48"/>
  <c r="M47"/>
  <c r="F33"/>
  <c r="D27"/>
  <c r="C25"/>
  <c r="C24"/>
  <c r="L19"/>
  <c r="D21"/>
  <c r="L18"/>
  <c r="D18"/>
  <c r="C18"/>
  <c r="D17"/>
  <c r="C17"/>
  <c r="L4"/>
  <c r="K4"/>
  <c r="A2"/>
  <c r="H1"/>
  <c r="F23" i="74"/>
  <c r="E23"/>
  <c r="F22"/>
  <c r="E22"/>
  <c r="F21"/>
  <c r="E21"/>
  <c r="F20"/>
  <c r="E20"/>
  <c r="F19"/>
  <c r="E19"/>
  <c r="F18"/>
  <c r="E18"/>
  <c r="F17"/>
  <c r="E17"/>
  <c r="G16"/>
  <c r="F16"/>
  <c r="E16"/>
  <c r="G15"/>
  <c r="F15"/>
  <c r="E15"/>
  <c r="I14"/>
  <c r="H14"/>
  <c r="C14"/>
  <c r="B14"/>
  <c r="B2"/>
  <c r="B8"/>
  <c r="D8"/>
  <c r="B1"/>
  <c r="C8"/>
  <c r="B7"/>
  <c r="D7"/>
  <c r="C7"/>
  <c r="B3"/>
  <c r="C24" i="20"/>
  <c r="C22"/>
  <c r="C21"/>
  <c r="G20"/>
  <c r="C20"/>
  <c r="G19"/>
  <c r="G18"/>
  <c r="C18"/>
  <c r="C17"/>
  <c r="G16"/>
  <c r="C16"/>
  <c r="G15"/>
  <c r="C15"/>
  <c r="B52" i="1"/>
  <c r="B43"/>
  <c r="B41"/>
  <c r="B31"/>
  <c r="B24"/>
  <c r="B23"/>
  <c r="B22"/>
  <c r="T7"/>
  <c r="S8"/>
  <c r="T8"/>
  <c r="S9"/>
  <c r="T9"/>
  <c r="S10"/>
  <c r="T10"/>
  <c r="S11"/>
  <c r="T11"/>
  <c r="S12"/>
  <c r="T12"/>
  <c r="S13"/>
  <c r="T13"/>
  <c r="T16"/>
  <c r="S16"/>
  <c r="R8"/>
  <c r="R9"/>
  <c r="R10"/>
  <c r="R11"/>
  <c r="R12"/>
  <c r="R13"/>
  <c r="R16"/>
  <c r="O6"/>
  <c r="O7"/>
  <c r="O8"/>
  <c r="O9"/>
  <c r="O10"/>
  <c r="O11"/>
  <c r="O12"/>
  <c r="O13"/>
  <c r="O14"/>
  <c r="O16"/>
  <c r="L16"/>
  <c r="F29" i="6"/>
  <c r="G29"/>
  <c r="E29"/>
  <c r="K15" i="1"/>
  <c r="K16"/>
  <c r="H16"/>
  <c r="AR13"/>
  <c r="AQ13"/>
  <c r="AG13"/>
  <c r="AE13"/>
  <c r="B13"/>
  <c r="E13"/>
  <c r="AR12"/>
  <c r="AQ12"/>
  <c r="AG12"/>
  <c r="AE12"/>
  <c r="B12"/>
  <c r="E12"/>
  <c r="AR11"/>
  <c r="AQ11"/>
  <c r="AG11"/>
  <c r="AE11"/>
  <c r="B11"/>
  <c r="E11"/>
  <c r="AR10"/>
  <c r="AQ10"/>
  <c r="AG10"/>
  <c r="AE10"/>
  <c r="B10"/>
  <c r="E10"/>
  <c r="AR9"/>
  <c r="AQ9"/>
  <c r="AG9"/>
  <c r="AE9"/>
  <c r="B9"/>
  <c r="E9"/>
  <c r="AR8"/>
  <c r="AQ8"/>
  <c r="AG8"/>
  <c r="AE8"/>
  <c r="B8"/>
  <c r="E8"/>
  <c r="AR7"/>
  <c r="AQ7"/>
  <c r="AG7"/>
  <c r="B7"/>
  <c r="E7"/>
  <c r="AR6"/>
  <c r="AQ6"/>
  <c r="AG6"/>
  <c r="B6"/>
  <c r="E6"/>
  <c r="T4"/>
  <c r="E32" i="6"/>
  <c r="G27"/>
  <c r="G30"/>
  <c r="G31"/>
  <c r="F30"/>
  <c r="F31"/>
  <c r="E30"/>
  <c r="E31"/>
  <c r="D20"/>
  <c r="D21"/>
  <c r="D22"/>
  <c r="D23"/>
  <c r="D24"/>
  <c r="D25"/>
  <c r="D26"/>
  <c r="D27"/>
  <c r="D28"/>
  <c r="D29"/>
  <c r="D30"/>
  <c r="D31"/>
  <c r="S19"/>
  <c r="K20"/>
  <c r="L20"/>
  <c r="M20"/>
  <c r="I20"/>
  <c r="S20"/>
  <c r="K21"/>
  <c r="L21"/>
  <c r="M21"/>
  <c r="I21"/>
  <c r="S21"/>
  <c r="K22"/>
  <c r="L22"/>
  <c r="M22"/>
  <c r="I22"/>
  <c r="S22"/>
  <c r="K23"/>
  <c r="L23"/>
  <c r="M23"/>
  <c r="I23"/>
  <c r="S23"/>
  <c r="K24"/>
  <c r="L24"/>
  <c r="M24"/>
  <c r="I24"/>
  <c r="S24"/>
  <c r="K25"/>
  <c r="L25"/>
  <c r="M25"/>
  <c r="I25"/>
  <c r="S25"/>
  <c r="K26"/>
  <c r="L26"/>
  <c r="M26"/>
  <c r="I26"/>
  <c r="S26"/>
  <c r="S27"/>
  <c r="H20"/>
  <c r="R20"/>
  <c r="H21"/>
  <c r="R21"/>
  <c r="H22"/>
  <c r="R22"/>
  <c r="H23"/>
  <c r="R23"/>
  <c r="H24"/>
  <c r="R24"/>
  <c r="H25"/>
  <c r="R25"/>
  <c r="H26"/>
  <c r="R26"/>
  <c r="R27"/>
  <c r="P27"/>
  <c r="O27"/>
  <c r="N27"/>
  <c r="M27"/>
  <c r="L27"/>
  <c r="K27"/>
  <c r="I27"/>
  <c r="H27"/>
  <c r="P26"/>
  <c r="E26"/>
  <c r="P25"/>
  <c r="E25"/>
  <c r="P24"/>
  <c r="E24"/>
  <c r="P23"/>
  <c r="E23"/>
  <c r="P22"/>
  <c r="E22"/>
  <c r="P21"/>
  <c r="E21"/>
  <c r="P20"/>
  <c r="E20"/>
  <c r="P19"/>
  <c r="E10"/>
  <c r="E16"/>
  <c r="D8"/>
  <c r="D9"/>
  <c r="D10"/>
  <c r="D11"/>
  <c r="D12"/>
  <c r="D13"/>
  <c r="D14"/>
  <c r="D15"/>
  <c r="D16"/>
  <c r="I6"/>
  <c r="D6"/>
  <c r="I5"/>
  <c r="D5"/>
  <c r="I3"/>
  <c r="BT587" i="3"/>
  <c r="BS587"/>
  <c r="BR587"/>
  <c r="BQ587"/>
  <c r="BP587"/>
  <c r="BO587"/>
  <c r="BN587"/>
  <c r="BM587"/>
  <c r="BL587"/>
  <c r="BK587"/>
  <c r="BJ587"/>
  <c r="BI587"/>
  <c r="BH587"/>
  <c r="BG587"/>
  <c r="BF587"/>
  <c r="BE587"/>
  <c r="BD587"/>
  <c r="BC587"/>
  <c r="BB587"/>
  <c r="BA587"/>
  <c r="AZ587"/>
  <c r="AY587"/>
  <c r="AX587"/>
  <c r="AW587"/>
  <c r="AV587"/>
  <c r="AC587"/>
  <c r="H587"/>
  <c r="G587"/>
  <c r="E587"/>
  <c r="BT586"/>
  <c r="BS586"/>
  <c r="BR586"/>
  <c r="BQ586"/>
  <c r="BP586"/>
  <c r="BO586"/>
  <c r="BN586"/>
  <c r="BM586"/>
  <c r="BL586"/>
  <c r="BK586"/>
  <c r="BJ586"/>
  <c r="BI586"/>
  <c r="BH586"/>
  <c r="BG586"/>
  <c r="BF586"/>
  <c r="BE586"/>
  <c r="BD586"/>
  <c r="BC586"/>
  <c r="BB586"/>
  <c r="BA586"/>
  <c r="AZ586"/>
  <c r="AY586"/>
  <c r="AX586"/>
  <c r="AW586"/>
  <c r="AV586"/>
  <c r="AC586"/>
  <c r="H586"/>
  <c r="G586"/>
  <c r="E586"/>
  <c r="BT585"/>
  <c r="BS585"/>
  <c r="BR585"/>
  <c r="BQ585"/>
  <c r="BP585"/>
  <c r="BO585"/>
  <c r="BN585"/>
  <c r="BM585"/>
  <c r="BL585"/>
  <c r="BK585"/>
  <c r="BJ585"/>
  <c r="BI585"/>
  <c r="BH585"/>
  <c r="BG585"/>
  <c r="BF585"/>
  <c r="BE585"/>
  <c r="BD585"/>
  <c r="BC585"/>
  <c r="BB585"/>
  <c r="BA585"/>
  <c r="AZ585"/>
  <c r="AY585"/>
  <c r="AX585"/>
  <c r="AW585"/>
  <c r="AV585"/>
  <c r="AC585"/>
  <c r="H585"/>
  <c r="G585"/>
  <c r="E585"/>
  <c r="BT584"/>
  <c r="BS584"/>
  <c r="BR584"/>
  <c r="BQ584"/>
  <c r="BP584"/>
  <c r="BO584"/>
  <c r="BN584"/>
  <c r="BM584"/>
  <c r="BL584"/>
  <c r="BK584"/>
  <c r="BJ584"/>
  <c r="BI584"/>
  <c r="BH584"/>
  <c r="BG584"/>
  <c r="BF584"/>
  <c r="BE584"/>
  <c r="BD584"/>
  <c r="BC584"/>
  <c r="BB584"/>
  <c r="BA584"/>
  <c r="AZ584"/>
  <c r="AY584"/>
  <c r="AX584"/>
  <c r="AW584"/>
  <c r="AV584"/>
  <c r="AC584"/>
  <c r="H584"/>
  <c r="G584"/>
  <c r="E584"/>
  <c r="BT583"/>
  <c r="BS583"/>
  <c r="BR583"/>
  <c r="BQ583"/>
  <c r="BP583"/>
  <c r="BO583"/>
  <c r="BN583"/>
  <c r="BM583"/>
  <c r="BL583"/>
  <c r="BK583"/>
  <c r="BJ583"/>
  <c r="BI583"/>
  <c r="BH583"/>
  <c r="BG583"/>
  <c r="BF583"/>
  <c r="BE583"/>
  <c r="BD583"/>
  <c r="BC583"/>
  <c r="BB583"/>
  <c r="BA583"/>
  <c r="AZ583"/>
  <c r="AY583"/>
  <c r="AX583"/>
  <c r="AW583"/>
  <c r="AV583"/>
  <c r="AC583"/>
  <c r="H583"/>
  <c r="G583"/>
  <c r="E583"/>
  <c r="BT582"/>
  <c r="BS582"/>
  <c r="BR582"/>
  <c r="BQ582"/>
  <c r="BP582"/>
  <c r="BO582"/>
  <c r="BN582"/>
  <c r="BM582"/>
  <c r="BL582"/>
  <c r="BK582"/>
  <c r="BJ582"/>
  <c r="BI582"/>
  <c r="BH582"/>
  <c r="BG582"/>
  <c r="BF582"/>
  <c r="BE582"/>
  <c r="BD582"/>
  <c r="BC582"/>
  <c r="BB582"/>
  <c r="BA582"/>
  <c r="AZ582"/>
  <c r="AY582"/>
  <c r="AX582"/>
  <c r="AW582"/>
  <c r="AV582"/>
  <c r="AC582"/>
  <c r="H582"/>
  <c r="G582"/>
  <c r="E582"/>
  <c r="BT581"/>
  <c r="BS581"/>
  <c r="BR581"/>
  <c r="BQ581"/>
  <c r="BP581"/>
  <c r="BO581"/>
  <c r="BN581"/>
  <c r="BM581"/>
  <c r="BL581"/>
  <c r="BK581"/>
  <c r="BJ581"/>
  <c r="BI581"/>
  <c r="BH581"/>
  <c r="BG581"/>
  <c r="BF581"/>
  <c r="BE581"/>
  <c r="BD581"/>
  <c r="BC581"/>
  <c r="BB581"/>
  <c r="BA581"/>
  <c r="AZ581"/>
  <c r="AY581"/>
  <c r="AX581"/>
  <c r="AW581"/>
  <c r="AV581"/>
  <c r="AC581"/>
  <c r="H581"/>
  <c r="G581"/>
  <c r="E581"/>
  <c r="BT580"/>
  <c r="BS580"/>
  <c r="BR580"/>
  <c r="BQ580"/>
  <c r="BP580"/>
  <c r="BO580"/>
  <c r="BN580"/>
  <c r="BM580"/>
  <c r="BL580"/>
  <c r="BK580"/>
  <c r="BJ580"/>
  <c r="BI580"/>
  <c r="BH580"/>
  <c r="BG580"/>
  <c r="BF580"/>
  <c r="BE580"/>
  <c r="BD580"/>
  <c r="BC580"/>
  <c r="BB580"/>
  <c r="BA580"/>
  <c r="AZ580"/>
  <c r="AY580"/>
  <c r="AX580"/>
  <c r="AW580"/>
  <c r="AV580"/>
  <c r="AC580"/>
  <c r="H580"/>
  <c r="G580"/>
  <c r="E580"/>
  <c r="BT579"/>
  <c r="BS579"/>
  <c r="BR579"/>
  <c r="BQ579"/>
  <c r="BP579"/>
  <c r="BO579"/>
  <c r="BN579"/>
  <c r="BM579"/>
  <c r="BL579"/>
  <c r="BK579"/>
  <c r="BJ579"/>
  <c r="BI579"/>
  <c r="BH579"/>
  <c r="BG579"/>
  <c r="BF579"/>
  <c r="BE579"/>
  <c r="BD579"/>
  <c r="BC579"/>
  <c r="BB579"/>
  <c r="BA579"/>
  <c r="AZ579"/>
  <c r="AY579"/>
  <c r="AX579"/>
  <c r="AW579"/>
  <c r="AV579"/>
  <c r="AC579"/>
  <c r="H579"/>
  <c r="G579"/>
  <c r="E579"/>
  <c r="BT578"/>
  <c r="BS578"/>
  <c r="BR578"/>
  <c r="BQ578"/>
  <c r="BP578"/>
  <c r="BO578"/>
  <c r="BN578"/>
  <c r="BM578"/>
  <c r="BL578"/>
  <c r="BK578"/>
  <c r="BJ578"/>
  <c r="BI578"/>
  <c r="BH578"/>
  <c r="BG578"/>
  <c r="BF578"/>
  <c r="BE578"/>
  <c r="BD578"/>
  <c r="BC578"/>
  <c r="BB578"/>
  <c r="BA578"/>
  <c r="AZ578"/>
  <c r="AY578"/>
  <c r="AX578"/>
  <c r="AW578"/>
  <c r="AV578"/>
  <c r="AC578"/>
  <c r="H578"/>
  <c r="G578"/>
  <c r="E578"/>
  <c r="BT577"/>
  <c r="BS577"/>
  <c r="BR577"/>
  <c r="BQ577"/>
  <c r="BP577"/>
  <c r="BO577"/>
  <c r="BN577"/>
  <c r="BM577"/>
  <c r="BL577"/>
  <c r="BK577"/>
  <c r="BJ577"/>
  <c r="BI577"/>
  <c r="BH577"/>
  <c r="BG577"/>
  <c r="BF577"/>
  <c r="BE577"/>
  <c r="BD577"/>
  <c r="BC577"/>
  <c r="BB577"/>
  <c r="BA577"/>
  <c r="AZ577"/>
  <c r="AY577"/>
  <c r="AX577"/>
  <c r="AW577"/>
  <c r="AV577"/>
  <c r="AC577"/>
  <c r="H577"/>
  <c r="G577"/>
  <c r="E577"/>
  <c r="BT576"/>
  <c r="BS576"/>
  <c r="BR576"/>
  <c r="BQ576"/>
  <c r="BP576"/>
  <c r="BO576"/>
  <c r="BN576"/>
  <c r="BM576"/>
  <c r="BL576"/>
  <c r="BK576"/>
  <c r="BJ576"/>
  <c r="BI576"/>
  <c r="BH576"/>
  <c r="BG576"/>
  <c r="BF576"/>
  <c r="BE576"/>
  <c r="BD576"/>
  <c r="BC576"/>
  <c r="BB576"/>
  <c r="BA576"/>
  <c r="AZ576"/>
  <c r="AY576"/>
  <c r="AX576"/>
  <c r="AW576"/>
  <c r="AV576"/>
  <c r="AC576"/>
  <c r="H576"/>
  <c r="G576"/>
  <c r="E576"/>
  <c r="BT575"/>
  <c r="BS575"/>
  <c r="BR575"/>
  <c r="BQ575"/>
  <c r="BP575"/>
  <c r="BO575"/>
  <c r="BN575"/>
  <c r="BM575"/>
  <c r="BL575"/>
  <c r="BK575"/>
  <c r="BJ575"/>
  <c r="BI575"/>
  <c r="BH575"/>
  <c r="BG575"/>
  <c r="BF575"/>
  <c r="BE575"/>
  <c r="BD575"/>
  <c r="BC575"/>
  <c r="BB575"/>
  <c r="BA575"/>
  <c r="AZ575"/>
  <c r="AY575"/>
  <c r="AX575"/>
  <c r="AW575"/>
  <c r="AV575"/>
  <c r="AC575"/>
  <c r="H575"/>
  <c r="G575"/>
  <c r="E575"/>
  <c r="BT574"/>
  <c r="BS574"/>
  <c r="BR574"/>
  <c r="BQ574"/>
  <c r="BP574"/>
  <c r="BO574"/>
  <c r="BN574"/>
  <c r="BM574"/>
  <c r="BL574"/>
  <c r="BK574"/>
  <c r="BJ574"/>
  <c r="BI574"/>
  <c r="BH574"/>
  <c r="BG574"/>
  <c r="BF574"/>
  <c r="BE574"/>
  <c r="BD574"/>
  <c r="BC574"/>
  <c r="BB574"/>
  <c r="BA574"/>
  <c r="AZ574"/>
  <c r="AY574"/>
  <c r="AX574"/>
  <c r="AW574"/>
  <c r="AV574"/>
  <c r="AC574"/>
  <c r="H574"/>
  <c r="G574"/>
  <c r="E574"/>
  <c r="BT573"/>
  <c r="BS573"/>
  <c r="BR573"/>
  <c r="BQ573"/>
  <c r="BP573"/>
  <c r="BO573"/>
  <c r="BN573"/>
  <c r="BM573"/>
  <c r="BL573"/>
  <c r="BK573"/>
  <c r="BJ573"/>
  <c r="BI573"/>
  <c r="BH573"/>
  <c r="BG573"/>
  <c r="BF573"/>
  <c r="BE573"/>
  <c r="BD573"/>
  <c r="BC573"/>
  <c r="BB573"/>
  <c r="BA573"/>
  <c r="AZ573"/>
  <c r="AY573"/>
  <c r="AX573"/>
  <c r="AW573"/>
  <c r="AV573"/>
  <c r="AC573"/>
  <c r="H573"/>
  <c r="G573"/>
  <c r="E573"/>
  <c r="BT572"/>
  <c r="BS572"/>
  <c r="BR572"/>
  <c r="BQ572"/>
  <c r="BP572"/>
  <c r="BO572"/>
  <c r="BN572"/>
  <c r="BM572"/>
  <c r="BL572"/>
  <c r="BK572"/>
  <c r="BJ572"/>
  <c r="BI572"/>
  <c r="BH572"/>
  <c r="BG572"/>
  <c r="BF572"/>
  <c r="BE572"/>
  <c r="BD572"/>
  <c r="BC572"/>
  <c r="BB572"/>
  <c r="BA572"/>
  <c r="AZ572"/>
  <c r="AY572"/>
  <c r="AX572"/>
  <c r="AW572"/>
  <c r="AV572"/>
  <c r="AC572"/>
  <c r="H572"/>
  <c r="G572"/>
  <c r="E572"/>
  <c r="BT571"/>
  <c r="BS571"/>
  <c r="BR571"/>
  <c r="BQ571"/>
  <c r="BP571"/>
  <c r="BO571"/>
  <c r="BN571"/>
  <c r="BM571"/>
  <c r="BL571"/>
  <c r="BK571"/>
  <c r="BJ571"/>
  <c r="BI571"/>
  <c r="BH571"/>
  <c r="BG571"/>
  <c r="BF571"/>
  <c r="BE571"/>
  <c r="BD571"/>
  <c r="BC571"/>
  <c r="BB571"/>
  <c r="BA571"/>
  <c r="AZ571"/>
  <c r="AY571"/>
  <c r="AX571"/>
  <c r="AW571"/>
  <c r="AV571"/>
  <c r="AC571"/>
  <c r="H571"/>
  <c r="G571"/>
  <c r="E571"/>
  <c r="BT570"/>
  <c r="BS570"/>
  <c r="BR570"/>
  <c r="BQ570"/>
  <c r="BP570"/>
  <c r="BO570"/>
  <c r="BN570"/>
  <c r="BM570"/>
  <c r="BL570"/>
  <c r="BK570"/>
  <c r="BJ570"/>
  <c r="BI570"/>
  <c r="BH570"/>
  <c r="BG570"/>
  <c r="BF570"/>
  <c r="BE570"/>
  <c r="BD570"/>
  <c r="BC570"/>
  <c r="BB570"/>
  <c r="BA570"/>
  <c r="AZ570"/>
  <c r="AY570"/>
  <c r="AX570"/>
  <c r="AW570"/>
  <c r="AV570"/>
  <c r="AC570"/>
  <c r="H570"/>
  <c r="G570"/>
  <c r="E570"/>
  <c r="BT569"/>
  <c r="BS569"/>
  <c r="BR569"/>
  <c r="BQ569"/>
  <c r="BP569"/>
  <c r="BO569"/>
  <c r="BN569"/>
  <c r="BM569"/>
  <c r="BL569"/>
  <c r="BK569"/>
  <c r="BJ569"/>
  <c r="BI569"/>
  <c r="BH569"/>
  <c r="BG569"/>
  <c r="BF569"/>
  <c r="BE569"/>
  <c r="BD569"/>
  <c r="BC569"/>
  <c r="BB569"/>
  <c r="BA569"/>
  <c r="AZ569"/>
  <c r="AY569"/>
  <c r="AX569"/>
  <c r="AW569"/>
  <c r="AV569"/>
  <c r="AC569"/>
  <c r="H569"/>
  <c r="G569"/>
  <c r="E569"/>
  <c r="BT568"/>
  <c r="BS568"/>
  <c r="BR568"/>
  <c r="BQ568"/>
  <c r="BP568"/>
  <c r="BO568"/>
  <c r="BN568"/>
  <c r="BM568"/>
  <c r="BL568"/>
  <c r="BK568"/>
  <c r="BJ568"/>
  <c r="BI568"/>
  <c r="BH568"/>
  <c r="BG568"/>
  <c r="BF568"/>
  <c r="BE568"/>
  <c r="BD568"/>
  <c r="BC568"/>
  <c r="BB568"/>
  <c r="BA568"/>
  <c r="AZ568"/>
  <c r="AY568"/>
  <c r="AX568"/>
  <c r="AW568"/>
  <c r="AV568"/>
  <c r="AC568"/>
  <c r="H568"/>
  <c r="G568"/>
  <c r="E568"/>
  <c r="BT567"/>
  <c r="BS567"/>
  <c r="BR567"/>
  <c r="BQ567"/>
  <c r="BP567"/>
  <c r="BO567"/>
  <c r="BN567"/>
  <c r="BM567"/>
  <c r="BL567"/>
  <c r="BK567"/>
  <c r="BJ567"/>
  <c r="BI567"/>
  <c r="BH567"/>
  <c r="BG567"/>
  <c r="BF567"/>
  <c r="BE567"/>
  <c r="BD567"/>
  <c r="BC567"/>
  <c r="BB567"/>
  <c r="BA567"/>
  <c r="AZ567"/>
  <c r="AY567"/>
  <c r="AX567"/>
  <c r="AW567"/>
  <c r="AV567"/>
  <c r="AC567"/>
  <c r="H567"/>
  <c r="G567"/>
  <c r="E567"/>
  <c r="BT566"/>
  <c r="BS566"/>
  <c r="BR566"/>
  <c r="BQ566"/>
  <c r="BP566"/>
  <c r="BO566"/>
  <c r="BN566"/>
  <c r="BM566"/>
  <c r="BL566"/>
  <c r="BK566"/>
  <c r="BJ566"/>
  <c r="BI566"/>
  <c r="BH566"/>
  <c r="BG566"/>
  <c r="BF566"/>
  <c r="BE566"/>
  <c r="BD566"/>
  <c r="BC566"/>
  <c r="BB566"/>
  <c r="BA566"/>
  <c r="AZ566"/>
  <c r="AY566"/>
  <c r="AX566"/>
  <c r="AW566"/>
  <c r="AV566"/>
  <c r="AC566"/>
  <c r="H566"/>
  <c r="G566"/>
  <c r="E566"/>
  <c r="BT565"/>
  <c r="BS565"/>
  <c r="BR565"/>
  <c r="BQ565"/>
  <c r="BP565"/>
  <c r="BO565"/>
  <c r="BN565"/>
  <c r="BM565"/>
  <c r="BL565"/>
  <c r="BK565"/>
  <c r="BJ565"/>
  <c r="BI565"/>
  <c r="BH565"/>
  <c r="BG565"/>
  <c r="BF565"/>
  <c r="BE565"/>
  <c r="BD565"/>
  <c r="BC565"/>
  <c r="BB565"/>
  <c r="BA565"/>
  <c r="AZ565"/>
  <c r="AY565"/>
  <c r="AX565"/>
  <c r="AW565"/>
  <c r="AV565"/>
  <c r="AC565"/>
  <c r="H565"/>
  <c r="G565"/>
  <c r="E565"/>
  <c r="BT564"/>
  <c r="BS564"/>
  <c r="BR564"/>
  <c r="BQ564"/>
  <c r="BP564"/>
  <c r="BO564"/>
  <c r="BN564"/>
  <c r="BM564"/>
  <c r="BL564"/>
  <c r="BK564"/>
  <c r="BJ564"/>
  <c r="BI564"/>
  <c r="BH564"/>
  <c r="BG564"/>
  <c r="BF564"/>
  <c r="BE564"/>
  <c r="BD564"/>
  <c r="BC564"/>
  <c r="BB564"/>
  <c r="BA564"/>
  <c r="AZ564"/>
  <c r="AY564"/>
  <c r="AX564"/>
  <c r="AW564"/>
  <c r="AV564"/>
  <c r="AC564"/>
  <c r="H564"/>
  <c r="G564"/>
  <c r="E564"/>
  <c r="BT563"/>
  <c r="BS563"/>
  <c r="BR563"/>
  <c r="BQ563"/>
  <c r="BP563"/>
  <c r="BO563"/>
  <c r="BN563"/>
  <c r="BM563"/>
  <c r="BL563"/>
  <c r="BK563"/>
  <c r="BJ563"/>
  <c r="BI563"/>
  <c r="BH563"/>
  <c r="BG563"/>
  <c r="BF563"/>
  <c r="BE563"/>
  <c r="BD563"/>
  <c r="BC563"/>
  <c r="BB563"/>
  <c r="BA563"/>
  <c r="AZ563"/>
  <c r="AY563"/>
  <c r="AX563"/>
  <c r="AW563"/>
  <c r="AV563"/>
  <c r="AC563"/>
  <c r="H563"/>
  <c r="G563"/>
  <c r="E563"/>
  <c r="BT562"/>
  <c r="BS562"/>
  <c r="BR562"/>
  <c r="BQ562"/>
  <c r="BP562"/>
  <c r="BO562"/>
  <c r="BN562"/>
  <c r="BM562"/>
  <c r="BL562"/>
  <c r="BK562"/>
  <c r="BJ562"/>
  <c r="BI562"/>
  <c r="BH562"/>
  <c r="BG562"/>
  <c r="BF562"/>
  <c r="BE562"/>
  <c r="BD562"/>
  <c r="BC562"/>
  <c r="BB562"/>
  <c r="BA562"/>
  <c r="AZ562"/>
  <c r="AY562"/>
  <c r="AX562"/>
  <c r="AW562"/>
  <c r="AV562"/>
  <c r="AC562"/>
  <c r="H562"/>
  <c r="G562"/>
  <c r="E562"/>
  <c r="BT561"/>
  <c r="BS561"/>
  <c r="BR561"/>
  <c r="BQ561"/>
  <c r="BP561"/>
  <c r="BO561"/>
  <c r="BN561"/>
  <c r="BM561"/>
  <c r="BL561"/>
  <c r="BK561"/>
  <c r="BJ561"/>
  <c r="BI561"/>
  <c r="BH561"/>
  <c r="BG561"/>
  <c r="BF561"/>
  <c r="BE561"/>
  <c r="BD561"/>
  <c r="BC561"/>
  <c r="BB561"/>
  <c r="BA561"/>
  <c r="AZ561"/>
  <c r="AY561"/>
  <c r="AX561"/>
  <c r="AW561"/>
  <c r="AV561"/>
  <c r="AC561"/>
  <c r="H561"/>
  <c r="G561"/>
  <c r="E561"/>
  <c r="BT560"/>
  <c r="BS560"/>
  <c r="BR560"/>
  <c r="BQ560"/>
  <c r="BP560"/>
  <c r="BO560"/>
  <c r="BN560"/>
  <c r="BM560"/>
  <c r="BL560"/>
  <c r="BK560"/>
  <c r="BJ560"/>
  <c r="BI560"/>
  <c r="BH560"/>
  <c r="BG560"/>
  <c r="BF560"/>
  <c r="BE560"/>
  <c r="BD560"/>
  <c r="BC560"/>
  <c r="BB560"/>
  <c r="BA560"/>
  <c r="AZ560"/>
  <c r="AY560"/>
  <c r="AX560"/>
  <c r="AW560"/>
  <c r="AV560"/>
  <c r="AC560"/>
  <c r="H560"/>
  <c r="G560"/>
  <c r="E560"/>
  <c r="BT559"/>
  <c r="BS559"/>
  <c r="BR559"/>
  <c r="BQ559"/>
  <c r="BP559"/>
  <c r="BO559"/>
  <c r="BN559"/>
  <c r="BM559"/>
  <c r="BL559"/>
  <c r="BK559"/>
  <c r="BJ559"/>
  <c r="BI559"/>
  <c r="BH559"/>
  <c r="BG559"/>
  <c r="BF559"/>
  <c r="BE559"/>
  <c r="BD559"/>
  <c r="BC559"/>
  <c r="BB559"/>
  <c r="BA559"/>
  <c r="AZ559"/>
  <c r="AY559"/>
  <c r="AX559"/>
  <c r="AW559"/>
  <c r="AV559"/>
  <c r="AC559"/>
  <c r="H559"/>
  <c r="G559"/>
  <c r="E559"/>
  <c r="BT558"/>
  <c r="BS558"/>
  <c r="BR558"/>
  <c r="BQ558"/>
  <c r="BP558"/>
  <c r="BO558"/>
  <c r="BN558"/>
  <c r="BM558"/>
  <c r="BL558"/>
  <c r="BK558"/>
  <c r="BJ558"/>
  <c r="BI558"/>
  <c r="BH558"/>
  <c r="BG558"/>
  <c r="BF558"/>
  <c r="BE558"/>
  <c r="BD558"/>
  <c r="BC558"/>
  <c r="BB558"/>
  <c r="BA558"/>
  <c r="AZ558"/>
  <c r="AY558"/>
  <c r="AX558"/>
  <c r="AW558"/>
  <c r="AV558"/>
  <c r="AC558"/>
  <c r="H558"/>
  <c r="G558"/>
  <c r="E558"/>
  <c r="BT557"/>
  <c r="BS557"/>
  <c r="BR557"/>
  <c r="BQ557"/>
  <c r="BP557"/>
  <c r="BO557"/>
  <c r="BN557"/>
  <c r="BM557"/>
  <c r="BL557"/>
  <c r="BK557"/>
  <c r="BJ557"/>
  <c r="BI557"/>
  <c r="BH557"/>
  <c r="BG557"/>
  <c r="BF557"/>
  <c r="BE557"/>
  <c r="BD557"/>
  <c r="BC557"/>
  <c r="BB557"/>
  <c r="BA557"/>
  <c r="AZ557"/>
  <c r="AY557"/>
  <c r="AX557"/>
  <c r="AW557"/>
  <c r="AV557"/>
  <c r="AC557"/>
  <c r="H557"/>
  <c r="G557"/>
  <c r="E557"/>
  <c r="BT556"/>
  <c r="BS556"/>
  <c r="BR556"/>
  <c r="BQ556"/>
  <c r="BP556"/>
  <c r="BO556"/>
  <c r="BN556"/>
  <c r="BM556"/>
  <c r="BL556"/>
  <c r="BK556"/>
  <c r="BJ556"/>
  <c r="BI556"/>
  <c r="BH556"/>
  <c r="BG556"/>
  <c r="BF556"/>
  <c r="BE556"/>
  <c r="BD556"/>
  <c r="BC556"/>
  <c r="BB556"/>
  <c r="BA556"/>
  <c r="AZ556"/>
  <c r="AY556"/>
  <c r="AX556"/>
  <c r="AW556"/>
  <c r="AV556"/>
  <c r="AC556"/>
  <c r="H556"/>
  <c r="G556"/>
  <c r="E556"/>
  <c r="BT555"/>
  <c r="BS555"/>
  <c r="BR555"/>
  <c r="BQ555"/>
  <c r="BP555"/>
  <c r="BO555"/>
  <c r="BN555"/>
  <c r="BM555"/>
  <c r="BL555"/>
  <c r="BK555"/>
  <c r="BJ555"/>
  <c r="BI555"/>
  <c r="BH555"/>
  <c r="BG555"/>
  <c r="BF555"/>
  <c r="BE555"/>
  <c r="BD555"/>
  <c r="BC555"/>
  <c r="BB555"/>
  <c r="BA555"/>
  <c r="AZ555"/>
  <c r="AY555"/>
  <c r="AX555"/>
  <c r="AW555"/>
  <c r="AV555"/>
  <c r="AC555"/>
  <c r="H555"/>
  <c r="G555"/>
  <c r="E555"/>
  <c r="BT554"/>
  <c r="BS554"/>
  <c r="BR554"/>
  <c r="BQ554"/>
  <c r="BP554"/>
  <c r="BO554"/>
  <c r="BN554"/>
  <c r="BM554"/>
  <c r="BL554"/>
  <c r="BK554"/>
  <c r="BJ554"/>
  <c r="BI554"/>
  <c r="BH554"/>
  <c r="BG554"/>
  <c r="BF554"/>
  <c r="BE554"/>
  <c r="BD554"/>
  <c r="BC554"/>
  <c r="BB554"/>
  <c r="BA554"/>
  <c r="AZ554"/>
  <c r="AY554"/>
  <c r="AX554"/>
  <c r="AW554"/>
  <c r="AV554"/>
  <c r="AC554"/>
  <c r="H554"/>
  <c r="G554"/>
  <c r="E554"/>
  <c r="BT553"/>
  <c r="BS553"/>
  <c r="BR553"/>
  <c r="BQ553"/>
  <c r="BP553"/>
  <c r="BO553"/>
  <c r="BN553"/>
  <c r="BM553"/>
  <c r="BL553"/>
  <c r="BK553"/>
  <c r="BJ553"/>
  <c r="BI553"/>
  <c r="BH553"/>
  <c r="BG553"/>
  <c r="BF553"/>
  <c r="BE553"/>
  <c r="BD553"/>
  <c r="BC553"/>
  <c r="BB553"/>
  <c r="BA553"/>
  <c r="AZ553"/>
  <c r="AY553"/>
  <c r="AX553"/>
  <c r="AW553"/>
  <c r="AV553"/>
  <c r="AC553"/>
  <c r="H553"/>
  <c r="G553"/>
  <c r="E553"/>
  <c r="BT552"/>
  <c r="BS552"/>
  <c r="BR552"/>
  <c r="BQ552"/>
  <c r="BP552"/>
  <c r="BO552"/>
  <c r="BN552"/>
  <c r="BM552"/>
  <c r="BL552"/>
  <c r="BK552"/>
  <c r="BJ552"/>
  <c r="BI552"/>
  <c r="BH552"/>
  <c r="BG552"/>
  <c r="BF552"/>
  <c r="BE552"/>
  <c r="BD552"/>
  <c r="BC552"/>
  <c r="BB552"/>
  <c r="BA552"/>
  <c r="AZ552"/>
  <c r="AY552"/>
  <c r="AX552"/>
  <c r="AW552"/>
  <c r="AV552"/>
  <c r="AC552"/>
  <c r="H552"/>
  <c r="G552"/>
  <c r="E552"/>
  <c r="BT551"/>
  <c r="BS551"/>
  <c r="BR551"/>
  <c r="BQ551"/>
  <c r="BP551"/>
  <c r="BO551"/>
  <c r="BN551"/>
  <c r="BM551"/>
  <c r="BL551"/>
  <c r="BK551"/>
  <c r="BJ551"/>
  <c r="BI551"/>
  <c r="BH551"/>
  <c r="BG551"/>
  <c r="BF551"/>
  <c r="BE551"/>
  <c r="BD551"/>
  <c r="BC551"/>
  <c r="BB551"/>
  <c r="BA551"/>
  <c r="AZ551"/>
  <c r="AY551"/>
  <c r="AX551"/>
  <c r="AW551"/>
  <c r="AV551"/>
  <c r="AC551"/>
  <c r="H551"/>
  <c r="G551"/>
  <c r="E551"/>
  <c r="BT550"/>
  <c r="BS550"/>
  <c r="BR550"/>
  <c r="BQ550"/>
  <c r="BP550"/>
  <c r="BO550"/>
  <c r="BN550"/>
  <c r="BM550"/>
  <c r="BL550"/>
  <c r="BK550"/>
  <c r="BJ550"/>
  <c r="BI550"/>
  <c r="BH550"/>
  <c r="BG550"/>
  <c r="BF550"/>
  <c r="BE550"/>
  <c r="BD550"/>
  <c r="BC550"/>
  <c r="BB550"/>
  <c r="BA550"/>
  <c r="AZ550"/>
  <c r="AY550"/>
  <c r="AX550"/>
  <c r="AW550"/>
  <c r="AV550"/>
  <c r="AC550"/>
  <c r="H550"/>
  <c r="G550"/>
  <c r="E550"/>
  <c r="BT549"/>
  <c r="BS549"/>
  <c r="BR549"/>
  <c r="BQ549"/>
  <c r="BP549"/>
  <c r="BO549"/>
  <c r="BN549"/>
  <c r="BM549"/>
  <c r="BL549"/>
  <c r="BK549"/>
  <c r="BJ549"/>
  <c r="BI549"/>
  <c r="BH549"/>
  <c r="BG549"/>
  <c r="BF549"/>
  <c r="BE549"/>
  <c r="BD549"/>
  <c r="BC549"/>
  <c r="BB549"/>
  <c r="BA549"/>
  <c r="AZ549"/>
  <c r="AY549"/>
  <c r="AX549"/>
  <c r="AW549"/>
  <c r="AV549"/>
  <c r="AC549"/>
  <c r="H549"/>
  <c r="G549"/>
  <c r="E549"/>
  <c r="BT548"/>
  <c r="BS548"/>
  <c r="BR548"/>
  <c r="BQ548"/>
  <c r="BP548"/>
  <c r="BO548"/>
  <c r="BN548"/>
  <c r="BM548"/>
  <c r="BL548"/>
  <c r="BK548"/>
  <c r="BJ548"/>
  <c r="BI548"/>
  <c r="BH548"/>
  <c r="BG548"/>
  <c r="BF548"/>
  <c r="BE548"/>
  <c r="BD548"/>
  <c r="BC548"/>
  <c r="BB548"/>
  <c r="BA548"/>
  <c r="AZ548"/>
  <c r="AY548"/>
  <c r="AX548"/>
  <c r="AW548"/>
  <c r="AV548"/>
  <c r="AC548"/>
  <c r="H548"/>
  <c r="G548"/>
  <c r="E548"/>
  <c r="BT547"/>
  <c r="BS547"/>
  <c r="BR547"/>
  <c r="BQ547"/>
  <c r="BP547"/>
  <c r="BO547"/>
  <c r="BN547"/>
  <c r="BM547"/>
  <c r="BL547"/>
  <c r="BK547"/>
  <c r="BJ547"/>
  <c r="BI547"/>
  <c r="BH547"/>
  <c r="BG547"/>
  <c r="BF547"/>
  <c r="BE547"/>
  <c r="BD547"/>
  <c r="BC547"/>
  <c r="BB547"/>
  <c r="BA547"/>
  <c r="AZ547"/>
  <c r="AY547"/>
  <c r="AX547"/>
  <c r="AW547"/>
  <c r="AV547"/>
  <c r="AC547"/>
  <c r="H547"/>
  <c r="G547"/>
  <c r="E547"/>
  <c r="BT546"/>
  <c r="BS546"/>
  <c r="BR546"/>
  <c r="BQ546"/>
  <c r="BP546"/>
  <c r="BO546"/>
  <c r="BN546"/>
  <c r="BM546"/>
  <c r="BL546"/>
  <c r="BK546"/>
  <c r="BJ546"/>
  <c r="BI546"/>
  <c r="BH546"/>
  <c r="BG546"/>
  <c r="BF546"/>
  <c r="BE546"/>
  <c r="BD546"/>
  <c r="BC546"/>
  <c r="BB546"/>
  <c r="BA546"/>
  <c r="AZ546"/>
  <c r="AY546"/>
  <c r="AX546"/>
  <c r="AW546"/>
  <c r="AV546"/>
  <c r="AC546"/>
  <c r="H546"/>
  <c r="G546"/>
  <c r="E546"/>
  <c r="BT545"/>
  <c r="BS545"/>
  <c r="BR545"/>
  <c r="BQ545"/>
  <c r="BP545"/>
  <c r="BO545"/>
  <c r="BN545"/>
  <c r="BM545"/>
  <c r="BL545"/>
  <c r="BK545"/>
  <c r="BJ545"/>
  <c r="BI545"/>
  <c r="BH545"/>
  <c r="BG545"/>
  <c r="BF545"/>
  <c r="BE545"/>
  <c r="BD545"/>
  <c r="BC545"/>
  <c r="BB545"/>
  <c r="BA545"/>
  <c r="AZ545"/>
  <c r="AY545"/>
  <c r="AX545"/>
  <c r="AW545"/>
  <c r="AV545"/>
  <c r="AC545"/>
  <c r="H545"/>
  <c r="G545"/>
  <c r="E545"/>
  <c r="BT544"/>
  <c r="BS544"/>
  <c r="BR544"/>
  <c r="BQ544"/>
  <c r="BP544"/>
  <c r="BO544"/>
  <c r="BN544"/>
  <c r="BM544"/>
  <c r="BL544"/>
  <c r="BK544"/>
  <c r="BJ544"/>
  <c r="BI544"/>
  <c r="BH544"/>
  <c r="BG544"/>
  <c r="BF544"/>
  <c r="BE544"/>
  <c r="BD544"/>
  <c r="BC544"/>
  <c r="BB544"/>
  <c r="BA544"/>
  <c r="AZ544"/>
  <c r="AY544"/>
  <c r="AX544"/>
  <c r="AW544"/>
  <c r="AV544"/>
  <c r="AC544"/>
  <c r="H544"/>
  <c r="G544"/>
  <c r="E544"/>
  <c r="BT543"/>
  <c r="BS543"/>
  <c r="BR543"/>
  <c r="BQ543"/>
  <c r="BP543"/>
  <c r="BO543"/>
  <c r="BN543"/>
  <c r="BM543"/>
  <c r="BL543"/>
  <c r="BK543"/>
  <c r="BJ543"/>
  <c r="BI543"/>
  <c r="BH543"/>
  <c r="BG543"/>
  <c r="BF543"/>
  <c r="BE543"/>
  <c r="BD543"/>
  <c r="BC543"/>
  <c r="BB543"/>
  <c r="BA543"/>
  <c r="AZ543"/>
  <c r="AY543"/>
  <c r="AX543"/>
  <c r="AW543"/>
  <c r="AV543"/>
  <c r="AC543"/>
  <c r="H543"/>
  <c r="G543"/>
  <c r="E543"/>
  <c r="BT542"/>
  <c r="BS542"/>
  <c r="BR542"/>
  <c r="BQ542"/>
  <c r="BP542"/>
  <c r="BO542"/>
  <c r="BN542"/>
  <c r="BM542"/>
  <c r="BL542"/>
  <c r="BK542"/>
  <c r="BJ542"/>
  <c r="BI542"/>
  <c r="BH542"/>
  <c r="BG542"/>
  <c r="BF542"/>
  <c r="BE542"/>
  <c r="BD542"/>
  <c r="BC542"/>
  <c r="BB542"/>
  <c r="BA542"/>
  <c r="AZ542"/>
  <c r="AY542"/>
  <c r="AX542"/>
  <c r="AW542"/>
  <c r="AV542"/>
  <c r="AC542"/>
  <c r="H542"/>
  <c r="G542"/>
  <c r="E542"/>
  <c r="BT541"/>
  <c r="BS541"/>
  <c r="BR541"/>
  <c r="BQ541"/>
  <c r="BP541"/>
  <c r="BO541"/>
  <c r="BN541"/>
  <c r="BM541"/>
  <c r="BL541"/>
  <c r="BK541"/>
  <c r="BJ541"/>
  <c r="BI541"/>
  <c r="BH541"/>
  <c r="BG541"/>
  <c r="BF541"/>
  <c r="BE541"/>
  <c r="BD541"/>
  <c r="BC541"/>
  <c r="BB541"/>
  <c r="BA541"/>
  <c r="AZ541"/>
  <c r="AY541"/>
  <c r="AX541"/>
  <c r="AW541"/>
  <c r="AV541"/>
  <c r="AC541"/>
  <c r="H541"/>
  <c r="G541"/>
  <c r="E541"/>
  <c r="BT540"/>
  <c r="BS540"/>
  <c r="BR540"/>
  <c r="BQ540"/>
  <c r="BP540"/>
  <c r="BO540"/>
  <c r="BN540"/>
  <c r="BM540"/>
  <c r="BL540"/>
  <c r="BK540"/>
  <c r="BJ540"/>
  <c r="BI540"/>
  <c r="BH540"/>
  <c r="BG540"/>
  <c r="BF540"/>
  <c r="BE540"/>
  <c r="BD540"/>
  <c r="BC540"/>
  <c r="BB540"/>
  <c r="BA540"/>
  <c r="AZ540"/>
  <c r="AY540"/>
  <c r="AX540"/>
  <c r="AW540"/>
  <c r="AV540"/>
  <c r="AC540"/>
  <c r="H540"/>
  <c r="G540"/>
  <c r="E540"/>
  <c r="BT539"/>
  <c r="BS539"/>
  <c r="BR539"/>
  <c r="BQ539"/>
  <c r="BP539"/>
  <c r="BO539"/>
  <c r="BN539"/>
  <c r="BM539"/>
  <c r="BL539"/>
  <c r="BK539"/>
  <c r="BJ539"/>
  <c r="BI539"/>
  <c r="BH539"/>
  <c r="BG539"/>
  <c r="BF539"/>
  <c r="BE539"/>
  <c r="BD539"/>
  <c r="BC539"/>
  <c r="BB539"/>
  <c r="BA539"/>
  <c r="AZ539"/>
  <c r="AY539"/>
  <c r="AX539"/>
  <c r="AW539"/>
  <c r="AV539"/>
  <c r="AC539"/>
  <c r="H539"/>
  <c r="G539"/>
  <c r="E539"/>
  <c r="BT538"/>
  <c r="BS538"/>
  <c r="BR538"/>
  <c r="BQ538"/>
  <c r="BP538"/>
  <c r="BO538"/>
  <c r="BN538"/>
  <c r="BM538"/>
  <c r="BL538"/>
  <c r="BK538"/>
  <c r="BJ538"/>
  <c r="BI538"/>
  <c r="BH538"/>
  <c r="BG538"/>
  <c r="BF538"/>
  <c r="BE538"/>
  <c r="BD538"/>
  <c r="BC538"/>
  <c r="BB538"/>
  <c r="BA538"/>
  <c r="AZ538"/>
  <c r="AY538"/>
  <c r="AX538"/>
  <c r="AW538"/>
  <c r="AV538"/>
  <c r="AC538"/>
  <c r="H538"/>
  <c r="G538"/>
  <c r="E538"/>
  <c r="BT537"/>
  <c r="BS537"/>
  <c r="BR537"/>
  <c r="BQ537"/>
  <c r="BP537"/>
  <c r="BO537"/>
  <c r="BN537"/>
  <c r="BM537"/>
  <c r="BL537"/>
  <c r="BK537"/>
  <c r="BJ537"/>
  <c r="BI537"/>
  <c r="BH537"/>
  <c r="BG537"/>
  <c r="BF537"/>
  <c r="BE537"/>
  <c r="BD537"/>
  <c r="BC537"/>
  <c r="BB537"/>
  <c r="BA537"/>
  <c r="AZ537"/>
  <c r="AY537"/>
  <c r="AX537"/>
  <c r="AW537"/>
  <c r="AV537"/>
  <c r="AC537"/>
  <c r="H537"/>
  <c r="G537"/>
  <c r="E537"/>
  <c r="BT536"/>
  <c r="BS536"/>
  <c r="BR536"/>
  <c r="BQ536"/>
  <c r="BP536"/>
  <c r="BO536"/>
  <c r="BN536"/>
  <c r="BM536"/>
  <c r="BL536"/>
  <c r="BK536"/>
  <c r="BJ536"/>
  <c r="BI536"/>
  <c r="BH536"/>
  <c r="BG536"/>
  <c r="BF536"/>
  <c r="BE536"/>
  <c r="BD536"/>
  <c r="BC536"/>
  <c r="BB536"/>
  <c r="BA536"/>
  <c r="AZ536"/>
  <c r="AY536"/>
  <c r="AX536"/>
  <c r="AW536"/>
  <c r="AV536"/>
  <c r="AC536"/>
  <c r="H536"/>
  <c r="G536"/>
  <c r="E536"/>
  <c r="BT535"/>
  <c r="BS535"/>
  <c r="BR535"/>
  <c r="BQ535"/>
  <c r="BP535"/>
  <c r="BO535"/>
  <c r="BN535"/>
  <c r="BM535"/>
  <c r="BL535"/>
  <c r="BK535"/>
  <c r="BJ535"/>
  <c r="BI535"/>
  <c r="BH535"/>
  <c r="BG535"/>
  <c r="BF535"/>
  <c r="BE535"/>
  <c r="BD535"/>
  <c r="BC535"/>
  <c r="BB535"/>
  <c r="BA535"/>
  <c r="AZ535"/>
  <c r="AY535"/>
  <c r="AX535"/>
  <c r="AW535"/>
  <c r="AV535"/>
  <c r="AC535"/>
  <c r="H535"/>
  <c r="G535"/>
  <c r="E535"/>
  <c r="BT534"/>
  <c r="BS534"/>
  <c r="BR534"/>
  <c r="BQ534"/>
  <c r="BP534"/>
  <c r="BO534"/>
  <c r="BN534"/>
  <c r="BM534"/>
  <c r="BL534"/>
  <c r="BK534"/>
  <c r="BJ534"/>
  <c r="BI534"/>
  <c r="BH534"/>
  <c r="BG534"/>
  <c r="BF534"/>
  <c r="BE534"/>
  <c r="BD534"/>
  <c r="BC534"/>
  <c r="BB534"/>
  <c r="BA534"/>
  <c r="AZ534"/>
  <c r="AY534"/>
  <c r="AX534"/>
  <c r="AW534"/>
  <c r="AV534"/>
  <c r="AC534"/>
  <c r="H534"/>
  <c r="G534"/>
  <c r="E534"/>
  <c r="BT533"/>
  <c r="BS533"/>
  <c r="BR533"/>
  <c r="BQ533"/>
  <c r="BP533"/>
  <c r="BO533"/>
  <c r="BN533"/>
  <c r="BM533"/>
  <c r="BL533"/>
  <c r="BK533"/>
  <c r="BJ533"/>
  <c r="BI533"/>
  <c r="BH533"/>
  <c r="BG533"/>
  <c r="BF533"/>
  <c r="BE533"/>
  <c r="BD533"/>
  <c r="BC533"/>
  <c r="BB533"/>
  <c r="BA533"/>
  <c r="AZ533"/>
  <c r="AY533"/>
  <c r="AX533"/>
  <c r="AW533"/>
  <c r="AV533"/>
  <c r="AC533"/>
  <c r="H533"/>
  <c r="G533"/>
  <c r="E533"/>
  <c r="BT532"/>
  <c r="BS532"/>
  <c r="BR532"/>
  <c r="BQ532"/>
  <c r="BP532"/>
  <c r="BO532"/>
  <c r="BN532"/>
  <c r="BM532"/>
  <c r="BL532"/>
  <c r="BK532"/>
  <c r="BJ532"/>
  <c r="BI532"/>
  <c r="BH532"/>
  <c r="BG532"/>
  <c r="BF532"/>
  <c r="BE532"/>
  <c r="BD532"/>
  <c r="BC532"/>
  <c r="BB532"/>
  <c r="BA532"/>
  <c r="AZ532"/>
  <c r="AY532"/>
  <c r="AX532"/>
  <c r="AW532"/>
  <c r="AV532"/>
  <c r="AC532"/>
  <c r="H532"/>
  <c r="G532"/>
  <c r="E532"/>
  <c r="BT531"/>
  <c r="BS531"/>
  <c r="BR531"/>
  <c r="BQ531"/>
  <c r="BP531"/>
  <c r="BO531"/>
  <c r="BN531"/>
  <c r="BM531"/>
  <c r="BL531"/>
  <c r="BK531"/>
  <c r="BJ531"/>
  <c r="BI531"/>
  <c r="BH531"/>
  <c r="BG531"/>
  <c r="BF531"/>
  <c r="BE531"/>
  <c r="BD531"/>
  <c r="BC531"/>
  <c r="BB531"/>
  <c r="BA531"/>
  <c r="AZ531"/>
  <c r="AY531"/>
  <c r="AX531"/>
  <c r="AW531"/>
  <c r="AV531"/>
  <c r="AC531"/>
  <c r="H531"/>
  <c r="G531"/>
  <c r="E531"/>
  <c r="BT530"/>
  <c r="BS530"/>
  <c r="BR530"/>
  <c r="BQ530"/>
  <c r="BP530"/>
  <c r="BO530"/>
  <c r="BN530"/>
  <c r="BM530"/>
  <c r="BL530"/>
  <c r="BK530"/>
  <c r="BJ530"/>
  <c r="BI530"/>
  <c r="BH530"/>
  <c r="BG530"/>
  <c r="BF530"/>
  <c r="BE530"/>
  <c r="BD530"/>
  <c r="BC530"/>
  <c r="BB530"/>
  <c r="BA530"/>
  <c r="AZ530"/>
  <c r="AY530"/>
  <c r="AX530"/>
  <c r="AW530"/>
  <c r="AV530"/>
  <c r="AC530"/>
  <c r="H530"/>
  <c r="G530"/>
  <c r="E530"/>
  <c r="BT529"/>
  <c r="BS529"/>
  <c r="BR529"/>
  <c r="BQ529"/>
  <c r="BP529"/>
  <c r="BO529"/>
  <c r="BN529"/>
  <c r="BM529"/>
  <c r="BL529"/>
  <c r="BK529"/>
  <c r="BJ529"/>
  <c r="BI529"/>
  <c r="BH529"/>
  <c r="BG529"/>
  <c r="BF529"/>
  <c r="BE529"/>
  <c r="BD529"/>
  <c r="BC529"/>
  <c r="BB529"/>
  <c r="BA529"/>
  <c r="AZ529"/>
  <c r="AY529"/>
  <c r="AX529"/>
  <c r="AW529"/>
  <c r="AV529"/>
  <c r="AC529"/>
  <c r="H529"/>
  <c r="G529"/>
  <c r="E529"/>
  <c r="BT528"/>
  <c r="BS528"/>
  <c r="BR528"/>
  <c r="BQ528"/>
  <c r="BP528"/>
  <c r="BO528"/>
  <c r="BN528"/>
  <c r="BM528"/>
  <c r="BL528"/>
  <c r="BK528"/>
  <c r="BJ528"/>
  <c r="BI528"/>
  <c r="BH528"/>
  <c r="BG528"/>
  <c r="BF528"/>
  <c r="BE528"/>
  <c r="BD528"/>
  <c r="BC528"/>
  <c r="BB528"/>
  <c r="BA528"/>
  <c r="AZ528"/>
  <c r="AY528"/>
  <c r="AX528"/>
  <c r="AW528"/>
  <c r="AV528"/>
  <c r="AC528"/>
  <c r="H528"/>
  <c r="G528"/>
  <c r="E528"/>
  <c r="BT527"/>
  <c r="BS527"/>
  <c r="BR527"/>
  <c r="BQ527"/>
  <c r="BP527"/>
  <c r="BO527"/>
  <c r="BN527"/>
  <c r="BM527"/>
  <c r="BL527"/>
  <c r="BK527"/>
  <c r="BJ527"/>
  <c r="BI527"/>
  <c r="BH527"/>
  <c r="BG527"/>
  <c r="BF527"/>
  <c r="BE527"/>
  <c r="BD527"/>
  <c r="BC527"/>
  <c r="BB527"/>
  <c r="BA527"/>
  <c r="AZ527"/>
  <c r="AY527"/>
  <c r="AX527"/>
  <c r="AW527"/>
  <c r="AV527"/>
  <c r="AC527"/>
  <c r="H527"/>
  <c r="G527"/>
  <c r="E527"/>
  <c r="BT526"/>
  <c r="BS526"/>
  <c r="BR526"/>
  <c r="BQ526"/>
  <c r="BP526"/>
  <c r="BO526"/>
  <c r="BN526"/>
  <c r="BM526"/>
  <c r="BL526"/>
  <c r="BK526"/>
  <c r="BJ526"/>
  <c r="BI526"/>
  <c r="BH526"/>
  <c r="BG526"/>
  <c r="BF526"/>
  <c r="BE526"/>
  <c r="BD526"/>
  <c r="BC526"/>
  <c r="BB526"/>
  <c r="BA526"/>
  <c r="AZ526"/>
  <c r="AY526"/>
  <c r="AX526"/>
  <c r="AW526"/>
  <c r="AV526"/>
  <c r="AC526"/>
  <c r="H526"/>
  <c r="G526"/>
  <c r="E526"/>
  <c r="BT525"/>
  <c r="BS525"/>
  <c r="BR525"/>
  <c r="BQ525"/>
  <c r="BP525"/>
  <c r="BO525"/>
  <c r="BN525"/>
  <c r="BM525"/>
  <c r="BL525"/>
  <c r="BK525"/>
  <c r="BJ525"/>
  <c r="BI525"/>
  <c r="BH525"/>
  <c r="BG525"/>
  <c r="BF525"/>
  <c r="BE525"/>
  <c r="BD525"/>
  <c r="BC525"/>
  <c r="BB525"/>
  <c r="BA525"/>
  <c r="AZ525"/>
  <c r="AY525"/>
  <c r="AX525"/>
  <c r="AW525"/>
  <c r="AV525"/>
  <c r="AC525"/>
  <c r="H525"/>
  <c r="G525"/>
  <c r="E525"/>
  <c r="BT524"/>
  <c r="BS524"/>
  <c r="BR524"/>
  <c r="BQ524"/>
  <c r="BP524"/>
  <c r="BO524"/>
  <c r="BN524"/>
  <c r="BM524"/>
  <c r="BL524"/>
  <c r="BK524"/>
  <c r="BJ524"/>
  <c r="BI524"/>
  <c r="BH524"/>
  <c r="BG524"/>
  <c r="BF524"/>
  <c r="BE524"/>
  <c r="BD524"/>
  <c r="BC524"/>
  <c r="BB524"/>
  <c r="BA524"/>
  <c r="AZ524"/>
  <c r="AY524"/>
  <c r="AX524"/>
  <c r="AW524"/>
  <c r="AV524"/>
  <c r="AC524"/>
  <c r="H524"/>
  <c r="G524"/>
  <c r="E524"/>
  <c r="BT523"/>
  <c r="BS523"/>
  <c r="BR523"/>
  <c r="BQ523"/>
  <c r="BP523"/>
  <c r="BO523"/>
  <c r="BN523"/>
  <c r="BM523"/>
  <c r="BL523"/>
  <c r="BK523"/>
  <c r="BJ523"/>
  <c r="BI523"/>
  <c r="BH523"/>
  <c r="BG523"/>
  <c r="BF523"/>
  <c r="BE523"/>
  <c r="BD523"/>
  <c r="BC523"/>
  <c r="BB523"/>
  <c r="BA523"/>
  <c r="AZ523"/>
  <c r="AY523"/>
  <c r="AX523"/>
  <c r="AW523"/>
  <c r="AV523"/>
  <c r="AC523"/>
  <c r="H523"/>
  <c r="G523"/>
  <c r="E523"/>
  <c r="BT522"/>
  <c r="BS522"/>
  <c r="BR522"/>
  <c r="BQ522"/>
  <c r="BP522"/>
  <c r="BO522"/>
  <c r="BN522"/>
  <c r="BM522"/>
  <c r="BL522"/>
  <c r="BK522"/>
  <c r="BJ522"/>
  <c r="BI522"/>
  <c r="BH522"/>
  <c r="BG522"/>
  <c r="BF522"/>
  <c r="BE522"/>
  <c r="BD522"/>
  <c r="BC522"/>
  <c r="BB522"/>
  <c r="BA522"/>
  <c r="AZ522"/>
  <c r="AY522"/>
  <c r="AX522"/>
  <c r="AW522"/>
  <c r="AV522"/>
  <c r="AC522"/>
  <c r="H522"/>
  <c r="G522"/>
  <c r="E522"/>
  <c r="BT521"/>
  <c r="BS521"/>
  <c r="BR521"/>
  <c r="BQ521"/>
  <c r="BP521"/>
  <c r="BO521"/>
  <c r="BN521"/>
  <c r="BM521"/>
  <c r="BL521"/>
  <c r="BK521"/>
  <c r="BJ521"/>
  <c r="BI521"/>
  <c r="BH521"/>
  <c r="BG521"/>
  <c r="BF521"/>
  <c r="BE521"/>
  <c r="BD521"/>
  <c r="BC521"/>
  <c r="BB521"/>
  <c r="BA521"/>
  <c r="AZ521"/>
  <c r="AY521"/>
  <c r="AX521"/>
  <c r="AW521"/>
  <c r="AV521"/>
  <c r="AC521"/>
  <c r="H521"/>
  <c r="G521"/>
  <c r="E521"/>
  <c r="BT520"/>
  <c r="BS520"/>
  <c r="BR520"/>
  <c r="BQ520"/>
  <c r="BP520"/>
  <c r="BO520"/>
  <c r="BN520"/>
  <c r="BM520"/>
  <c r="BL520"/>
  <c r="BK520"/>
  <c r="BJ520"/>
  <c r="BI520"/>
  <c r="BH520"/>
  <c r="BG520"/>
  <c r="BF520"/>
  <c r="BE520"/>
  <c r="BD520"/>
  <c r="BC520"/>
  <c r="BB520"/>
  <c r="BA520"/>
  <c r="AZ520"/>
  <c r="AY520"/>
  <c r="AX520"/>
  <c r="AW520"/>
  <c r="AV520"/>
  <c r="AC520"/>
  <c r="H520"/>
  <c r="G520"/>
  <c r="E520"/>
  <c r="BT519"/>
  <c r="BS519"/>
  <c r="BR519"/>
  <c r="BQ519"/>
  <c r="BP519"/>
  <c r="BO519"/>
  <c r="BN519"/>
  <c r="BM519"/>
  <c r="BL519"/>
  <c r="BK519"/>
  <c r="BJ519"/>
  <c r="BI519"/>
  <c r="BH519"/>
  <c r="BG519"/>
  <c r="BF519"/>
  <c r="BE519"/>
  <c r="BD519"/>
  <c r="BC519"/>
  <c r="BB519"/>
  <c r="BA519"/>
  <c r="AZ519"/>
  <c r="AY519"/>
  <c r="AX519"/>
  <c r="AW519"/>
  <c r="AV519"/>
  <c r="AC519"/>
  <c r="H519"/>
  <c r="G519"/>
  <c r="E519"/>
  <c r="BT518"/>
  <c r="BS518"/>
  <c r="BR518"/>
  <c r="BQ518"/>
  <c r="BP518"/>
  <c r="BO518"/>
  <c r="BN518"/>
  <c r="BM518"/>
  <c r="BL518"/>
  <c r="BK518"/>
  <c r="BJ518"/>
  <c r="BI518"/>
  <c r="BH518"/>
  <c r="BG518"/>
  <c r="BF518"/>
  <c r="BE518"/>
  <c r="BD518"/>
  <c r="BC518"/>
  <c r="BB518"/>
  <c r="BA518"/>
  <c r="AZ518"/>
  <c r="AY518"/>
  <c r="AX518"/>
  <c r="AW518"/>
  <c r="AV518"/>
  <c r="AC518"/>
  <c r="H518"/>
  <c r="G518"/>
  <c r="E518"/>
  <c r="BT517"/>
  <c r="BS517"/>
  <c r="BR517"/>
  <c r="BQ517"/>
  <c r="BP517"/>
  <c r="BO517"/>
  <c r="BN517"/>
  <c r="BM517"/>
  <c r="BL517"/>
  <c r="BK517"/>
  <c r="BJ517"/>
  <c r="BI517"/>
  <c r="BH517"/>
  <c r="BG517"/>
  <c r="BF517"/>
  <c r="BE517"/>
  <c r="BD517"/>
  <c r="BC517"/>
  <c r="BB517"/>
  <c r="BA517"/>
  <c r="AZ517"/>
  <c r="AY517"/>
  <c r="AX517"/>
  <c r="AW517"/>
  <c r="AV517"/>
  <c r="AC517"/>
  <c r="H517"/>
  <c r="G517"/>
  <c r="E517"/>
  <c r="BT516"/>
  <c r="BS516"/>
  <c r="BR516"/>
  <c r="BQ516"/>
  <c r="BP516"/>
  <c r="BO516"/>
  <c r="BN516"/>
  <c r="BM516"/>
  <c r="BL516"/>
  <c r="BK516"/>
  <c r="BJ516"/>
  <c r="BI516"/>
  <c r="BH516"/>
  <c r="BG516"/>
  <c r="BF516"/>
  <c r="BE516"/>
  <c r="BD516"/>
  <c r="BC516"/>
  <c r="BB516"/>
  <c r="BA516"/>
  <c r="AZ516"/>
  <c r="AY516"/>
  <c r="AX516"/>
  <c r="AW516"/>
  <c r="AV516"/>
  <c r="AC516"/>
  <c r="H516"/>
  <c r="G516"/>
  <c r="E516"/>
  <c r="BT515"/>
  <c r="BS515"/>
  <c r="BR515"/>
  <c r="BQ515"/>
  <c r="BP515"/>
  <c r="BO515"/>
  <c r="BN515"/>
  <c r="BM515"/>
  <c r="BL515"/>
  <c r="BK515"/>
  <c r="BJ515"/>
  <c r="BI515"/>
  <c r="BH515"/>
  <c r="BG515"/>
  <c r="BF515"/>
  <c r="BE515"/>
  <c r="BD515"/>
  <c r="BC515"/>
  <c r="BB515"/>
  <c r="BA515"/>
  <c r="AZ515"/>
  <c r="AY515"/>
  <c r="AX515"/>
  <c r="AW515"/>
  <c r="AV515"/>
  <c r="AC515"/>
  <c r="H515"/>
  <c r="G515"/>
  <c r="E515"/>
  <c r="BT514"/>
  <c r="BS514"/>
  <c r="BR514"/>
  <c r="BQ514"/>
  <c r="BP514"/>
  <c r="BO514"/>
  <c r="BN514"/>
  <c r="BM514"/>
  <c r="BL514"/>
  <c r="BK514"/>
  <c r="BJ514"/>
  <c r="BI514"/>
  <c r="BH514"/>
  <c r="BG514"/>
  <c r="BF514"/>
  <c r="BE514"/>
  <c r="BD514"/>
  <c r="BC514"/>
  <c r="BB514"/>
  <c r="BA514"/>
  <c r="AZ514"/>
  <c r="AY514"/>
  <c r="AX514"/>
  <c r="AW514"/>
  <c r="AV514"/>
  <c r="AC514"/>
  <c r="H514"/>
  <c r="G514"/>
  <c r="E514"/>
  <c r="BT513"/>
  <c r="BS513"/>
  <c r="BR513"/>
  <c r="BQ513"/>
  <c r="BP513"/>
  <c r="BO513"/>
  <c r="BN513"/>
  <c r="BM513"/>
  <c r="BL513"/>
  <c r="BK513"/>
  <c r="BJ513"/>
  <c r="BI513"/>
  <c r="BH513"/>
  <c r="BG513"/>
  <c r="BF513"/>
  <c r="BE513"/>
  <c r="BD513"/>
  <c r="BC513"/>
  <c r="BB513"/>
  <c r="BA513"/>
  <c r="AZ513"/>
  <c r="AY513"/>
  <c r="AX513"/>
  <c r="AW513"/>
  <c r="AV513"/>
  <c r="AC513"/>
  <c r="H513"/>
  <c r="G513"/>
  <c r="E513"/>
  <c r="BT512"/>
  <c r="BS512"/>
  <c r="BR512"/>
  <c r="BQ512"/>
  <c r="BP512"/>
  <c r="BO512"/>
  <c r="BN512"/>
  <c r="BM512"/>
  <c r="BL512"/>
  <c r="BK512"/>
  <c r="BJ512"/>
  <c r="BI512"/>
  <c r="BH512"/>
  <c r="BG512"/>
  <c r="BF512"/>
  <c r="BE512"/>
  <c r="BD512"/>
  <c r="BC512"/>
  <c r="BB512"/>
  <c r="BA512"/>
  <c r="AZ512"/>
  <c r="AY512"/>
  <c r="AX512"/>
  <c r="AW512"/>
  <c r="AV512"/>
  <c r="AC512"/>
  <c r="H512"/>
  <c r="G512"/>
  <c r="E512"/>
  <c r="BT511"/>
  <c r="BS511"/>
  <c r="BR511"/>
  <c r="BQ511"/>
  <c r="BP511"/>
  <c r="BO511"/>
  <c r="BN511"/>
  <c r="BM511"/>
  <c r="BL511"/>
  <c r="BK511"/>
  <c r="BJ511"/>
  <c r="BI511"/>
  <c r="BH511"/>
  <c r="BG511"/>
  <c r="BF511"/>
  <c r="BE511"/>
  <c r="BD511"/>
  <c r="BC511"/>
  <c r="BB511"/>
  <c r="BA511"/>
  <c r="AZ511"/>
  <c r="AY511"/>
  <c r="AX511"/>
  <c r="AW511"/>
  <c r="AV511"/>
  <c r="AC511"/>
  <c r="H511"/>
  <c r="G511"/>
  <c r="E511"/>
  <c r="BT510"/>
  <c r="BS510"/>
  <c r="BR510"/>
  <c r="BQ510"/>
  <c r="BP510"/>
  <c r="BO510"/>
  <c r="BN510"/>
  <c r="BM510"/>
  <c r="BL510"/>
  <c r="BK510"/>
  <c r="BJ510"/>
  <c r="BI510"/>
  <c r="BH510"/>
  <c r="BG510"/>
  <c r="BF510"/>
  <c r="BE510"/>
  <c r="BD510"/>
  <c r="BC510"/>
  <c r="BB510"/>
  <c r="BA510"/>
  <c r="AZ510"/>
  <c r="AY510"/>
  <c r="AX510"/>
  <c r="AW510"/>
  <c r="AV510"/>
  <c r="AC510"/>
  <c r="H510"/>
  <c r="G510"/>
  <c r="E510"/>
  <c r="BT509"/>
  <c r="BS509"/>
  <c r="BR509"/>
  <c r="BQ509"/>
  <c r="BP509"/>
  <c r="BO509"/>
  <c r="BN509"/>
  <c r="BM509"/>
  <c r="BL509"/>
  <c r="BK509"/>
  <c r="BJ509"/>
  <c r="BI509"/>
  <c r="BH509"/>
  <c r="BG509"/>
  <c r="BF509"/>
  <c r="BE509"/>
  <c r="BD509"/>
  <c r="BC509"/>
  <c r="BB509"/>
  <c r="BA509"/>
  <c r="AZ509"/>
  <c r="AY509"/>
  <c r="AX509"/>
  <c r="AW509"/>
  <c r="AV509"/>
  <c r="AC509"/>
  <c r="H509"/>
  <c r="G509"/>
  <c r="E509"/>
  <c r="BT508"/>
  <c r="BS508"/>
  <c r="BR508"/>
  <c r="BQ508"/>
  <c r="BP508"/>
  <c r="BO508"/>
  <c r="BN508"/>
  <c r="BM508"/>
  <c r="BL508"/>
  <c r="BK508"/>
  <c r="BJ508"/>
  <c r="BI508"/>
  <c r="BH508"/>
  <c r="BG508"/>
  <c r="BF508"/>
  <c r="BE508"/>
  <c r="BD508"/>
  <c r="BC508"/>
  <c r="BB508"/>
  <c r="BA508"/>
  <c r="AZ508"/>
  <c r="AY508"/>
  <c r="AX508"/>
  <c r="AW508"/>
  <c r="AV508"/>
  <c r="AC508"/>
  <c r="H508"/>
  <c r="G508"/>
  <c r="E508"/>
  <c r="BT507"/>
  <c r="BS507"/>
  <c r="BR507"/>
  <c r="BQ507"/>
  <c r="BP507"/>
  <c r="BO507"/>
  <c r="BN507"/>
  <c r="BM507"/>
  <c r="BL507"/>
  <c r="BK507"/>
  <c r="BJ507"/>
  <c r="BI507"/>
  <c r="BH507"/>
  <c r="BG507"/>
  <c r="BF507"/>
  <c r="BE507"/>
  <c r="BD507"/>
  <c r="BC507"/>
  <c r="BB507"/>
  <c r="BA507"/>
  <c r="AZ507"/>
  <c r="AY507"/>
  <c r="AX507"/>
  <c r="AW507"/>
  <c r="AV507"/>
  <c r="AC507"/>
  <c r="H507"/>
  <c r="G507"/>
  <c r="E507"/>
  <c r="BT506"/>
  <c r="BS506"/>
  <c r="BR506"/>
  <c r="BQ506"/>
  <c r="BP506"/>
  <c r="BO506"/>
  <c r="BN506"/>
  <c r="BM506"/>
  <c r="BL506"/>
  <c r="BK506"/>
  <c r="BJ506"/>
  <c r="BI506"/>
  <c r="BH506"/>
  <c r="BG506"/>
  <c r="BF506"/>
  <c r="BE506"/>
  <c r="BD506"/>
  <c r="BC506"/>
  <c r="BB506"/>
  <c r="BA506"/>
  <c r="AZ506"/>
  <c r="AY506"/>
  <c r="AX506"/>
  <c r="AW506"/>
  <c r="AV506"/>
  <c r="AC506"/>
  <c r="H506"/>
  <c r="G506"/>
  <c r="E506"/>
  <c r="BT505"/>
  <c r="BS505"/>
  <c r="BR505"/>
  <c r="BQ505"/>
  <c r="BP505"/>
  <c r="BO505"/>
  <c r="BN505"/>
  <c r="BM505"/>
  <c r="BL505"/>
  <c r="BK505"/>
  <c r="BJ505"/>
  <c r="BI505"/>
  <c r="BH505"/>
  <c r="BG505"/>
  <c r="BF505"/>
  <c r="BE505"/>
  <c r="BD505"/>
  <c r="BC505"/>
  <c r="BB505"/>
  <c r="BA505"/>
  <c r="AZ505"/>
  <c r="AY505"/>
  <c r="AX505"/>
  <c r="AW505"/>
  <c r="AV505"/>
  <c r="AC505"/>
  <c r="H505"/>
  <c r="G505"/>
  <c r="E505"/>
  <c r="BT504"/>
  <c r="BS504"/>
  <c r="BR504"/>
  <c r="BQ504"/>
  <c r="BP504"/>
  <c r="BO504"/>
  <c r="BN504"/>
  <c r="BM504"/>
  <c r="BL504"/>
  <c r="BK504"/>
  <c r="BJ504"/>
  <c r="BI504"/>
  <c r="BH504"/>
  <c r="BG504"/>
  <c r="BF504"/>
  <c r="BE504"/>
  <c r="BD504"/>
  <c r="BC504"/>
  <c r="BB504"/>
  <c r="BA504"/>
  <c r="AZ504"/>
  <c r="AY504"/>
  <c r="AX504"/>
  <c r="AW504"/>
  <c r="AV504"/>
  <c r="AC504"/>
  <c r="H504"/>
  <c r="G504"/>
  <c r="E504"/>
  <c r="BT503"/>
  <c r="BS503"/>
  <c r="BR503"/>
  <c r="BQ503"/>
  <c r="BP503"/>
  <c r="BO503"/>
  <c r="BN503"/>
  <c r="BM503"/>
  <c r="BL503"/>
  <c r="BK503"/>
  <c r="BJ503"/>
  <c r="BI503"/>
  <c r="BH503"/>
  <c r="BG503"/>
  <c r="BF503"/>
  <c r="BE503"/>
  <c r="BD503"/>
  <c r="BC503"/>
  <c r="BB503"/>
  <c r="BA503"/>
  <c r="AZ503"/>
  <c r="AY503"/>
  <c r="AX503"/>
  <c r="AW503"/>
  <c r="AV503"/>
  <c r="AC503"/>
  <c r="H503"/>
  <c r="G503"/>
  <c r="E503"/>
  <c r="BT502"/>
  <c r="BS502"/>
  <c r="BR502"/>
  <c r="BQ502"/>
  <c r="BP502"/>
  <c r="BO502"/>
  <c r="BN502"/>
  <c r="BM502"/>
  <c r="BL502"/>
  <c r="BK502"/>
  <c r="BJ502"/>
  <c r="BI502"/>
  <c r="BH502"/>
  <c r="BG502"/>
  <c r="BF502"/>
  <c r="BE502"/>
  <c r="BD502"/>
  <c r="BC502"/>
  <c r="BB502"/>
  <c r="BA502"/>
  <c r="AZ502"/>
  <c r="AY502"/>
  <c r="AX502"/>
  <c r="AW502"/>
  <c r="AV502"/>
  <c r="AC502"/>
  <c r="H502"/>
  <c r="G502"/>
  <c r="E502"/>
  <c r="BT501"/>
  <c r="BS501"/>
  <c r="BR501"/>
  <c r="BQ501"/>
  <c r="BP501"/>
  <c r="BO501"/>
  <c r="BN501"/>
  <c r="BM501"/>
  <c r="BL501"/>
  <c r="BK501"/>
  <c r="BJ501"/>
  <c r="BI501"/>
  <c r="BH501"/>
  <c r="BG501"/>
  <c r="BF501"/>
  <c r="BE501"/>
  <c r="BD501"/>
  <c r="BC501"/>
  <c r="BB501"/>
  <c r="BA501"/>
  <c r="AZ501"/>
  <c r="AY501"/>
  <c r="AX501"/>
  <c r="AW501"/>
  <c r="AV501"/>
  <c r="AC501"/>
  <c r="H501"/>
  <c r="G501"/>
  <c r="E501"/>
  <c r="BT500"/>
  <c r="BS500"/>
  <c r="BR500"/>
  <c r="BQ500"/>
  <c r="BP500"/>
  <c r="BO500"/>
  <c r="BN500"/>
  <c r="BM500"/>
  <c r="BL500"/>
  <c r="BK500"/>
  <c r="BJ500"/>
  <c r="BI500"/>
  <c r="BH500"/>
  <c r="BG500"/>
  <c r="BF500"/>
  <c r="BE500"/>
  <c r="BD500"/>
  <c r="BC500"/>
  <c r="BB500"/>
  <c r="BA500"/>
  <c r="AZ500"/>
  <c r="AY500"/>
  <c r="AX500"/>
  <c r="AW500"/>
  <c r="AV500"/>
  <c r="AC500"/>
  <c r="H500"/>
  <c r="G500"/>
  <c r="E500"/>
  <c r="BT499"/>
  <c r="BS499"/>
  <c r="BR499"/>
  <c r="BQ499"/>
  <c r="BP499"/>
  <c r="BO499"/>
  <c r="BN499"/>
  <c r="BM499"/>
  <c r="BL499"/>
  <c r="BK499"/>
  <c r="BJ499"/>
  <c r="BI499"/>
  <c r="BH499"/>
  <c r="BG499"/>
  <c r="BF499"/>
  <c r="BE499"/>
  <c r="BD499"/>
  <c r="BC499"/>
  <c r="BB499"/>
  <c r="BA499"/>
  <c r="AZ499"/>
  <c r="AY499"/>
  <c r="AX499"/>
  <c r="AW499"/>
  <c r="AV499"/>
  <c r="AC499"/>
  <c r="H499"/>
  <c r="G499"/>
  <c r="E499"/>
  <c r="BT498"/>
  <c r="BS498"/>
  <c r="BR498"/>
  <c r="BQ498"/>
  <c r="BP498"/>
  <c r="BO498"/>
  <c r="BN498"/>
  <c r="BM498"/>
  <c r="BL498"/>
  <c r="BK498"/>
  <c r="BJ498"/>
  <c r="BI498"/>
  <c r="BH498"/>
  <c r="BG498"/>
  <c r="BF498"/>
  <c r="BE498"/>
  <c r="BD498"/>
  <c r="BC498"/>
  <c r="BB498"/>
  <c r="BA498"/>
  <c r="AZ498"/>
  <c r="AY498"/>
  <c r="AX498"/>
  <c r="AW498"/>
  <c r="AV498"/>
  <c r="AC498"/>
  <c r="H498"/>
  <c r="G498"/>
  <c r="E498"/>
  <c r="BT497"/>
  <c r="BS497"/>
  <c r="BR497"/>
  <c r="BQ497"/>
  <c r="BP497"/>
  <c r="BO497"/>
  <c r="BN497"/>
  <c r="BM497"/>
  <c r="BL497"/>
  <c r="BK497"/>
  <c r="BJ497"/>
  <c r="BI497"/>
  <c r="BH497"/>
  <c r="BG497"/>
  <c r="BF497"/>
  <c r="BE497"/>
  <c r="BD497"/>
  <c r="BC497"/>
  <c r="BB497"/>
  <c r="BA497"/>
  <c r="AZ497"/>
  <c r="AY497"/>
  <c r="AX497"/>
  <c r="AW497"/>
  <c r="AV497"/>
  <c r="AC497"/>
  <c r="H497"/>
  <c r="G497"/>
  <c r="E497"/>
  <c r="BT496"/>
  <c r="BS496"/>
  <c r="BR496"/>
  <c r="BQ496"/>
  <c r="BP496"/>
  <c r="BO496"/>
  <c r="BN496"/>
  <c r="BM496"/>
  <c r="BL496"/>
  <c r="BK496"/>
  <c r="BJ496"/>
  <c r="BI496"/>
  <c r="BH496"/>
  <c r="BG496"/>
  <c r="BF496"/>
  <c r="BE496"/>
  <c r="BD496"/>
  <c r="BC496"/>
  <c r="BB496"/>
  <c r="BA496"/>
  <c r="AZ496"/>
  <c r="AY496"/>
  <c r="AX496"/>
  <c r="AW496"/>
  <c r="AV496"/>
  <c r="AC496"/>
  <c r="H496"/>
  <c r="G496"/>
  <c r="E496"/>
  <c r="BT495"/>
  <c r="BS495"/>
  <c r="BR495"/>
  <c r="BQ495"/>
  <c r="BP495"/>
  <c r="BO495"/>
  <c r="BN495"/>
  <c r="BM495"/>
  <c r="BL495"/>
  <c r="BK495"/>
  <c r="BJ495"/>
  <c r="BI495"/>
  <c r="BH495"/>
  <c r="BG495"/>
  <c r="BF495"/>
  <c r="BE495"/>
  <c r="BD495"/>
  <c r="BC495"/>
  <c r="BB495"/>
  <c r="BA495"/>
  <c r="AZ495"/>
  <c r="AY495"/>
  <c r="AX495"/>
  <c r="AW495"/>
  <c r="AV495"/>
  <c r="AC495"/>
  <c r="H495"/>
  <c r="G495"/>
  <c r="E495"/>
  <c r="BT494"/>
  <c r="BS494"/>
  <c r="BR494"/>
  <c r="BQ494"/>
  <c r="BP494"/>
  <c r="BO494"/>
  <c r="BN494"/>
  <c r="BM494"/>
  <c r="BL494"/>
  <c r="BK494"/>
  <c r="BJ494"/>
  <c r="BI494"/>
  <c r="BH494"/>
  <c r="BG494"/>
  <c r="BF494"/>
  <c r="BE494"/>
  <c r="BD494"/>
  <c r="BC494"/>
  <c r="BB494"/>
  <c r="BA494"/>
  <c r="AZ494"/>
  <c r="AY494"/>
  <c r="AX494"/>
  <c r="AW494"/>
  <c r="AV494"/>
  <c r="AC494"/>
  <c r="H494"/>
  <c r="G494"/>
  <c r="E494"/>
  <c r="BT493"/>
  <c r="BS493"/>
  <c r="BR493"/>
  <c r="BQ493"/>
  <c r="BP493"/>
  <c r="BO493"/>
  <c r="BN493"/>
  <c r="BM493"/>
  <c r="BL493"/>
  <c r="BK493"/>
  <c r="BJ493"/>
  <c r="BI493"/>
  <c r="BH493"/>
  <c r="BG493"/>
  <c r="BF493"/>
  <c r="BE493"/>
  <c r="BD493"/>
  <c r="BC493"/>
  <c r="BB493"/>
  <c r="BA493"/>
  <c r="AZ493"/>
  <c r="AY493"/>
  <c r="AX493"/>
  <c r="AW493"/>
  <c r="AV493"/>
  <c r="AC493"/>
  <c r="H493"/>
  <c r="G493"/>
  <c r="E493"/>
  <c r="BT492"/>
  <c r="BS492"/>
  <c r="BR492"/>
  <c r="BQ492"/>
  <c r="BP492"/>
  <c r="BO492"/>
  <c r="BN492"/>
  <c r="BM492"/>
  <c r="BL492"/>
  <c r="BK492"/>
  <c r="BJ492"/>
  <c r="BI492"/>
  <c r="BH492"/>
  <c r="BG492"/>
  <c r="BF492"/>
  <c r="BE492"/>
  <c r="BD492"/>
  <c r="BC492"/>
  <c r="BB492"/>
  <c r="BA492"/>
  <c r="AZ492"/>
  <c r="AY492"/>
  <c r="AX492"/>
  <c r="AW492"/>
  <c r="AV492"/>
  <c r="AC492"/>
  <c r="H492"/>
  <c r="G492"/>
  <c r="E492"/>
  <c r="BT491"/>
  <c r="BS491"/>
  <c r="BR491"/>
  <c r="BQ491"/>
  <c r="BP491"/>
  <c r="BO491"/>
  <c r="BN491"/>
  <c r="BM491"/>
  <c r="BL491"/>
  <c r="BK491"/>
  <c r="BJ491"/>
  <c r="BI491"/>
  <c r="BH491"/>
  <c r="BG491"/>
  <c r="BF491"/>
  <c r="BE491"/>
  <c r="BD491"/>
  <c r="BC491"/>
  <c r="BB491"/>
  <c r="BA491"/>
  <c r="AZ491"/>
  <c r="AY491"/>
  <c r="AX491"/>
  <c r="AW491"/>
  <c r="AV491"/>
  <c r="AC491"/>
  <c r="H491"/>
  <c r="G491"/>
  <c r="E491"/>
  <c r="BT490"/>
  <c r="BS490"/>
  <c r="BR490"/>
  <c r="BQ490"/>
  <c r="BP490"/>
  <c r="BO490"/>
  <c r="BN490"/>
  <c r="BM490"/>
  <c r="BL490"/>
  <c r="BK490"/>
  <c r="BJ490"/>
  <c r="BI490"/>
  <c r="BH490"/>
  <c r="BG490"/>
  <c r="BF490"/>
  <c r="BE490"/>
  <c r="BD490"/>
  <c r="BC490"/>
  <c r="BB490"/>
  <c r="BA490"/>
  <c r="AZ490"/>
  <c r="AY490"/>
  <c r="AX490"/>
  <c r="AW490"/>
  <c r="AV490"/>
  <c r="AC490"/>
  <c r="H490"/>
  <c r="G490"/>
  <c r="E490"/>
  <c r="BT489"/>
  <c r="BS489"/>
  <c r="BR489"/>
  <c r="BQ489"/>
  <c r="BP489"/>
  <c r="BO489"/>
  <c r="BN489"/>
  <c r="BM489"/>
  <c r="BL489"/>
  <c r="BK489"/>
  <c r="BJ489"/>
  <c r="BI489"/>
  <c r="BH489"/>
  <c r="BG489"/>
  <c r="BF489"/>
  <c r="BE489"/>
  <c r="BD489"/>
  <c r="BC489"/>
  <c r="BB489"/>
  <c r="BA489"/>
  <c r="AZ489"/>
  <c r="AY489"/>
  <c r="AX489"/>
  <c r="AW489"/>
  <c r="AV489"/>
  <c r="AC489"/>
  <c r="H489"/>
  <c r="G489"/>
  <c r="E489"/>
  <c r="BT488"/>
  <c r="BS488"/>
  <c r="BR488"/>
  <c r="BQ488"/>
  <c r="BP488"/>
  <c r="BO488"/>
  <c r="BN488"/>
  <c r="BM488"/>
  <c r="BL488"/>
  <c r="BK488"/>
  <c r="BJ488"/>
  <c r="BI488"/>
  <c r="BH488"/>
  <c r="BG488"/>
  <c r="BF488"/>
  <c r="BE488"/>
  <c r="BD488"/>
  <c r="BC488"/>
  <c r="BB488"/>
  <c r="BA488"/>
  <c r="AZ488"/>
  <c r="AY488"/>
  <c r="AX488"/>
  <c r="AW488"/>
  <c r="AV488"/>
  <c r="AC488"/>
  <c r="H488"/>
  <c r="G488"/>
  <c r="E488"/>
  <c r="BT487"/>
  <c r="BS487"/>
  <c r="BR487"/>
  <c r="BQ487"/>
  <c r="BP487"/>
  <c r="BO487"/>
  <c r="BN487"/>
  <c r="BM487"/>
  <c r="BL487"/>
  <c r="BK487"/>
  <c r="BJ487"/>
  <c r="BI487"/>
  <c r="BH487"/>
  <c r="BG487"/>
  <c r="BF487"/>
  <c r="BE487"/>
  <c r="BD487"/>
  <c r="BC487"/>
  <c r="BB487"/>
  <c r="BA487"/>
  <c r="AZ487"/>
  <c r="AY487"/>
  <c r="AX487"/>
  <c r="AW487"/>
  <c r="AV487"/>
  <c r="AC487"/>
  <c r="H487"/>
  <c r="G487"/>
  <c r="E487"/>
  <c r="BT486"/>
  <c r="BS486"/>
  <c r="BR486"/>
  <c r="BQ486"/>
  <c r="BP486"/>
  <c r="BO486"/>
  <c r="BN486"/>
  <c r="BM486"/>
  <c r="BL486"/>
  <c r="BK486"/>
  <c r="BJ486"/>
  <c r="BI486"/>
  <c r="BH486"/>
  <c r="BG486"/>
  <c r="BF486"/>
  <c r="BE486"/>
  <c r="BD486"/>
  <c r="BC486"/>
  <c r="BB486"/>
  <c r="BA486"/>
  <c r="AZ486"/>
  <c r="AY486"/>
  <c r="AX486"/>
  <c r="AW486"/>
  <c r="AV486"/>
  <c r="AC486"/>
  <c r="H486"/>
  <c r="G486"/>
  <c r="E486"/>
  <c r="BT485"/>
  <c r="BS485"/>
  <c r="BR485"/>
  <c r="BQ485"/>
  <c r="BP485"/>
  <c r="BO485"/>
  <c r="BN485"/>
  <c r="BM485"/>
  <c r="BL485"/>
  <c r="BK485"/>
  <c r="BJ485"/>
  <c r="BI485"/>
  <c r="BH485"/>
  <c r="BG485"/>
  <c r="BF485"/>
  <c r="BE485"/>
  <c r="BD485"/>
  <c r="BC485"/>
  <c r="BB485"/>
  <c r="BA485"/>
  <c r="AZ485"/>
  <c r="AY485"/>
  <c r="AX485"/>
  <c r="AW485"/>
  <c r="AV485"/>
  <c r="AC485"/>
  <c r="H485"/>
  <c r="G485"/>
  <c r="E485"/>
  <c r="BT484"/>
  <c r="BS484"/>
  <c r="BR484"/>
  <c r="BQ484"/>
  <c r="BP484"/>
  <c r="BO484"/>
  <c r="BN484"/>
  <c r="BM484"/>
  <c r="BL484"/>
  <c r="BK484"/>
  <c r="BJ484"/>
  <c r="BI484"/>
  <c r="BH484"/>
  <c r="BG484"/>
  <c r="BF484"/>
  <c r="BE484"/>
  <c r="BD484"/>
  <c r="BC484"/>
  <c r="BB484"/>
  <c r="BA484"/>
  <c r="AZ484"/>
  <c r="AY484"/>
  <c r="AX484"/>
  <c r="AW484"/>
  <c r="AV484"/>
  <c r="AC484"/>
  <c r="H484"/>
  <c r="G484"/>
  <c r="E484"/>
  <c r="BT483"/>
  <c r="BS483"/>
  <c r="BR483"/>
  <c r="BQ483"/>
  <c r="BP483"/>
  <c r="BO483"/>
  <c r="BN483"/>
  <c r="BM483"/>
  <c r="BL483"/>
  <c r="BK483"/>
  <c r="BJ483"/>
  <c r="BI483"/>
  <c r="BH483"/>
  <c r="BG483"/>
  <c r="BF483"/>
  <c r="BE483"/>
  <c r="BD483"/>
  <c r="BC483"/>
  <c r="BB483"/>
  <c r="BA483"/>
  <c r="AZ483"/>
  <c r="AY483"/>
  <c r="AX483"/>
  <c r="AW483"/>
  <c r="AV483"/>
  <c r="AC483"/>
  <c r="H483"/>
  <c r="G483"/>
  <c r="E483"/>
  <c r="BT482"/>
  <c r="BS482"/>
  <c r="BR482"/>
  <c r="BQ482"/>
  <c r="BP482"/>
  <c r="BO482"/>
  <c r="BN482"/>
  <c r="BM482"/>
  <c r="BL482"/>
  <c r="BK482"/>
  <c r="BJ482"/>
  <c r="BI482"/>
  <c r="BH482"/>
  <c r="BG482"/>
  <c r="BF482"/>
  <c r="BE482"/>
  <c r="BD482"/>
  <c r="BC482"/>
  <c r="BB482"/>
  <c r="BA482"/>
  <c r="AZ482"/>
  <c r="AY482"/>
  <c r="AX482"/>
  <c r="AW482"/>
  <c r="AV482"/>
  <c r="AC482"/>
  <c r="H482"/>
  <c r="G482"/>
  <c r="E482"/>
  <c r="BT481"/>
  <c r="BS481"/>
  <c r="BR481"/>
  <c r="BQ481"/>
  <c r="BP481"/>
  <c r="BO481"/>
  <c r="BN481"/>
  <c r="BM481"/>
  <c r="BL481"/>
  <c r="BK481"/>
  <c r="BJ481"/>
  <c r="BI481"/>
  <c r="BH481"/>
  <c r="BG481"/>
  <c r="BF481"/>
  <c r="BE481"/>
  <c r="BD481"/>
  <c r="BC481"/>
  <c r="BB481"/>
  <c r="BA481"/>
  <c r="AZ481"/>
  <c r="AY481"/>
  <c r="AX481"/>
  <c r="AW481"/>
  <c r="AV481"/>
  <c r="AC481"/>
  <c r="H481"/>
  <c r="G481"/>
  <c r="E481"/>
  <c r="BT480"/>
  <c r="BS480"/>
  <c r="BR480"/>
  <c r="BQ480"/>
  <c r="BP480"/>
  <c r="BO480"/>
  <c r="BN480"/>
  <c r="BM480"/>
  <c r="BL480"/>
  <c r="BK480"/>
  <c r="BJ480"/>
  <c r="BI480"/>
  <c r="BH480"/>
  <c r="BG480"/>
  <c r="BF480"/>
  <c r="BE480"/>
  <c r="BD480"/>
  <c r="BC480"/>
  <c r="BB480"/>
  <c r="BA480"/>
  <c r="AZ480"/>
  <c r="AY480"/>
  <c r="AX480"/>
  <c r="AW480"/>
  <c r="AV480"/>
  <c r="AC480"/>
  <c r="H480"/>
  <c r="G480"/>
  <c r="E480"/>
  <c r="BT479"/>
  <c r="BS479"/>
  <c r="BR479"/>
  <c r="BQ479"/>
  <c r="BP479"/>
  <c r="BO479"/>
  <c r="BN479"/>
  <c r="BM479"/>
  <c r="BL479"/>
  <c r="BK479"/>
  <c r="BJ479"/>
  <c r="BI479"/>
  <c r="BH479"/>
  <c r="BG479"/>
  <c r="BF479"/>
  <c r="BE479"/>
  <c r="BD479"/>
  <c r="BC479"/>
  <c r="BB479"/>
  <c r="BA479"/>
  <c r="AZ479"/>
  <c r="AY479"/>
  <c r="AX479"/>
  <c r="AW479"/>
  <c r="AV479"/>
  <c r="AC479"/>
  <c r="H479"/>
  <c r="G479"/>
  <c r="E479"/>
  <c r="BT478"/>
  <c r="BS478"/>
  <c r="BR478"/>
  <c r="BQ478"/>
  <c r="BP478"/>
  <c r="BO478"/>
  <c r="BN478"/>
  <c r="BM478"/>
  <c r="BL478"/>
  <c r="BK478"/>
  <c r="BJ478"/>
  <c r="BI478"/>
  <c r="BH478"/>
  <c r="BG478"/>
  <c r="BF478"/>
  <c r="BE478"/>
  <c r="BD478"/>
  <c r="BC478"/>
  <c r="BB478"/>
  <c r="BA478"/>
  <c r="AZ478"/>
  <c r="AY478"/>
  <c r="AX478"/>
  <c r="AW478"/>
  <c r="AV478"/>
  <c r="AC478"/>
  <c r="H478"/>
  <c r="G478"/>
  <c r="E478"/>
  <c r="BT477"/>
  <c r="BS477"/>
  <c r="BR477"/>
  <c r="BQ477"/>
  <c r="BP477"/>
  <c r="BO477"/>
  <c r="BN477"/>
  <c r="BM477"/>
  <c r="BL477"/>
  <c r="BK477"/>
  <c r="BJ477"/>
  <c r="BI477"/>
  <c r="BH477"/>
  <c r="BG477"/>
  <c r="BF477"/>
  <c r="BE477"/>
  <c r="BD477"/>
  <c r="BC477"/>
  <c r="BB477"/>
  <c r="BA477"/>
  <c r="AZ477"/>
  <c r="AY477"/>
  <c r="AX477"/>
  <c r="AW477"/>
  <c r="AV477"/>
  <c r="AC477"/>
  <c r="H477"/>
  <c r="G477"/>
  <c r="E477"/>
  <c r="BT476"/>
  <c r="BS476"/>
  <c r="BR476"/>
  <c r="BQ476"/>
  <c r="BP476"/>
  <c r="BO476"/>
  <c r="BN476"/>
  <c r="BM476"/>
  <c r="BL476"/>
  <c r="BK476"/>
  <c r="BJ476"/>
  <c r="BI476"/>
  <c r="BH476"/>
  <c r="BG476"/>
  <c r="BF476"/>
  <c r="BE476"/>
  <c r="BD476"/>
  <c r="BC476"/>
  <c r="BB476"/>
  <c r="BA476"/>
  <c r="AZ476"/>
  <c r="AY476"/>
  <c r="AX476"/>
  <c r="AW476"/>
  <c r="AV476"/>
  <c r="AC476"/>
  <c r="H476"/>
  <c r="G476"/>
  <c r="E476"/>
  <c r="BT475"/>
  <c r="BS475"/>
  <c r="BR475"/>
  <c r="BQ475"/>
  <c r="BP475"/>
  <c r="BO475"/>
  <c r="BN475"/>
  <c r="BM475"/>
  <c r="BL475"/>
  <c r="BK475"/>
  <c r="BJ475"/>
  <c r="BI475"/>
  <c r="BH475"/>
  <c r="BG475"/>
  <c r="BF475"/>
  <c r="BE475"/>
  <c r="BD475"/>
  <c r="BC475"/>
  <c r="BB475"/>
  <c r="BA475"/>
  <c r="AZ475"/>
  <c r="AY475"/>
  <c r="AX475"/>
  <c r="AW475"/>
  <c r="AV475"/>
  <c r="AC475"/>
  <c r="H475"/>
  <c r="G475"/>
  <c r="E475"/>
  <c r="BT474"/>
  <c r="BS474"/>
  <c r="BR474"/>
  <c r="BQ474"/>
  <c r="BP474"/>
  <c r="BO474"/>
  <c r="BN474"/>
  <c r="BM474"/>
  <c r="BL474"/>
  <c r="BK474"/>
  <c r="BJ474"/>
  <c r="BI474"/>
  <c r="BH474"/>
  <c r="BG474"/>
  <c r="BF474"/>
  <c r="BE474"/>
  <c r="BD474"/>
  <c r="BC474"/>
  <c r="BB474"/>
  <c r="BA474"/>
  <c r="AZ474"/>
  <c r="AY474"/>
  <c r="AX474"/>
  <c r="AW474"/>
  <c r="AV474"/>
  <c r="AC474"/>
  <c r="H474"/>
  <c r="G474"/>
  <c r="E474"/>
  <c r="BT473"/>
  <c r="BS473"/>
  <c r="BR473"/>
  <c r="BQ473"/>
  <c r="BP473"/>
  <c r="BO473"/>
  <c r="BN473"/>
  <c r="BM473"/>
  <c r="BL473"/>
  <c r="BK473"/>
  <c r="BJ473"/>
  <c r="BI473"/>
  <c r="BH473"/>
  <c r="BG473"/>
  <c r="BF473"/>
  <c r="BE473"/>
  <c r="BD473"/>
  <c r="BC473"/>
  <c r="BB473"/>
  <c r="BA473"/>
  <c r="AZ473"/>
  <c r="AY473"/>
  <c r="AX473"/>
  <c r="AW473"/>
  <c r="AV473"/>
  <c r="AC473"/>
  <c r="H473"/>
  <c r="G473"/>
  <c r="E473"/>
  <c r="BT472"/>
  <c r="BS472"/>
  <c r="BR472"/>
  <c r="BQ472"/>
  <c r="BP472"/>
  <c r="BO472"/>
  <c r="BN472"/>
  <c r="BM472"/>
  <c r="BL472"/>
  <c r="BK472"/>
  <c r="BJ472"/>
  <c r="BI472"/>
  <c r="BH472"/>
  <c r="BG472"/>
  <c r="BF472"/>
  <c r="BE472"/>
  <c r="BD472"/>
  <c r="BC472"/>
  <c r="BB472"/>
  <c r="BA472"/>
  <c r="AZ472"/>
  <c r="AY472"/>
  <c r="AX472"/>
  <c r="AW472"/>
  <c r="AV472"/>
  <c r="AC472"/>
  <c r="H472"/>
  <c r="G472"/>
  <c r="E472"/>
  <c r="BT471"/>
  <c r="BS471"/>
  <c r="BR471"/>
  <c r="BQ471"/>
  <c r="BP471"/>
  <c r="BO471"/>
  <c r="BN471"/>
  <c r="BM471"/>
  <c r="BL471"/>
  <c r="BK471"/>
  <c r="BJ471"/>
  <c r="BI471"/>
  <c r="BH471"/>
  <c r="BG471"/>
  <c r="BF471"/>
  <c r="BE471"/>
  <c r="BD471"/>
  <c r="BC471"/>
  <c r="BB471"/>
  <c r="BA471"/>
  <c r="AZ471"/>
  <c r="AY471"/>
  <c r="AX471"/>
  <c r="AW471"/>
  <c r="AV471"/>
  <c r="AC471"/>
  <c r="H471"/>
  <c r="G471"/>
  <c r="E471"/>
  <c r="BT470"/>
  <c r="BS470"/>
  <c r="BR470"/>
  <c r="BQ470"/>
  <c r="BP470"/>
  <c r="BO470"/>
  <c r="BN470"/>
  <c r="BM470"/>
  <c r="BL470"/>
  <c r="BK470"/>
  <c r="BJ470"/>
  <c r="BI470"/>
  <c r="BH470"/>
  <c r="BG470"/>
  <c r="BF470"/>
  <c r="BE470"/>
  <c r="BD470"/>
  <c r="BC470"/>
  <c r="BB470"/>
  <c r="BA470"/>
  <c r="AZ470"/>
  <c r="AY470"/>
  <c r="AX470"/>
  <c r="AW470"/>
  <c r="AV470"/>
  <c r="AC470"/>
  <c r="H470"/>
  <c r="G470"/>
  <c r="E470"/>
  <c r="BT469"/>
  <c r="BS469"/>
  <c r="BR469"/>
  <c r="BQ469"/>
  <c r="BP469"/>
  <c r="BO469"/>
  <c r="BN469"/>
  <c r="BM469"/>
  <c r="BL469"/>
  <c r="BK469"/>
  <c r="BJ469"/>
  <c r="BI469"/>
  <c r="BH469"/>
  <c r="BG469"/>
  <c r="BF469"/>
  <c r="BE469"/>
  <c r="BD469"/>
  <c r="BC469"/>
  <c r="BB469"/>
  <c r="BA469"/>
  <c r="AZ469"/>
  <c r="AY469"/>
  <c r="AX469"/>
  <c r="AW469"/>
  <c r="AV469"/>
  <c r="AC469"/>
  <c r="H469"/>
  <c r="G469"/>
  <c r="E469"/>
  <c r="BT468"/>
  <c r="BS468"/>
  <c r="BR468"/>
  <c r="BQ468"/>
  <c r="BP468"/>
  <c r="BO468"/>
  <c r="BN468"/>
  <c r="BM468"/>
  <c r="BL468"/>
  <c r="BK468"/>
  <c r="BJ468"/>
  <c r="BI468"/>
  <c r="BH468"/>
  <c r="BG468"/>
  <c r="BF468"/>
  <c r="BE468"/>
  <c r="BD468"/>
  <c r="BC468"/>
  <c r="BB468"/>
  <c r="BA468"/>
  <c r="AZ468"/>
  <c r="AY468"/>
  <c r="AX468"/>
  <c r="AW468"/>
  <c r="AV468"/>
  <c r="AC468"/>
  <c r="H468"/>
  <c r="G468"/>
  <c r="E468"/>
  <c r="BT467"/>
  <c r="BS467"/>
  <c r="BR467"/>
  <c r="BQ467"/>
  <c r="BP467"/>
  <c r="BO467"/>
  <c r="BN467"/>
  <c r="BM467"/>
  <c r="BL467"/>
  <c r="BK467"/>
  <c r="BJ467"/>
  <c r="BI467"/>
  <c r="BH467"/>
  <c r="BG467"/>
  <c r="BF467"/>
  <c r="BE467"/>
  <c r="BD467"/>
  <c r="BC467"/>
  <c r="BB467"/>
  <c r="BA467"/>
  <c r="AZ467"/>
  <c r="AY467"/>
  <c r="AX467"/>
  <c r="AW467"/>
  <c r="AV467"/>
  <c r="AC467"/>
  <c r="H467"/>
  <c r="G467"/>
  <c r="E467"/>
  <c r="BT466"/>
  <c r="BS466"/>
  <c r="BR466"/>
  <c r="BQ466"/>
  <c r="BP466"/>
  <c r="BO466"/>
  <c r="BN466"/>
  <c r="BM466"/>
  <c r="BL466"/>
  <c r="BK466"/>
  <c r="BJ466"/>
  <c r="BI466"/>
  <c r="BH466"/>
  <c r="BG466"/>
  <c r="BF466"/>
  <c r="BE466"/>
  <c r="BD466"/>
  <c r="BC466"/>
  <c r="BB466"/>
  <c r="BA466"/>
  <c r="AZ466"/>
  <c r="AY466"/>
  <c r="AX466"/>
  <c r="AW466"/>
  <c r="AV466"/>
  <c r="AC466"/>
  <c r="H466"/>
  <c r="G466"/>
  <c r="E466"/>
  <c r="BT465"/>
  <c r="BS465"/>
  <c r="BR465"/>
  <c r="BQ465"/>
  <c r="BP465"/>
  <c r="BO465"/>
  <c r="BN465"/>
  <c r="BM465"/>
  <c r="BL465"/>
  <c r="BK465"/>
  <c r="BJ465"/>
  <c r="BI465"/>
  <c r="BH465"/>
  <c r="BG465"/>
  <c r="BF465"/>
  <c r="BE465"/>
  <c r="BD465"/>
  <c r="BC465"/>
  <c r="BB465"/>
  <c r="BA465"/>
  <c r="AZ465"/>
  <c r="AY465"/>
  <c r="AX465"/>
  <c r="AW465"/>
  <c r="AV465"/>
  <c r="AC465"/>
  <c r="H465"/>
  <c r="G465"/>
  <c r="E465"/>
  <c r="BT464"/>
  <c r="BS464"/>
  <c r="BR464"/>
  <c r="BQ464"/>
  <c r="BP464"/>
  <c r="BO464"/>
  <c r="BN464"/>
  <c r="BM464"/>
  <c r="BL464"/>
  <c r="BK464"/>
  <c r="BJ464"/>
  <c r="BI464"/>
  <c r="BH464"/>
  <c r="BG464"/>
  <c r="BF464"/>
  <c r="BE464"/>
  <c r="BD464"/>
  <c r="BC464"/>
  <c r="BB464"/>
  <c r="BA464"/>
  <c r="AZ464"/>
  <c r="AY464"/>
  <c r="AX464"/>
  <c r="AW464"/>
  <c r="AV464"/>
  <c r="AC464"/>
  <c r="H464"/>
  <c r="G464"/>
  <c r="E464"/>
  <c r="BT463"/>
  <c r="BS463"/>
  <c r="BR463"/>
  <c r="BQ463"/>
  <c r="BP463"/>
  <c r="BO463"/>
  <c r="BN463"/>
  <c r="BM463"/>
  <c r="BL463"/>
  <c r="BK463"/>
  <c r="BJ463"/>
  <c r="BI463"/>
  <c r="BH463"/>
  <c r="BG463"/>
  <c r="BF463"/>
  <c r="BE463"/>
  <c r="BD463"/>
  <c r="BC463"/>
  <c r="BB463"/>
  <c r="BA463"/>
  <c r="AZ463"/>
  <c r="AY463"/>
  <c r="AX463"/>
  <c r="AW463"/>
  <c r="AV463"/>
  <c r="AC463"/>
  <c r="H463"/>
  <c r="G463"/>
  <c r="E463"/>
  <c r="BT462"/>
  <c r="BS462"/>
  <c r="BR462"/>
  <c r="BQ462"/>
  <c r="BP462"/>
  <c r="BO462"/>
  <c r="BN462"/>
  <c r="BM462"/>
  <c r="BL462"/>
  <c r="BK462"/>
  <c r="BJ462"/>
  <c r="BI462"/>
  <c r="BH462"/>
  <c r="BG462"/>
  <c r="BF462"/>
  <c r="BE462"/>
  <c r="BD462"/>
  <c r="BC462"/>
  <c r="BB462"/>
  <c r="BA462"/>
  <c r="AZ462"/>
  <c r="AY462"/>
  <c r="AX462"/>
  <c r="AW462"/>
  <c r="AV462"/>
  <c r="AC462"/>
  <c r="H462"/>
  <c r="G462"/>
  <c r="E462"/>
  <c r="BT461"/>
  <c r="BS461"/>
  <c r="BR461"/>
  <c r="BQ461"/>
  <c r="BP461"/>
  <c r="BO461"/>
  <c r="BN461"/>
  <c r="BM461"/>
  <c r="BL461"/>
  <c r="BK461"/>
  <c r="BJ461"/>
  <c r="BI461"/>
  <c r="BH461"/>
  <c r="BG461"/>
  <c r="BF461"/>
  <c r="BE461"/>
  <c r="BD461"/>
  <c r="BC461"/>
  <c r="BB461"/>
  <c r="BA461"/>
  <c r="AZ461"/>
  <c r="AY461"/>
  <c r="AX461"/>
  <c r="AW461"/>
  <c r="AV461"/>
  <c r="AC461"/>
  <c r="H461"/>
  <c r="G461"/>
  <c r="E461"/>
  <c r="BT460"/>
  <c r="BS460"/>
  <c r="BR460"/>
  <c r="BQ460"/>
  <c r="BP460"/>
  <c r="BO460"/>
  <c r="BN460"/>
  <c r="BM460"/>
  <c r="BL460"/>
  <c r="BK460"/>
  <c r="BJ460"/>
  <c r="BI460"/>
  <c r="BH460"/>
  <c r="BG460"/>
  <c r="BF460"/>
  <c r="BE460"/>
  <c r="BD460"/>
  <c r="BC460"/>
  <c r="BB460"/>
  <c r="BA460"/>
  <c r="AZ460"/>
  <c r="AY460"/>
  <c r="AX460"/>
  <c r="AW460"/>
  <c r="AV460"/>
  <c r="AC460"/>
  <c r="H460"/>
  <c r="G460"/>
  <c r="E460"/>
  <c r="BT459"/>
  <c r="BS459"/>
  <c r="BR459"/>
  <c r="BQ459"/>
  <c r="BP459"/>
  <c r="BO459"/>
  <c r="BN459"/>
  <c r="BM459"/>
  <c r="BL459"/>
  <c r="BK459"/>
  <c r="BJ459"/>
  <c r="BI459"/>
  <c r="BH459"/>
  <c r="BG459"/>
  <c r="BF459"/>
  <c r="BE459"/>
  <c r="BD459"/>
  <c r="BC459"/>
  <c r="BB459"/>
  <c r="BA459"/>
  <c r="AZ459"/>
  <c r="AY459"/>
  <c r="AX459"/>
  <c r="AW459"/>
  <c r="AV459"/>
  <c r="AC459"/>
  <c r="H459"/>
  <c r="G459"/>
  <c r="E459"/>
  <c r="BT458"/>
  <c r="BS458"/>
  <c r="BR458"/>
  <c r="BQ458"/>
  <c r="BP458"/>
  <c r="BO458"/>
  <c r="BN458"/>
  <c r="BM458"/>
  <c r="BL458"/>
  <c r="BK458"/>
  <c r="BJ458"/>
  <c r="BI458"/>
  <c r="BH458"/>
  <c r="BG458"/>
  <c r="BF458"/>
  <c r="BE458"/>
  <c r="BD458"/>
  <c r="BC458"/>
  <c r="BB458"/>
  <c r="BA458"/>
  <c r="AZ458"/>
  <c r="AY458"/>
  <c r="AX458"/>
  <c r="AW458"/>
  <c r="AV458"/>
  <c r="AC458"/>
  <c r="H458"/>
  <c r="G458"/>
  <c r="E458"/>
  <c r="BT457"/>
  <c r="BS457"/>
  <c r="BR457"/>
  <c r="BQ457"/>
  <c r="BP457"/>
  <c r="BO457"/>
  <c r="BN457"/>
  <c r="BM457"/>
  <c r="BL457"/>
  <c r="BK457"/>
  <c r="BJ457"/>
  <c r="BI457"/>
  <c r="BH457"/>
  <c r="BG457"/>
  <c r="BF457"/>
  <c r="BE457"/>
  <c r="BD457"/>
  <c r="BC457"/>
  <c r="BB457"/>
  <c r="BA457"/>
  <c r="AZ457"/>
  <c r="AY457"/>
  <c r="AX457"/>
  <c r="AW457"/>
  <c r="AV457"/>
  <c r="AC457"/>
  <c r="H457"/>
  <c r="G457"/>
  <c r="E457"/>
  <c r="BT456"/>
  <c r="BS456"/>
  <c r="BR456"/>
  <c r="BQ456"/>
  <c r="BP456"/>
  <c r="BO456"/>
  <c r="BN456"/>
  <c r="BM456"/>
  <c r="BL456"/>
  <c r="BK456"/>
  <c r="BJ456"/>
  <c r="BI456"/>
  <c r="BH456"/>
  <c r="BG456"/>
  <c r="BF456"/>
  <c r="BE456"/>
  <c r="BD456"/>
  <c r="BC456"/>
  <c r="BB456"/>
  <c r="BA456"/>
  <c r="AZ456"/>
  <c r="AY456"/>
  <c r="AX456"/>
  <c r="AW456"/>
  <c r="AV456"/>
  <c r="AC456"/>
  <c r="H456"/>
  <c r="G456"/>
  <c r="E456"/>
  <c r="BT455"/>
  <c r="BS455"/>
  <c r="BR455"/>
  <c r="BQ455"/>
  <c r="BP455"/>
  <c r="BO455"/>
  <c r="BN455"/>
  <c r="BM455"/>
  <c r="BL455"/>
  <c r="BK455"/>
  <c r="BJ455"/>
  <c r="BI455"/>
  <c r="BH455"/>
  <c r="BG455"/>
  <c r="BF455"/>
  <c r="BE455"/>
  <c r="BD455"/>
  <c r="BC455"/>
  <c r="BB455"/>
  <c r="BA455"/>
  <c r="AZ455"/>
  <c r="AY455"/>
  <c r="AX455"/>
  <c r="AW455"/>
  <c r="AV455"/>
  <c r="AC455"/>
  <c r="H455"/>
  <c r="G455"/>
  <c r="E455"/>
  <c r="BT454"/>
  <c r="BS454"/>
  <c r="BR454"/>
  <c r="BQ454"/>
  <c r="BP454"/>
  <c r="BO454"/>
  <c r="BN454"/>
  <c r="BM454"/>
  <c r="BL454"/>
  <c r="BK454"/>
  <c r="BJ454"/>
  <c r="BI454"/>
  <c r="BH454"/>
  <c r="BG454"/>
  <c r="BF454"/>
  <c r="BE454"/>
  <c r="BD454"/>
  <c r="BC454"/>
  <c r="BB454"/>
  <c r="BA454"/>
  <c r="AZ454"/>
  <c r="AY454"/>
  <c r="AX454"/>
  <c r="AW454"/>
  <c r="AV454"/>
  <c r="AC454"/>
  <c r="H454"/>
  <c r="G454"/>
  <c r="E454"/>
  <c r="BT453"/>
  <c r="BS453"/>
  <c r="BR453"/>
  <c r="BQ453"/>
  <c r="BP453"/>
  <c r="BO453"/>
  <c r="BN453"/>
  <c r="BM453"/>
  <c r="BL453"/>
  <c r="BK453"/>
  <c r="BJ453"/>
  <c r="BI453"/>
  <c r="BH453"/>
  <c r="BG453"/>
  <c r="BF453"/>
  <c r="BE453"/>
  <c r="BD453"/>
  <c r="BC453"/>
  <c r="BB453"/>
  <c r="BA453"/>
  <c r="AZ453"/>
  <c r="AY453"/>
  <c r="AX453"/>
  <c r="AW453"/>
  <c r="AV453"/>
  <c r="AC453"/>
  <c r="H453"/>
  <c r="G453"/>
  <c r="E453"/>
  <c r="BT452"/>
  <c r="BS452"/>
  <c r="BR452"/>
  <c r="BQ452"/>
  <c r="BP452"/>
  <c r="BO452"/>
  <c r="BN452"/>
  <c r="BM452"/>
  <c r="BL452"/>
  <c r="BK452"/>
  <c r="BJ452"/>
  <c r="BI452"/>
  <c r="BH452"/>
  <c r="BG452"/>
  <c r="BF452"/>
  <c r="BE452"/>
  <c r="BD452"/>
  <c r="BC452"/>
  <c r="BB452"/>
  <c r="BA452"/>
  <c r="AZ452"/>
  <c r="AY452"/>
  <c r="AX452"/>
  <c r="AW452"/>
  <c r="AV452"/>
  <c r="AC452"/>
  <c r="H452"/>
  <c r="G452"/>
  <c r="E452"/>
  <c r="BT451"/>
  <c r="BS451"/>
  <c r="BR451"/>
  <c r="BQ451"/>
  <c r="BP451"/>
  <c r="BO451"/>
  <c r="BN451"/>
  <c r="BM451"/>
  <c r="BL451"/>
  <c r="BK451"/>
  <c r="BJ451"/>
  <c r="BI451"/>
  <c r="BH451"/>
  <c r="BG451"/>
  <c r="BF451"/>
  <c r="BE451"/>
  <c r="BD451"/>
  <c r="BC451"/>
  <c r="BB451"/>
  <c r="BA451"/>
  <c r="AZ451"/>
  <c r="AY451"/>
  <c r="AX451"/>
  <c r="AW451"/>
  <c r="AV451"/>
  <c r="AC451"/>
  <c r="H451"/>
  <c r="G451"/>
  <c r="E451"/>
  <c r="BT450"/>
  <c r="BS450"/>
  <c r="BR450"/>
  <c r="BQ450"/>
  <c r="BP450"/>
  <c r="BO450"/>
  <c r="BN450"/>
  <c r="BM450"/>
  <c r="BL450"/>
  <c r="BK450"/>
  <c r="BJ450"/>
  <c r="BI450"/>
  <c r="BH450"/>
  <c r="BG450"/>
  <c r="BF450"/>
  <c r="BE450"/>
  <c r="BD450"/>
  <c r="BC450"/>
  <c r="BB450"/>
  <c r="BA450"/>
  <c r="AZ450"/>
  <c r="AY450"/>
  <c r="AX450"/>
  <c r="AW450"/>
  <c r="AV450"/>
  <c r="AC450"/>
  <c r="H450"/>
  <c r="G450"/>
  <c r="E450"/>
  <c r="BT449"/>
  <c r="BS449"/>
  <c r="BR449"/>
  <c r="BQ449"/>
  <c r="BP449"/>
  <c r="BO449"/>
  <c r="BN449"/>
  <c r="BM449"/>
  <c r="BL449"/>
  <c r="BK449"/>
  <c r="BJ449"/>
  <c r="BI449"/>
  <c r="BH449"/>
  <c r="BG449"/>
  <c r="BF449"/>
  <c r="BE449"/>
  <c r="BD449"/>
  <c r="BC449"/>
  <c r="BB449"/>
  <c r="BA449"/>
  <c r="AZ449"/>
  <c r="AY449"/>
  <c r="AX449"/>
  <c r="AW449"/>
  <c r="AV449"/>
  <c r="AC449"/>
  <c r="H449"/>
  <c r="G449"/>
  <c r="E449"/>
  <c r="BT448"/>
  <c r="BS448"/>
  <c r="BR448"/>
  <c r="BQ448"/>
  <c r="BP448"/>
  <c r="BO448"/>
  <c r="BN448"/>
  <c r="BM448"/>
  <c r="BL448"/>
  <c r="BK448"/>
  <c r="BJ448"/>
  <c r="BI448"/>
  <c r="BH448"/>
  <c r="BG448"/>
  <c r="BF448"/>
  <c r="BE448"/>
  <c r="BD448"/>
  <c r="BC448"/>
  <c r="BB448"/>
  <c r="BA448"/>
  <c r="AZ448"/>
  <c r="AY448"/>
  <c r="AX448"/>
  <c r="AW448"/>
  <c r="AV448"/>
  <c r="AC448"/>
  <c r="H448"/>
  <c r="G448"/>
  <c r="E448"/>
  <c r="BT447"/>
  <c r="BS447"/>
  <c r="BR447"/>
  <c r="BQ447"/>
  <c r="BP447"/>
  <c r="BO447"/>
  <c r="BN447"/>
  <c r="BM447"/>
  <c r="BL447"/>
  <c r="BK447"/>
  <c r="BJ447"/>
  <c r="BI447"/>
  <c r="BH447"/>
  <c r="BG447"/>
  <c r="BF447"/>
  <c r="BE447"/>
  <c r="BD447"/>
  <c r="BC447"/>
  <c r="BB447"/>
  <c r="BA447"/>
  <c r="AZ447"/>
  <c r="AY447"/>
  <c r="AX447"/>
  <c r="AW447"/>
  <c r="AV447"/>
  <c r="AC447"/>
  <c r="H447"/>
  <c r="G447"/>
  <c r="E447"/>
  <c r="BT446"/>
  <c r="BS446"/>
  <c r="BR446"/>
  <c r="BQ446"/>
  <c r="BP446"/>
  <c r="BO446"/>
  <c r="BN446"/>
  <c r="BM446"/>
  <c r="BL446"/>
  <c r="BK446"/>
  <c r="BJ446"/>
  <c r="BI446"/>
  <c r="BH446"/>
  <c r="BG446"/>
  <c r="BF446"/>
  <c r="BE446"/>
  <c r="BD446"/>
  <c r="BC446"/>
  <c r="BB446"/>
  <c r="BA446"/>
  <c r="AZ446"/>
  <c r="AY446"/>
  <c r="AX446"/>
  <c r="AW446"/>
  <c r="AV446"/>
  <c r="AC446"/>
  <c r="H446"/>
  <c r="G446"/>
  <c r="E446"/>
  <c r="BT445"/>
  <c r="BS445"/>
  <c r="BR445"/>
  <c r="BQ445"/>
  <c r="BP445"/>
  <c r="BO445"/>
  <c r="BN445"/>
  <c r="BM445"/>
  <c r="BL445"/>
  <c r="BK445"/>
  <c r="BJ445"/>
  <c r="BI445"/>
  <c r="BH445"/>
  <c r="BG445"/>
  <c r="BF445"/>
  <c r="BE445"/>
  <c r="BD445"/>
  <c r="BC445"/>
  <c r="BB445"/>
  <c r="BA445"/>
  <c r="AZ445"/>
  <c r="AY445"/>
  <c r="AX445"/>
  <c r="AW445"/>
  <c r="AV445"/>
  <c r="AC445"/>
  <c r="H445"/>
  <c r="G445"/>
  <c r="E445"/>
  <c r="BT444"/>
  <c r="BS444"/>
  <c r="BR444"/>
  <c r="BQ444"/>
  <c r="BP444"/>
  <c r="BO444"/>
  <c r="BN444"/>
  <c r="BM444"/>
  <c r="BL444"/>
  <c r="BK444"/>
  <c r="BJ444"/>
  <c r="BI444"/>
  <c r="BH444"/>
  <c r="BG444"/>
  <c r="BF444"/>
  <c r="BE444"/>
  <c r="BD444"/>
  <c r="BC444"/>
  <c r="BB444"/>
  <c r="BA444"/>
  <c r="AZ444"/>
  <c r="AY444"/>
  <c r="AX444"/>
  <c r="AW444"/>
  <c r="AV444"/>
  <c r="AC444"/>
  <c r="H444"/>
  <c r="G444"/>
  <c r="E444"/>
  <c r="BT443"/>
  <c r="BS443"/>
  <c r="BR443"/>
  <c r="BQ443"/>
  <c r="BP443"/>
  <c r="BO443"/>
  <c r="BN443"/>
  <c r="BM443"/>
  <c r="BL443"/>
  <c r="BK443"/>
  <c r="BJ443"/>
  <c r="BI443"/>
  <c r="BH443"/>
  <c r="BG443"/>
  <c r="BF443"/>
  <c r="BE443"/>
  <c r="BD443"/>
  <c r="BC443"/>
  <c r="BB443"/>
  <c r="BA443"/>
  <c r="AZ443"/>
  <c r="AY443"/>
  <c r="AX443"/>
  <c r="AW443"/>
  <c r="AV443"/>
  <c r="AC443"/>
  <c r="H443"/>
  <c r="G443"/>
  <c r="E443"/>
  <c r="BT442"/>
  <c r="BS442"/>
  <c r="BR442"/>
  <c r="BQ442"/>
  <c r="BP442"/>
  <c r="BO442"/>
  <c r="BN442"/>
  <c r="BM442"/>
  <c r="BL442"/>
  <c r="BK442"/>
  <c r="BJ442"/>
  <c r="BI442"/>
  <c r="BH442"/>
  <c r="BG442"/>
  <c r="BF442"/>
  <c r="BE442"/>
  <c r="BD442"/>
  <c r="BC442"/>
  <c r="BB442"/>
  <c r="BA442"/>
  <c r="AZ442"/>
  <c r="AY442"/>
  <c r="AX442"/>
  <c r="AW442"/>
  <c r="AV442"/>
  <c r="AC442"/>
  <c r="H442"/>
  <c r="G442"/>
  <c r="E442"/>
  <c r="BT441"/>
  <c r="BS441"/>
  <c r="BR441"/>
  <c r="BQ441"/>
  <c r="BP441"/>
  <c r="BO441"/>
  <c r="BN441"/>
  <c r="BM441"/>
  <c r="BL441"/>
  <c r="BK441"/>
  <c r="BJ441"/>
  <c r="BI441"/>
  <c r="BH441"/>
  <c r="BG441"/>
  <c r="BF441"/>
  <c r="BE441"/>
  <c r="BD441"/>
  <c r="BC441"/>
  <c r="BB441"/>
  <c r="BA441"/>
  <c r="AZ441"/>
  <c r="AY441"/>
  <c r="AX441"/>
  <c r="AW441"/>
  <c r="AV441"/>
  <c r="AC441"/>
  <c r="H441"/>
  <c r="G441"/>
  <c r="E441"/>
  <c r="BT440"/>
  <c r="BS440"/>
  <c r="BR440"/>
  <c r="BQ440"/>
  <c r="BP440"/>
  <c r="BO440"/>
  <c r="BN440"/>
  <c r="BM440"/>
  <c r="BL440"/>
  <c r="BK440"/>
  <c r="BJ440"/>
  <c r="BI440"/>
  <c r="BH440"/>
  <c r="BG440"/>
  <c r="BF440"/>
  <c r="BE440"/>
  <c r="BD440"/>
  <c r="BC440"/>
  <c r="BB440"/>
  <c r="BA440"/>
  <c r="AZ440"/>
  <c r="AY440"/>
  <c r="AX440"/>
  <c r="AW440"/>
  <c r="AV440"/>
  <c r="AC440"/>
  <c r="H440"/>
  <c r="G440"/>
  <c r="E440"/>
  <c r="BT439"/>
  <c r="BS439"/>
  <c r="BR439"/>
  <c r="BQ439"/>
  <c r="BP439"/>
  <c r="BO439"/>
  <c r="BN439"/>
  <c r="BM439"/>
  <c r="BL439"/>
  <c r="BK439"/>
  <c r="BJ439"/>
  <c r="BI439"/>
  <c r="BH439"/>
  <c r="BG439"/>
  <c r="BF439"/>
  <c r="BE439"/>
  <c r="BD439"/>
  <c r="BC439"/>
  <c r="BB439"/>
  <c r="BA439"/>
  <c r="AZ439"/>
  <c r="AY439"/>
  <c r="AX439"/>
  <c r="AW439"/>
  <c r="AV439"/>
  <c r="AC439"/>
  <c r="H439"/>
  <c r="G439"/>
  <c r="E439"/>
  <c r="BT438"/>
  <c r="BS438"/>
  <c r="BR438"/>
  <c r="BQ438"/>
  <c r="BP438"/>
  <c r="BO438"/>
  <c r="BN438"/>
  <c r="BM438"/>
  <c r="BL438"/>
  <c r="BK438"/>
  <c r="BJ438"/>
  <c r="BI438"/>
  <c r="BH438"/>
  <c r="BG438"/>
  <c r="BF438"/>
  <c r="BE438"/>
  <c r="BD438"/>
  <c r="BC438"/>
  <c r="BB438"/>
  <c r="BA438"/>
  <c r="AZ438"/>
  <c r="AY438"/>
  <c r="AX438"/>
  <c r="AW438"/>
  <c r="AV438"/>
  <c r="AC438"/>
  <c r="H438"/>
  <c r="G438"/>
  <c r="E438"/>
  <c r="BT437"/>
  <c r="BS437"/>
  <c r="BR437"/>
  <c r="BQ437"/>
  <c r="BP437"/>
  <c r="BO437"/>
  <c r="BN437"/>
  <c r="BM437"/>
  <c r="BL437"/>
  <c r="BK437"/>
  <c r="BJ437"/>
  <c r="BI437"/>
  <c r="BH437"/>
  <c r="BG437"/>
  <c r="BF437"/>
  <c r="BE437"/>
  <c r="BD437"/>
  <c r="BC437"/>
  <c r="BB437"/>
  <c r="BA437"/>
  <c r="AZ437"/>
  <c r="AY437"/>
  <c r="AX437"/>
  <c r="AW437"/>
  <c r="AV437"/>
  <c r="AC437"/>
  <c r="H437"/>
  <c r="G437"/>
  <c r="E437"/>
  <c r="BT436"/>
  <c r="BS436"/>
  <c r="BR436"/>
  <c r="BQ436"/>
  <c r="BP436"/>
  <c r="BO436"/>
  <c r="BN436"/>
  <c r="BM436"/>
  <c r="BL436"/>
  <c r="BK436"/>
  <c r="BJ436"/>
  <c r="BI436"/>
  <c r="BH436"/>
  <c r="BG436"/>
  <c r="BF436"/>
  <c r="BE436"/>
  <c r="BD436"/>
  <c r="BC436"/>
  <c r="BB436"/>
  <c r="BA436"/>
  <c r="AZ436"/>
  <c r="AY436"/>
  <c r="AX436"/>
  <c r="AW436"/>
  <c r="AV436"/>
  <c r="AC436"/>
  <c r="H436"/>
  <c r="G436"/>
  <c r="E436"/>
  <c r="BT435"/>
  <c r="BS435"/>
  <c r="BR435"/>
  <c r="BQ435"/>
  <c r="BP435"/>
  <c r="BO435"/>
  <c r="BN435"/>
  <c r="BM435"/>
  <c r="BL435"/>
  <c r="BK435"/>
  <c r="BJ435"/>
  <c r="BI435"/>
  <c r="BH435"/>
  <c r="BG435"/>
  <c r="BF435"/>
  <c r="BE435"/>
  <c r="BD435"/>
  <c r="BC435"/>
  <c r="BB435"/>
  <c r="BA435"/>
  <c r="AZ435"/>
  <c r="AY435"/>
  <c r="AX435"/>
  <c r="AW435"/>
  <c r="AV435"/>
  <c r="AC435"/>
  <c r="H435"/>
  <c r="G435"/>
  <c r="E435"/>
  <c r="BT434"/>
  <c r="BS434"/>
  <c r="BR434"/>
  <c r="BQ434"/>
  <c r="BP434"/>
  <c r="BO434"/>
  <c r="BN434"/>
  <c r="BM434"/>
  <c r="BL434"/>
  <c r="BK434"/>
  <c r="BJ434"/>
  <c r="BI434"/>
  <c r="BH434"/>
  <c r="BG434"/>
  <c r="BF434"/>
  <c r="BE434"/>
  <c r="BD434"/>
  <c r="BC434"/>
  <c r="BB434"/>
  <c r="BA434"/>
  <c r="AZ434"/>
  <c r="AY434"/>
  <c r="AX434"/>
  <c r="AW434"/>
  <c r="AV434"/>
  <c r="AC434"/>
  <c r="H434"/>
  <c r="G434"/>
  <c r="E434"/>
  <c r="BT433"/>
  <c r="BS433"/>
  <c r="BR433"/>
  <c r="BQ433"/>
  <c r="BP433"/>
  <c r="BO433"/>
  <c r="BN433"/>
  <c r="BM433"/>
  <c r="BL433"/>
  <c r="BK433"/>
  <c r="BJ433"/>
  <c r="BI433"/>
  <c r="BH433"/>
  <c r="BG433"/>
  <c r="BF433"/>
  <c r="BE433"/>
  <c r="BD433"/>
  <c r="BC433"/>
  <c r="BB433"/>
  <c r="BA433"/>
  <c r="AZ433"/>
  <c r="AY433"/>
  <c r="AX433"/>
  <c r="AW433"/>
  <c r="AV433"/>
  <c r="AC433"/>
  <c r="H433"/>
  <c r="G433"/>
  <c r="E433"/>
  <c r="BT432"/>
  <c r="BS432"/>
  <c r="BR432"/>
  <c r="BQ432"/>
  <c r="BP432"/>
  <c r="BO432"/>
  <c r="BN432"/>
  <c r="BM432"/>
  <c r="BL432"/>
  <c r="BK432"/>
  <c r="BJ432"/>
  <c r="BI432"/>
  <c r="BH432"/>
  <c r="BG432"/>
  <c r="BF432"/>
  <c r="BE432"/>
  <c r="BD432"/>
  <c r="BC432"/>
  <c r="BB432"/>
  <c r="BA432"/>
  <c r="AZ432"/>
  <c r="AY432"/>
  <c r="AX432"/>
  <c r="AW432"/>
  <c r="AV432"/>
  <c r="AC432"/>
  <c r="H432"/>
  <c r="G432"/>
  <c r="E432"/>
  <c r="BT431"/>
  <c r="BS431"/>
  <c r="BR431"/>
  <c r="BQ431"/>
  <c r="BP431"/>
  <c r="BO431"/>
  <c r="BN431"/>
  <c r="BM431"/>
  <c r="BL431"/>
  <c r="BK431"/>
  <c r="BJ431"/>
  <c r="BI431"/>
  <c r="BH431"/>
  <c r="BG431"/>
  <c r="BF431"/>
  <c r="BE431"/>
  <c r="BD431"/>
  <c r="BC431"/>
  <c r="BB431"/>
  <c r="BA431"/>
  <c r="AZ431"/>
  <c r="AY431"/>
  <c r="AX431"/>
  <c r="AW431"/>
  <c r="AV431"/>
  <c r="AC431"/>
  <c r="H431"/>
  <c r="G431"/>
  <c r="E431"/>
  <c r="BT430"/>
  <c r="BS430"/>
  <c r="BR430"/>
  <c r="BQ430"/>
  <c r="BP430"/>
  <c r="BO430"/>
  <c r="BN430"/>
  <c r="BM430"/>
  <c r="BL430"/>
  <c r="BK430"/>
  <c r="BJ430"/>
  <c r="BI430"/>
  <c r="BH430"/>
  <c r="BG430"/>
  <c r="BF430"/>
  <c r="BE430"/>
  <c r="BD430"/>
  <c r="BC430"/>
  <c r="BB430"/>
  <c r="BA430"/>
  <c r="AZ430"/>
  <c r="AY430"/>
  <c r="AX430"/>
  <c r="AW430"/>
  <c r="AV430"/>
  <c r="AC430"/>
  <c r="H430"/>
  <c r="G430"/>
  <c r="E430"/>
  <c r="BT429"/>
  <c r="BS429"/>
  <c r="BR429"/>
  <c r="BQ429"/>
  <c r="BP429"/>
  <c r="BO429"/>
  <c r="BN429"/>
  <c r="BM429"/>
  <c r="BL429"/>
  <c r="BK429"/>
  <c r="BJ429"/>
  <c r="BI429"/>
  <c r="BH429"/>
  <c r="BG429"/>
  <c r="BF429"/>
  <c r="BE429"/>
  <c r="BD429"/>
  <c r="BC429"/>
  <c r="BB429"/>
  <c r="BA429"/>
  <c r="AZ429"/>
  <c r="AY429"/>
  <c r="AX429"/>
  <c r="AW429"/>
  <c r="AV429"/>
  <c r="AC429"/>
  <c r="H429"/>
  <c r="G429"/>
  <c r="E429"/>
  <c r="BT428"/>
  <c r="BS428"/>
  <c r="BR428"/>
  <c r="BQ428"/>
  <c r="BP428"/>
  <c r="BO428"/>
  <c r="BN428"/>
  <c r="BM428"/>
  <c r="BL428"/>
  <c r="BK428"/>
  <c r="BJ428"/>
  <c r="BI428"/>
  <c r="BH428"/>
  <c r="BG428"/>
  <c r="BF428"/>
  <c r="BE428"/>
  <c r="BD428"/>
  <c r="BC428"/>
  <c r="BB428"/>
  <c r="BA428"/>
  <c r="AZ428"/>
  <c r="AY428"/>
  <c r="AX428"/>
  <c r="AW428"/>
  <c r="AV428"/>
  <c r="AC428"/>
  <c r="H428"/>
  <c r="G428"/>
  <c r="E428"/>
  <c r="BT427"/>
  <c r="BS427"/>
  <c r="BR427"/>
  <c r="BQ427"/>
  <c r="BP427"/>
  <c r="BO427"/>
  <c r="BN427"/>
  <c r="BM427"/>
  <c r="BL427"/>
  <c r="BK427"/>
  <c r="BJ427"/>
  <c r="BI427"/>
  <c r="BH427"/>
  <c r="BG427"/>
  <c r="BF427"/>
  <c r="BE427"/>
  <c r="BD427"/>
  <c r="BC427"/>
  <c r="BB427"/>
  <c r="BA427"/>
  <c r="AZ427"/>
  <c r="AY427"/>
  <c r="AX427"/>
  <c r="AW427"/>
  <c r="AV427"/>
  <c r="AC427"/>
  <c r="H427"/>
  <c r="G427"/>
  <c r="E427"/>
  <c r="BT426"/>
  <c r="BS426"/>
  <c r="BR426"/>
  <c r="BQ426"/>
  <c r="BP426"/>
  <c r="BO426"/>
  <c r="BN426"/>
  <c r="BM426"/>
  <c r="BL426"/>
  <c r="BK426"/>
  <c r="BJ426"/>
  <c r="BI426"/>
  <c r="BH426"/>
  <c r="BG426"/>
  <c r="BF426"/>
  <c r="BE426"/>
  <c r="BD426"/>
  <c r="BC426"/>
  <c r="BB426"/>
  <c r="BA426"/>
  <c r="AZ426"/>
  <c r="AY426"/>
  <c r="AX426"/>
  <c r="AW426"/>
  <c r="AV426"/>
  <c r="AC426"/>
  <c r="H426"/>
  <c r="G426"/>
  <c r="E426"/>
  <c r="BT425"/>
  <c r="BS425"/>
  <c r="BR425"/>
  <c r="BQ425"/>
  <c r="BP425"/>
  <c r="BO425"/>
  <c r="BN425"/>
  <c r="BM425"/>
  <c r="BL425"/>
  <c r="BK425"/>
  <c r="BJ425"/>
  <c r="BI425"/>
  <c r="BH425"/>
  <c r="BG425"/>
  <c r="BF425"/>
  <c r="BE425"/>
  <c r="BD425"/>
  <c r="BC425"/>
  <c r="BB425"/>
  <c r="BA425"/>
  <c r="AZ425"/>
  <c r="AY425"/>
  <c r="AX425"/>
  <c r="AW425"/>
  <c r="AV425"/>
  <c r="AC425"/>
  <c r="H425"/>
  <c r="G425"/>
  <c r="E425"/>
  <c r="BT424"/>
  <c r="BS424"/>
  <c r="BR424"/>
  <c r="BQ424"/>
  <c r="BP424"/>
  <c r="BO424"/>
  <c r="BN424"/>
  <c r="BM424"/>
  <c r="BL424"/>
  <c r="BK424"/>
  <c r="BJ424"/>
  <c r="BI424"/>
  <c r="BH424"/>
  <c r="BG424"/>
  <c r="BF424"/>
  <c r="BE424"/>
  <c r="BD424"/>
  <c r="BC424"/>
  <c r="BB424"/>
  <c r="BA424"/>
  <c r="AZ424"/>
  <c r="AY424"/>
  <c r="AX424"/>
  <c r="AW424"/>
  <c r="AV424"/>
  <c r="AC424"/>
  <c r="H424"/>
  <c r="G424"/>
  <c r="E424"/>
  <c r="BT423"/>
  <c r="BS423"/>
  <c r="BR423"/>
  <c r="BQ423"/>
  <c r="BP423"/>
  <c r="BO423"/>
  <c r="BN423"/>
  <c r="BM423"/>
  <c r="BL423"/>
  <c r="BK423"/>
  <c r="BJ423"/>
  <c r="BI423"/>
  <c r="BH423"/>
  <c r="BG423"/>
  <c r="BF423"/>
  <c r="BE423"/>
  <c r="BD423"/>
  <c r="BC423"/>
  <c r="BB423"/>
  <c r="BA423"/>
  <c r="AZ423"/>
  <c r="AY423"/>
  <c r="AX423"/>
  <c r="AW423"/>
  <c r="AV423"/>
  <c r="AC423"/>
  <c r="H423"/>
  <c r="G423"/>
  <c r="E423"/>
  <c r="BT422"/>
  <c r="BS422"/>
  <c r="BR422"/>
  <c r="BQ422"/>
  <c r="BP422"/>
  <c r="BO422"/>
  <c r="BN422"/>
  <c r="BM422"/>
  <c r="BL422"/>
  <c r="BK422"/>
  <c r="BJ422"/>
  <c r="BI422"/>
  <c r="BH422"/>
  <c r="BG422"/>
  <c r="BF422"/>
  <c r="BE422"/>
  <c r="BD422"/>
  <c r="BC422"/>
  <c r="BB422"/>
  <c r="BA422"/>
  <c r="AZ422"/>
  <c r="AY422"/>
  <c r="AX422"/>
  <c r="AW422"/>
  <c r="AV422"/>
  <c r="AC422"/>
  <c r="H422"/>
  <c r="G422"/>
  <c r="E422"/>
  <c r="BT421"/>
  <c r="BS421"/>
  <c r="BR421"/>
  <c r="BQ421"/>
  <c r="BP421"/>
  <c r="BO421"/>
  <c r="BN421"/>
  <c r="BM421"/>
  <c r="BL421"/>
  <c r="BK421"/>
  <c r="BJ421"/>
  <c r="BI421"/>
  <c r="BH421"/>
  <c r="BG421"/>
  <c r="BF421"/>
  <c r="BE421"/>
  <c r="BD421"/>
  <c r="BC421"/>
  <c r="BB421"/>
  <c r="BA421"/>
  <c r="AZ421"/>
  <c r="AY421"/>
  <c r="AX421"/>
  <c r="AW421"/>
  <c r="AV421"/>
  <c r="AC421"/>
  <c r="H421"/>
  <c r="G421"/>
  <c r="E421"/>
  <c r="BT420"/>
  <c r="BS420"/>
  <c r="BR420"/>
  <c r="BQ420"/>
  <c r="BP420"/>
  <c r="BO420"/>
  <c r="BN420"/>
  <c r="BM420"/>
  <c r="BL420"/>
  <c r="BK420"/>
  <c r="BJ420"/>
  <c r="BI420"/>
  <c r="BH420"/>
  <c r="BG420"/>
  <c r="BF420"/>
  <c r="BE420"/>
  <c r="BD420"/>
  <c r="BC420"/>
  <c r="BB420"/>
  <c r="BA420"/>
  <c r="AZ420"/>
  <c r="AY420"/>
  <c r="AX420"/>
  <c r="AW420"/>
  <c r="AV420"/>
  <c r="AC420"/>
  <c r="H420"/>
  <c r="G420"/>
  <c r="E420"/>
  <c r="BT419"/>
  <c r="BS419"/>
  <c r="BR419"/>
  <c r="BQ419"/>
  <c r="BP419"/>
  <c r="BO419"/>
  <c r="BN419"/>
  <c r="BM419"/>
  <c r="BL419"/>
  <c r="BK419"/>
  <c r="BJ419"/>
  <c r="BI419"/>
  <c r="BH419"/>
  <c r="BG419"/>
  <c r="BF419"/>
  <c r="BE419"/>
  <c r="BD419"/>
  <c r="BC419"/>
  <c r="BB419"/>
  <c r="BA419"/>
  <c r="AZ419"/>
  <c r="AY419"/>
  <c r="AX419"/>
  <c r="AW419"/>
  <c r="AV419"/>
  <c r="AC419"/>
  <c r="H419"/>
  <c r="G419"/>
  <c r="E419"/>
  <c r="BT418"/>
  <c r="BS418"/>
  <c r="BR418"/>
  <c r="BQ418"/>
  <c r="BP418"/>
  <c r="BO418"/>
  <c r="BN418"/>
  <c r="BM418"/>
  <c r="BL418"/>
  <c r="BK418"/>
  <c r="BJ418"/>
  <c r="BI418"/>
  <c r="BH418"/>
  <c r="BG418"/>
  <c r="BF418"/>
  <c r="BE418"/>
  <c r="BD418"/>
  <c r="BC418"/>
  <c r="BB418"/>
  <c r="BA418"/>
  <c r="AZ418"/>
  <c r="AY418"/>
  <c r="AX418"/>
  <c r="AW418"/>
  <c r="AV418"/>
  <c r="AC418"/>
  <c r="H418"/>
  <c r="G418"/>
  <c r="E418"/>
  <c r="BT417"/>
  <c r="BS417"/>
  <c r="BR417"/>
  <c r="BQ417"/>
  <c r="BP417"/>
  <c r="BO417"/>
  <c r="BN417"/>
  <c r="BM417"/>
  <c r="BL417"/>
  <c r="BK417"/>
  <c r="BJ417"/>
  <c r="BI417"/>
  <c r="BH417"/>
  <c r="BG417"/>
  <c r="BF417"/>
  <c r="BE417"/>
  <c r="BD417"/>
  <c r="BC417"/>
  <c r="BB417"/>
  <c r="BA417"/>
  <c r="AZ417"/>
  <c r="AY417"/>
  <c r="AX417"/>
  <c r="AW417"/>
  <c r="AV417"/>
  <c r="AC417"/>
  <c r="H417"/>
  <c r="G417"/>
  <c r="E417"/>
  <c r="BT416"/>
  <c r="BS416"/>
  <c r="BR416"/>
  <c r="BQ416"/>
  <c r="BP416"/>
  <c r="BO416"/>
  <c r="BN416"/>
  <c r="BM416"/>
  <c r="BL416"/>
  <c r="BK416"/>
  <c r="BJ416"/>
  <c r="BI416"/>
  <c r="BH416"/>
  <c r="BG416"/>
  <c r="BF416"/>
  <c r="BE416"/>
  <c r="BD416"/>
  <c r="BC416"/>
  <c r="BB416"/>
  <c r="BA416"/>
  <c r="AZ416"/>
  <c r="AY416"/>
  <c r="AX416"/>
  <c r="AW416"/>
  <c r="AV416"/>
  <c r="AC416"/>
  <c r="H416"/>
  <c r="G416"/>
  <c r="E416"/>
  <c r="BT415"/>
  <c r="BS415"/>
  <c r="BR415"/>
  <c r="BQ415"/>
  <c r="BP415"/>
  <c r="BO415"/>
  <c r="BN415"/>
  <c r="BM415"/>
  <c r="BL415"/>
  <c r="BK415"/>
  <c r="BJ415"/>
  <c r="BI415"/>
  <c r="BH415"/>
  <c r="BG415"/>
  <c r="BF415"/>
  <c r="BE415"/>
  <c r="BD415"/>
  <c r="BC415"/>
  <c r="BB415"/>
  <c r="BA415"/>
  <c r="AZ415"/>
  <c r="AY415"/>
  <c r="AX415"/>
  <c r="AW415"/>
  <c r="AV415"/>
  <c r="AC415"/>
  <c r="H415"/>
  <c r="G415"/>
  <c r="E415"/>
  <c r="BT414"/>
  <c r="BS414"/>
  <c r="BR414"/>
  <c r="BQ414"/>
  <c r="BP414"/>
  <c r="BO414"/>
  <c r="BN414"/>
  <c r="BM414"/>
  <c r="BL414"/>
  <c r="BK414"/>
  <c r="BJ414"/>
  <c r="BI414"/>
  <c r="BH414"/>
  <c r="BG414"/>
  <c r="BF414"/>
  <c r="BE414"/>
  <c r="BD414"/>
  <c r="BC414"/>
  <c r="BB414"/>
  <c r="BA414"/>
  <c r="AZ414"/>
  <c r="AY414"/>
  <c r="AX414"/>
  <c r="AW414"/>
  <c r="AV414"/>
  <c r="AC414"/>
  <c r="H414"/>
  <c r="G414"/>
  <c r="E414"/>
  <c r="BT413"/>
  <c r="BS413"/>
  <c r="BR413"/>
  <c r="BQ413"/>
  <c r="BP413"/>
  <c r="BO413"/>
  <c r="BN413"/>
  <c r="BM413"/>
  <c r="BL413"/>
  <c r="BK413"/>
  <c r="BJ413"/>
  <c r="BI413"/>
  <c r="BH413"/>
  <c r="BG413"/>
  <c r="BF413"/>
  <c r="BE413"/>
  <c r="BD413"/>
  <c r="BC413"/>
  <c r="BB413"/>
  <c r="BA413"/>
  <c r="AZ413"/>
  <c r="AY413"/>
  <c r="AX413"/>
  <c r="AW413"/>
  <c r="AV413"/>
  <c r="AC413"/>
  <c r="H413"/>
  <c r="G413"/>
  <c r="E413"/>
  <c r="BT412"/>
  <c r="BS412"/>
  <c r="BR412"/>
  <c r="BQ412"/>
  <c r="BP412"/>
  <c r="BO412"/>
  <c r="BN412"/>
  <c r="BM412"/>
  <c r="BL412"/>
  <c r="BK412"/>
  <c r="BJ412"/>
  <c r="BI412"/>
  <c r="BH412"/>
  <c r="BG412"/>
  <c r="BF412"/>
  <c r="BE412"/>
  <c r="BD412"/>
  <c r="BC412"/>
  <c r="BB412"/>
  <c r="BA412"/>
  <c r="AZ412"/>
  <c r="AY412"/>
  <c r="AX412"/>
  <c r="AW412"/>
  <c r="AV412"/>
  <c r="AC412"/>
  <c r="H412"/>
  <c r="G412"/>
  <c r="E412"/>
  <c r="BT411"/>
  <c r="BS411"/>
  <c r="BR411"/>
  <c r="BQ411"/>
  <c r="BP411"/>
  <c r="BO411"/>
  <c r="BN411"/>
  <c r="BM411"/>
  <c r="BL411"/>
  <c r="BK411"/>
  <c r="BJ411"/>
  <c r="BI411"/>
  <c r="BH411"/>
  <c r="BG411"/>
  <c r="BF411"/>
  <c r="BE411"/>
  <c r="BD411"/>
  <c r="BC411"/>
  <c r="BB411"/>
  <c r="BA411"/>
  <c r="AZ411"/>
  <c r="AY411"/>
  <c r="AX411"/>
  <c r="AW411"/>
  <c r="AV411"/>
  <c r="AC411"/>
  <c r="H411"/>
  <c r="G411"/>
  <c r="E411"/>
  <c r="BT410"/>
  <c r="BS410"/>
  <c r="BR410"/>
  <c r="BQ410"/>
  <c r="BP410"/>
  <c r="BO410"/>
  <c r="BN410"/>
  <c r="BM410"/>
  <c r="BL410"/>
  <c r="BK410"/>
  <c r="BJ410"/>
  <c r="BI410"/>
  <c r="BH410"/>
  <c r="BG410"/>
  <c r="BF410"/>
  <c r="BE410"/>
  <c r="BD410"/>
  <c r="BC410"/>
  <c r="BB410"/>
  <c r="BA410"/>
  <c r="AZ410"/>
  <c r="AY410"/>
  <c r="AX410"/>
  <c r="AW410"/>
  <c r="AV410"/>
  <c r="AC410"/>
  <c r="H410"/>
  <c r="G410"/>
  <c r="E410"/>
  <c r="BT409"/>
  <c r="BS409"/>
  <c r="BR409"/>
  <c r="BQ409"/>
  <c r="BP409"/>
  <c r="BO409"/>
  <c r="BN409"/>
  <c r="BM409"/>
  <c r="BL409"/>
  <c r="BK409"/>
  <c r="BJ409"/>
  <c r="BI409"/>
  <c r="BH409"/>
  <c r="BG409"/>
  <c r="BF409"/>
  <c r="BE409"/>
  <c r="BD409"/>
  <c r="BC409"/>
  <c r="BB409"/>
  <c r="BA409"/>
  <c r="AZ409"/>
  <c r="AY409"/>
  <c r="AX409"/>
  <c r="AW409"/>
  <c r="AV409"/>
  <c r="AC409"/>
  <c r="H409"/>
  <c r="G409"/>
  <c r="E409"/>
  <c r="BT408"/>
  <c r="BS408"/>
  <c r="BR408"/>
  <c r="BQ408"/>
  <c r="BP408"/>
  <c r="BO408"/>
  <c r="BN408"/>
  <c r="BM408"/>
  <c r="BL408"/>
  <c r="BK408"/>
  <c r="BJ408"/>
  <c r="BI408"/>
  <c r="BH408"/>
  <c r="BG408"/>
  <c r="BF408"/>
  <c r="BE408"/>
  <c r="BD408"/>
  <c r="BC408"/>
  <c r="BB408"/>
  <c r="BA408"/>
  <c r="AZ408"/>
  <c r="AY408"/>
  <c r="AX408"/>
  <c r="AW408"/>
  <c r="AV408"/>
  <c r="AC408"/>
  <c r="H408"/>
  <c r="G408"/>
  <c r="E408"/>
  <c r="BT407"/>
  <c r="BS407"/>
  <c r="BR407"/>
  <c r="BQ407"/>
  <c r="BP407"/>
  <c r="BO407"/>
  <c r="BN407"/>
  <c r="BM407"/>
  <c r="BL407"/>
  <c r="BK407"/>
  <c r="BJ407"/>
  <c r="BI407"/>
  <c r="BH407"/>
  <c r="BG407"/>
  <c r="BF407"/>
  <c r="BE407"/>
  <c r="BD407"/>
  <c r="BC407"/>
  <c r="BB407"/>
  <c r="BA407"/>
  <c r="AZ407"/>
  <c r="AY407"/>
  <c r="AX407"/>
  <c r="AW407"/>
  <c r="AV407"/>
  <c r="AC407"/>
  <c r="H407"/>
  <c r="G407"/>
  <c r="E407"/>
  <c r="BT406"/>
  <c r="BS406"/>
  <c r="BR406"/>
  <c r="BQ406"/>
  <c r="BP406"/>
  <c r="BO406"/>
  <c r="BN406"/>
  <c r="BM406"/>
  <c r="BL406"/>
  <c r="BK406"/>
  <c r="BJ406"/>
  <c r="BI406"/>
  <c r="BH406"/>
  <c r="BG406"/>
  <c r="BF406"/>
  <c r="BE406"/>
  <c r="BD406"/>
  <c r="BC406"/>
  <c r="BB406"/>
  <c r="BA406"/>
  <c r="AZ406"/>
  <c r="AY406"/>
  <c r="AX406"/>
  <c r="AW406"/>
  <c r="AV406"/>
  <c r="AC406"/>
  <c r="H406"/>
  <c r="G406"/>
  <c r="E406"/>
  <c r="BT405"/>
  <c r="BS405"/>
  <c r="BR405"/>
  <c r="BQ405"/>
  <c r="BP405"/>
  <c r="BO405"/>
  <c r="BN405"/>
  <c r="BM405"/>
  <c r="BL405"/>
  <c r="BK405"/>
  <c r="BJ405"/>
  <c r="BI405"/>
  <c r="BH405"/>
  <c r="BG405"/>
  <c r="BF405"/>
  <c r="BE405"/>
  <c r="BD405"/>
  <c r="BC405"/>
  <c r="BB405"/>
  <c r="BA405"/>
  <c r="AZ405"/>
  <c r="AY405"/>
  <c r="AX405"/>
  <c r="AW405"/>
  <c r="AV405"/>
  <c r="AC405"/>
  <c r="H405"/>
  <c r="G405"/>
  <c r="E405"/>
  <c r="BT404"/>
  <c r="BS404"/>
  <c r="BR404"/>
  <c r="BQ404"/>
  <c r="BP404"/>
  <c r="BO404"/>
  <c r="BN404"/>
  <c r="BM404"/>
  <c r="BL404"/>
  <c r="BK404"/>
  <c r="BJ404"/>
  <c r="BI404"/>
  <c r="BH404"/>
  <c r="BG404"/>
  <c r="BF404"/>
  <c r="BE404"/>
  <c r="BD404"/>
  <c r="BC404"/>
  <c r="BB404"/>
  <c r="BA404"/>
  <c r="AZ404"/>
  <c r="AY404"/>
  <c r="AX404"/>
  <c r="AW404"/>
  <c r="AV404"/>
  <c r="AC404"/>
  <c r="H404"/>
  <c r="G404"/>
  <c r="E404"/>
  <c r="BT403"/>
  <c r="BS403"/>
  <c r="BR403"/>
  <c r="BQ403"/>
  <c r="BP403"/>
  <c r="BO403"/>
  <c r="BN403"/>
  <c r="BM403"/>
  <c r="BL403"/>
  <c r="BK403"/>
  <c r="BJ403"/>
  <c r="BI403"/>
  <c r="BH403"/>
  <c r="BG403"/>
  <c r="BF403"/>
  <c r="BE403"/>
  <c r="BD403"/>
  <c r="BC403"/>
  <c r="BB403"/>
  <c r="BA403"/>
  <c r="AZ403"/>
  <c r="AY403"/>
  <c r="AX403"/>
  <c r="AW403"/>
  <c r="AV403"/>
  <c r="AC403"/>
  <c r="H403"/>
  <c r="G403"/>
  <c r="E403"/>
  <c r="BT402"/>
  <c r="BS402"/>
  <c r="BR402"/>
  <c r="BQ402"/>
  <c r="BP402"/>
  <c r="BO402"/>
  <c r="BN402"/>
  <c r="BM402"/>
  <c r="BL402"/>
  <c r="BK402"/>
  <c r="BJ402"/>
  <c r="BI402"/>
  <c r="BH402"/>
  <c r="BG402"/>
  <c r="BF402"/>
  <c r="BE402"/>
  <c r="BD402"/>
  <c r="BC402"/>
  <c r="BB402"/>
  <c r="BA402"/>
  <c r="AZ402"/>
  <c r="AY402"/>
  <c r="AX402"/>
  <c r="AW402"/>
  <c r="AV402"/>
  <c r="AC402"/>
  <c r="H402"/>
  <c r="G402"/>
  <c r="E402"/>
  <c r="BT401"/>
  <c r="BS401"/>
  <c r="BR401"/>
  <c r="BQ401"/>
  <c r="BP401"/>
  <c r="BO401"/>
  <c r="BN401"/>
  <c r="BM401"/>
  <c r="BL401"/>
  <c r="BK401"/>
  <c r="BJ401"/>
  <c r="BI401"/>
  <c r="BH401"/>
  <c r="BG401"/>
  <c r="BF401"/>
  <c r="BE401"/>
  <c r="BD401"/>
  <c r="BC401"/>
  <c r="BB401"/>
  <c r="BA401"/>
  <c r="AZ401"/>
  <c r="AY401"/>
  <c r="AX401"/>
  <c r="AW401"/>
  <c r="AV401"/>
  <c r="AC401"/>
  <c r="H401"/>
  <c r="G401"/>
  <c r="E401"/>
  <c r="BT400"/>
  <c r="BS400"/>
  <c r="BR400"/>
  <c r="BQ400"/>
  <c r="BP400"/>
  <c r="BO400"/>
  <c r="BN400"/>
  <c r="BM400"/>
  <c r="BL400"/>
  <c r="BK400"/>
  <c r="BJ400"/>
  <c r="BI400"/>
  <c r="BH400"/>
  <c r="BG400"/>
  <c r="BF400"/>
  <c r="BE400"/>
  <c r="BD400"/>
  <c r="BC400"/>
  <c r="BB400"/>
  <c r="BA400"/>
  <c r="AZ400"/>
  <c r="AY400"/>
  <c r="AX400"/>
  <c r="AW400"/>
  <c r="AV400"/>
  <c r="AC400"/>
  <c r="H400"/>
  <c r="G400"/>
  <c r="E400"/>
  <c r="BT399"/>
  <c r="BS399"/>
  <c r="BR399"/>
  <c r="BQ399"/>
  <c r="BP399"/>
  <c r="BO399"/>
  <c r="BN399"/>
  <c r="BM399"/>
  <c r="BL399"/>
  <c r="BK399"/>
  <c r="BJ399"/>
  <c r="BI399"/>
  <c r="BH399"/>
  <c r="BG399"/>
  <c r="BF399"/>
  <c r="BE399"/>
  <c r="BD399"/>
  <c r="BC399"/>
  <c r="BB399"/>
  <c r="BA399"/>
  <c r="AZ399"/>
  <c r="AY399"/>
  <c r="AX399"/>
  <c r="AW399"/>
  <c r="AV399"/>
  <c r="AC399"/>
  <c r="H399"/>
  <c r="G399"/>
  <c r="E399"/>
  <c r="BT398"/>
  <c r="BS398"/>
  <c r="BR398"/>
  <c r="BQ398"/>
  <c r="BP398"/>
  <c r="BO398"/>
  <c r="BN398"/>
  <c r="BM398"/>
  <c r="BL398"/>
  <c r="BK398"/>
  <c r="BJ398"/>
  <c r="BI398"/>
  <c r="BH398"/>
  <c r="BG398"/>
  <c r="BF398"/>
  <c r="BE398"/>
  <c r="BD398"/>
  <c r="BC398"/>
  <c r="BB398"/>
  <c r="BA398"/>
  <c r="AZ398"/>
  <c r="AY398"/>
  <c r="AX398"/>
  <c r="AW398"/>
  <c r="AV398"/>
  <c r="AC398"/>
  <c r="H398"/>
  <c r="G398"/>
  <c r="E398"/>
  <c r="BT397"/>
  <c r="BS397"/>
  <c r="BR397"/>
  <c r="BQ397"/>
  <c r="BP397"/>
  <c r="BO397"/>
  <c r="BN397"/>
  <c r="BM397"/>
  <c r="BL397"/>
  <c r="BK397"/>
  <c r="BJ397"/>
  <c r="BI397"/>
  <c r="BH397"/>
  <c r="BG397"/>
  <c r="BF397"/>
  <c r="BE397"/>
  <c r="BD397"/>
  <c r="BC397"/>
  <c r="BB397"/>
  <c r="BA397"/>
  <c r="AZ397"/>
  <c r="AY397"/>
  <c r="AX397"/>
  <c r="AW397"/>
  <c r="AV397"/>
  <c r="AC397"/>
  <c r="H397"/>
  <c r="G397"/>
  <c r="E397"/>
  <c r="BT396"/>
  <c r="BS396"/>
  <c r="BR396"/>
  <c r="BQ396"/>
  <c r="BP396"/>
  <c r="BO396"/>
  <c r="BN396"/>
  <c r="BM396"/>
  <c r="BL396"/>
  <c r="BK396"/>
  <c r="BJ396"/>
  <c r="BI396"/>
  <c r="BH396"/>
  <c r="BG396"/>
  <c r="BF396"/>
  <c r="BE396"/>
  <c r="BD396"/>
  <c r="BC396"/>
  <c r="BB396"/>
  <c r="BA396"/>
  <c r="AZ396"/>
  <c r="AY396"/>
  <c r="AX396"/>
  <c r="AW396"/>
  <c r="AV396"/>
  <c r="AC396"/>
  <c r="H396"/>
  <c r="G396"/>
  <c r="E396"/>
  <c r="BT395"/>
  <c r="BS395"/>
  <c r="BR395"/>
  <c r="BQ395"/>
  <c r="BP395"/>
  <c r="BO395"/>
  <c r="BN395"/>
  <c r="BM395"/>
  <c r="BL395"/>
  <c r="BK395"/>
  <c r="BJ395"/>
  <c r="BI395"/>
  <c r="BH395"/>
  <c r="BG395"/>
  <c r="BF395"/>
  <c r="BE395"/>
  <c r="BD395"/>
  <c r="BC395"/>
  <c r="BB395"/>
  <c r="BA395"/>
  <c r="AZ395"/>
  <c r="AY395"/>
  <c r="AX395"/>
  <c r="AW395"/>
  <c r="AV395"/>
  <c r="AC395"/>
  <c r="H395"/>
  <c r="G395"/>
  <c r="E395"/>
  <c r="BT394"/>
  <c r="BS394"/>
  <c r="BR394"/>
  <c r="BQ394"/>
  <c r="BP394"/>
  <c r="BO394"/>
  <c r="BN394"/>
  <c r="BM394"/>
  <c r="BL394"/>
  <c r="BK394"/>
  <c r="BJ394"/>
  <c r="BI394"/>
  <c r="BH394"/>
  <c r="BG394"/>
  <c r="BF394"/>
  <c r="BE394"/>
  <c r="BD394"/>
  <c r="BC394"/>
  <c r="BB394"/>
  <c r="BA394"/>
  <c r="AZ394"/>
  <c r="AY394"/>
  <c r="AX394"/>
  <c r="AW394"/>
  <c r="AV394"/>
  <c r="AC394"/>
  <c r="H394"/>
  <c r="G394"/>
  <c r="E394"/>
  <c r="BT393"/>
  <c r="BS393"/>
  <c r="BR393"/>
  <c r="BQ393"/>
  <c r="BP393"/>
  <c r="BO393"/>
  <c r="BN393"/>
  <c r="BM393"/>
  <c r="BL393"/>
  <c r="BK393"/>
  <c r="BJ393"/>
  <c r="BI393"/>
  <c r="BH393"/>
  <c r="BG393"/>
  <c r="BF393"/>
  <c r="BE393"/>
  <c r="BD393"/>
  <c r="BC393"/>
  <c r="BB393"/>
  <c r="BA393"/>
  <c r="AZ393"/>
  <c r="AY393"/>
  <c r="AX393"/>
  <c r="AW393"/>
  <c r="AV393"/>
  <c r="AC393"/>
  <c r="H393"/>
  <c r="G393"/>
  <c r="E393"/>
  <c r="BT392"/>
  <c r="BS392"/>
  <c r="BR392"/>
  <c r="BQ392"/>
  <c r="BP392"/>
  <c r="BO392"/>
  <c r="BN392"/>
  <c r="BM392"/>
  <c r="BL392"/>
  <c r="BK392"/>
  <c r="BJ392"/>
  <c r="BI392"/>
  <c r="BH392"/>
  <c r="BG392"/>
  <c r="BF392"/>
  <c r="BE392"/>
  <c r="BD392"/>
  <c r="BC392"/>
  <c r="BB392"/>
  <c r="BA392"/>
  <c r="AZ392"/>
  <c r="AY392"/>
  <c r="AX392"/>
  <c r="AW392"/>
  <c r="AV392"/>
  <c r="AC392"/>
  <c r="H392"/>
  <c r="G392"/>
  <c r="E392"/>
  <c r="BT391"/>
  <c r="BS391"/>
  <c r="BR391"/>
  <c r="BQ391"/>
  <c r="BP391"/>
  <c r="BO391"/>
  <c r="BN391"/>
  <c r="BM391"/>
  <c r="BL391"/>
  <c r="BK391"/>
  <c r="BJ391"/>
  <c r="BI391"/>
  <c r="BH391"/>
  <c r="BG391"/>
  <c r="BF391"/>
  <c r="BE391"/>
  <c r="BD391"/>
  <c r="BC391"/>
  <c r="BB391"/>
  <c r="BA391"/>
  <c r="AZ391"/>
  <c r="AY391"/>
  <c r="AX391"/>
  <c r="AW391"/>
  <c r="AV391"/>
  <c r="AC391"/>
  <c r="H391"/>
  <c r="G391"/>
  <c r="E391"/>
  <c r="BT390"/>
  <c r="BS390"/>
  <c r="BR390"/>
  <c r="BQ390"/>
  <c r="BP390"/>
  <c r="BO390"/>
  <c r="BN390"/>
  <c r="BM390"/>
  <c r="BL390"/>
  <c r="BK390"/>
  <c r="BJ390"/>
  <c r="BI390"/>
  <c r="BH390"/>
  <c r="BG390"/>
  <c r="BF390"/>
  <c r="BE390"/>
  <c r="BD390"/>
  <c r="BC390"/>
  <c r="BB390"/>
  <c r="BA390"/>
  <c r="AZ390"/>
  <c r="AY390"/>
  <c r="AX390"/>
  <c r="AW390"/>
  <c r="AV390"/>
  <c r="AC390"/>
  <c r="H390"/>
  <c r="G390"/>
  <c r="E390"/>
  <c r="BT389"/>
  <c r="BS389"/>
  <c r="BR389"/>
  <c r="BQ389"/>
  <c r="BP389"/>
  <c r="BO389"/>
  <c r="BN389"/>
  <c r="BM389"/>
  <c r="BL389"/>
  <c r="BK389"/>
  <c r="BJ389"/>
  <c r="BI389"/>
  <c r="BH389"/>
  <c r="BG389"/>
  <c r="BF389"/>
  <c r="BE389"/>
  <c r="BD389"/>
  <c r="BC389"/>
  <c r="BB389"/>
  <c r="BA389"/>
  <c r="AZ389"/>
  <c r="AY389"/>
  <c r="AX389"/>
  <c r="AW389"/>
  <c r="AV389"/>
  <c r="AC389"/>
  <c r="H389"/>
  <c r="G389"/>
  <c r="E389"/>
  <c r="BT388"/>
  <c r="BS388"/>
  <c r="BR388"/>
  <c r="BQ388"/>
  <c r="BP388"/>
  <c r="BO388"/>
  <c r="BN388"/>
  <c r="BM388"/>
  <c r="BL388"/>
  <c r="BK388"/>
  <c r="BJ388"/>
  <c r="BI388"/>
  <c r="BH388"/>
  <c r="BG388"/>
  <c r="BF388"/>
  <c r="BE388"/>
  <c r="BD388"/>
  <c r="BC388"/>
  <c r="BB388"/>
  <c r="BA388"/>
  <c r="AZ388"/>
  <c r="AY388"/>
  <c r="AX388"/>
  <c r="AW388"/>
  <c r="AV388"/>
  <c r="AC388"/>
  <c r="H388"/>
  <c r="G388"/>
  <c r="E388"/>
  <c r="BT387"/>
  <c r="BS387"/>
  <c r="BR387"/>
  <c r="BQ387"/>
  <c r="BP387"/>
  <c r="BO387"/>
  <c r="BN387"/>
  <c r="BM387"/>
  <c r="BL387"/>
  <c r="BK387"/>
  <c r="BJ387"/>
  <c r="BI387"/>
  <c r="BH387"/>
  <c r="BG387"/>
  <c r="BF387"/>
  <c r="BE387"/>
  <c r="BD387"/>
  <c r="BC387"/>
  <c r="BB387"/>
  <c r="BA387"/>
  <c r="AZ387"/>
  <c r="AY387"/>
  <c r="AX387"/>
  <c r="AW387"/>
  <c r="AV387"/>
  <c r="AC387"/>
  <c r="H387"/>
  <c r="G387"/>
  <c r="E387"/>
  <c r="BT386"/>
  <c r="BS386"/>
  <c r="BR386"/>
  <c r="BQ386"/>
  <c r="BP386"/>
  <c r="BO386"/>
  <c r="BN386"/>
  <c r="BM386"/>
  <c r="BL386"/>
  <c r="BK386"/>
  <c r="BJ386"/>
  <c r="BI386"/>
  <c r="BH386"/>
  <c r="BG386"/>
  <c r="BF386"/>
  <c r="BE386"/>
  <c r="BD386"/>
  <c r="BC386"/>
  <c r="BB386"/>
  <c r="BA386"/>
  <c r="AZ386"/>
  <c r="AY386"/>
  <c r="AX386"/>
  <c r="AW386"/>
  <c r="AV386"/>
  <c r="AC386"/>
  <c r="H386"/>
  <c r="G386"/>
  <c r="E386"/>
  <c r="BT385"/>
  <c r="BS385"/>
  <c r="BR385"/>
  <c r="BQ385"/>
  <c r="BP385"/>
  <c r="BO385"/>
  <c r="BN385"/>
  <c r="BM385"/>
  <c r="BL385"/>
  <c r="BK385"/>
  <c r="BJ385"/>
  <c r="BI385"/>
  <c r="BH385"/>
  <c r="BG385"/>
  <c r="BF385"/>
  <c r="BE385"/>
  <c r="BD385"/>
  <c r="BC385"/>
  <c r="BB385"/>
  <c r="BA385"/>
  <c r="AZ385"/>
  <c r="AY385"/>
  <c r="AX385"/>
  <c r="AW385"/>
  <c r="AV385"/>
  <c r="AC385"/>
  <c r="H385"/>
  <c r="G385"/>
  <c r="E385"/>
  <c r="BT384"/>
  <c r="BS384"/>
  <c r="BR384"/>
  <c r="BQ384"/>
  <c r="BP384"/>
  <c r="BO384"/>
  <c r="BN384"/>
  <c r="BM384"/>
  <c r="BL384"/>
  <c r="BK384"/>
  <c r="BJ384"/>
  <c r="BI384"/>
  <c r="BH384"/>
  <c r="BG384"/>
  <c r="BF384"/>
  <c r="BE384"/>
  <c r="BD384"/>
  <c r="BC384"/>
  <c r="BB384"/>
  <c r="BA384"/>
  <c r="AZ384"/>
  <c r="AY384"/>
  <c r="AX384"/>
  <c r="AW384"/>
  <c r="AV384"/>
  <c r="AC384"/>
  <c r="H384"/>
  <c r="G384"/>
  <c r="E384"/>
  <c r="BT383"/>
  <c r="BS383"/>
  <c r="BR383"/>
  <c r="BQ383"/>
  <c r="BP383"/>
  <c r="BO383"/>
  <c r="BN383"/>
  <c r="BM383"/>
  <c r="BL383"/>
  <c r="BK383"/>
  <c r="BJ383"/>
  <c r="BI383"/>
  <c r="BH383"/>
  <c r="BG383"/>
  <c r="BF383"/>
  <c r="BE383"/>
  <c r="BD383"/>
  <c r="BC383"/>
  <c r="BB383"/>
  <c r="BA383"/>
  <c r="AZ383"/>
  <c r="AY383"/>
  <c r="AX383"/>
  <c r="AW383"/>
  <c r="AV383"/>
  <c r="AC383"/>
  <c r="H383"/>
  <c r="G383"/>
  <c r="E383"/>
  <c r="BT382"/>
  <c r="BS382"/>
  <c r="BR382"/>
  <c r="BQ382"/>
  <c r="BP382"/>
  <c r="BO382"/>
  <c r="BN382"/>
  <c r="BM382"/>
  <c r="BL382"/>
  <c r="BK382"/>
  <c r="BJ382"/>
  <c r="BI382"/>
  <c r="BH382"/>
  <c r="BG382"/>
  <c r="BF382"/>
  <c r="BE382"/>
  <c r="BD382"/>
  <c r="BC382"/>
  <c r="BB382"/>
  <c r="BA382"/>
  <c r="AZ382"/>
  <c r="AY382"/>
  <c r="AX382"/>
  <c r="AW382"/>
  <c r="AV382"/>
  <c r="AC382"/>
  <c r="H382"/>
  <c r="G382"/>
  <c r="E382"/>
  <c r="BT381"/>
  <c r="BS381"/>
  <c r="BR381"/>
  <c r="BQ381"/>
  <c r="BP381"/>
  <c r="BO381"/>
  <c r="BN381"/>
  <c r="BM381"/>
  <c r="BL381"/>
  <c r="BK381"/>
  <c r="BJ381"/>
  <c r="BI381"/>
  <c r="BH381"/>
  <c r="BG381"/>
  <c r="BF381"/>
  <c r="BE381"/>
  <c r="BD381"/>
  <c r="BC381"/>
  <c r="BB381"/>
  <c r="BA381"/>
  <c r="AZ381"/>
  <c r="AY381"/>
  <c r="AX381"/>
  <c r="AW381"/>
  <c r="AV381"/>
  <c r="AC381"/>
  <c r="H381"/>
  <c r="G381"/>
  <c r="E381"/>
  <c r="BT380"/>
  <c r="BS380"/>
  <c r="BR380"/>
  <c r="BQ380"/>
  <c r="BP380"/>
  <c r="BO380"/>
  <c r="BN380"/>
  <c r="BM380"/>
  <c r="BL380"/>
  <c r="BK380"/>
  <c r="BJ380"/>
  <c r="BI380"/>
  <c r="BH380"/>
  <c r="BG380"/>
  <c r="BF380"/>
  <c r="BE380"/>
  <c r="BD380"/>
  <c r="BC380"/>
  <c r="BB380"/>
  <c r="BA380"/>
  <c r="AZ380"/>
  <c r="AY380"/>
  <c r="AX380"/>
  <c r="AW380"/>
  <c r="AV380"/>
  <c r="AC380"/>
  <c r="H380"/>
  <c r="G380"/>
  <c r="E380"/>
  <c r="BT379"/>
  <c r="BS379"/>
  <c r="BR379"/>
  <c r="BQ379"/>
  <c r="BP379"/>
  <c r="BO379"/>
  <c r="BN379"/>
  <c r="BM379"/>
  <c r="BL379"/>
  <c r="BK379"/>
  <c r="BJ379"/>
  <c r="BI379"/>
  <c r="BH379"/>
  <c r="BG379"/>
  <c r="BF379"/>
  <c r="BE379"/>
  <c r="BD379"/>
  <c r="BC379"/>
  <c r="BB379"/>
  <c r="BA379"/>
  <c r="AZ379"/>
  <c r="AY379"/>
  <c r="AX379"/>
  <c r="AW379"/>
  <c r="AV379"/>
  <c r="AC379"/>
  <c r="H379"/>
  <c r="G379"/>
  <c r="E379"/>
  <c r="BT378"/>
  <c r="BS378"/>
  <c r="BR378"/>
  <c r="BQ378"/>
  <c r="BP378"/>
  <c r="BO378"/>
  <c r="BN378"/>
  <c r="BM378"/>
  <c r="BL378"/>
  <c r="BK378"/>
  <c r="BJ378"/>
  <c r="BI378"/>
  <c r="BH378"/>
  <c r="BG378"/>
  <c r="BF378"/>
  <c r="BE378"/>
  <c r="BD378"/>
  <c r="BC378"/>
  <c r="BB378"/>
  <c r="BA378"/>
  <c r="AZ378"/>
  <c r="AY378"/>
  <c r="AX378"/>
  <c r="AW378"/>
  <c r="AV378"/>
  <c r="AC378"/>
  <c r="H378"/>
  <c r="G378"/>
  <c r="E378"/>
  <c r="BT377"/>
  <c r="BS377"/>
  <c r="BR377"/>
  <c r="BQ377"/>
  <c r="BP377"/>
  <c r="BO377"/>
  <c r="BN377"/>
  <c r="BM377"/>
  <c r="BL377"/>
  <c r="BK377"/>
  <c r="BJ377"/>
  <c r="BI377"/>
  <c r="BH377"/>
  <c r="BG377"/>
  <c r="BF377"/>
  <c r="BE377"/>
  <c r="BD377"/>
  <c r="BC377"/>
  <c r="BB377"/>
  <c r="BA377"/>
  <c r="AZ377"/>
  <c r="AY377"/>
  <c r="AX377"/>
  <c r="AW377"/>
  <c r="AV377"/>
  <c r="AC377"/>
  <c r="H377"/>
  <c r="G377"/>
  <c r="E377"/>
  <c r="BT376"/>
  <c r="BS376"/>
  <c r="BR376"/>
  <c r="BQ376"/>
  <c r="BP376"/>
  <c r="BO376"/>
  <c r="BN376"/>
  <c r="BM376"/>
  <c r="BL376"/>
  <c r="BK376"/>
  <c r="BJ376"/>
  <c r="BI376"/>
  <c r="BH376"/>
  <c r="BG376"/>
  <c r="BF376"/>
  <c r="BE376"/>
  <c r="BD376"/>
  <c r="BC376"/>
  <c r="BB376"/>
  <c r="BA376"/>
  <c r="AZ376"/>
  <c r="AY376"/>
  <c r="AX376"/>
  <c r="AW376"/>
  <c r="AV376"/>
  <c r="AC376"/>
  <c r="H376"/>
  <c r="G376"/>
  <c r="E376"/>
  <c r="BT375"/>
  <c r="BS375"/>
  <c r="BR375"/>
  <c r="BQ375"/>
  <c r="BP375"/>
  <c r="BO375"/>
  <c r="BN375"/>
  <c r="BM375"/>
  <c r="BL375"/>
  <c r="BK375"/>
  <c r="BJ375"/>
  <c r="BI375"/>
  <c r="BH375"/>
  <c r="BG375"/>
  <c r="BF375"/>
  <c r="BE375"/>
  <c r="BD375"/>
  <c r="BC375"/>
  <c r="BB375"/>
  <c r="BA375"/>
  <c r="AZ375"/>
  <c r="AY375"/>
  <c r="AX375"/>
  <c r="AW375"/>
  <c r="AV375"/>
  <c r="AC375"/>
  <c r="H375"/>
  <c r="G375"/>
  <c r="E375"/>
  <c r="BT374"/>
  <c r="BS374"/>
  <c r="BR374"/>
  <c r="BQ374"/>
  <c r="BP374"/>
  <c r="BO374"/>
  <c r="BN374"/>
  <c r="BM374"/>
  <c r="BL374"/>
  <c r="BK374"/>
  <c r="BJ374"/>
  <c r="BI374"/>
  <c r="BH374"/>
  <c r="BG374"/>
  <c r="BF374"/>
  <c r="BE374"/>
  <c r="BD374"/>
  <c r="BC374"/>
  <c r="BB374"/>
  <c r="BA374"/>
  <c r="AZ374"/>
  <c r="AY374"/>
  <c r="AX374"/>
  <c r="AW374"/>
  <c r="AV374"/>
  <c r="AC374"/>
  <c r="H374"/>
  <c r="G374"/>
  <c r="E374"/>
  <c r="BT373"/>
  <c r="BS373"/>
  <c r="BR373"/>
  <c r="BQ373"/>
  <c r="BP373"/>
  <c r="BO373"/>
  <c r="BN373"/>
  <c r="BM373"/>
  <c r="BL373"/>
  <c r="BK373"/>
  <c r="BJ373"/>
  <c r="BI373"/>
  <c r="BH373"/>
  <c r="BG373"/>
  <c r="BF373"/>
  <c r="BE373"/>
  <c r="BD373"/>
  <c r="BC373"/>
  <c r="BB373"/>
  <c r="BA373"/>
  <c r="AZ373"/>
  <c r="AY373"/>
  <c r="AX373"/>
  <c r="AW373"/>
  <c r="AV373"/>
  <c r="AC373"/>
  <c r="H373"/>
  <c r="G373"/>
  <c r="E373"/>
  <c r="BT372"/>
  <c r="BS372"/>
  <c r="BR372"/>
  <c r="BQ372"/>
  <c r="BP372"/>
  <c r="BO372"/>
  <c r="BN372"/>
  <c r="BM372"/>
  <c r="BL372"/>
  <c r="BK372"/>
  <c r="BJ372"/>
  <c r="BI372"/>
  <c r="BH372"/>
  <c r="BG372"/>
  <c r="BF372"/>
  <c r="BE372"/>
  <c r="BD372"/>
  <c r="BC372"/>
  <c r="BB372"/>
  <c r="BA372"/>
  <c r="AZ372"/>
  <c r="AY372"/>
  <c r="AX372"/>
  <c r="AW372"/>
  <c r="AV372"/>
  <c r="AC372"/>
  <c r="H372"/>
  <c r="G372"/>
  <c r="E372"/>
  <c r="BT371"/>
  <c r="BS371"/>
  <c r="BR371"/>
  <c r="BQ371"/>
  <c r="BP371"/>
  <c r="BO371"/>
  <c r="BN371"/>
  <c r="BM371"/>
  <c r="BL371"/>
  <c r="BK371"/>
  <c r="BJ371"/>
  <c r="BI371"/>
  <c r="BH371"/>
  <c r="BG371"/>
  <c r="BF371"/>
  <c r="BE371"/>
  <c r="BD371"/>
  <c r="BC371"/>
  <c r="BB371"/>
  <c r="BA371"/>
  <c r="AZ371"/>
  <c r="AY371"/>
  <c r="AX371"/>
  <c r="AW371"/>
  <c r="AV371"/>
  <c r="AC371"/>
  <c r="H371"/>
  <c r="G371"/>
  <c r="E371"/>
  <c r="BT370"/>
  <c r="BS370"/>
  <c r="BR370"/>
  <c r="BQ370"/>
  <c r="BP370"/>
  <c r="BO370"/>
  <c r="BN370"/>
  <c r="BM370"/>
  <c r="BL370"/>
  <c r="BK370"/>
  <c r="BJ370"/>
  <c r="BI370"/>
  <c r="BH370"/>
  <c r="BG370"/>
  <c r="BF370"/>
  <c r="BE370"/>
  <c r="BD370"/>
  <c r="BC370"/>
  <c r="BB370"/>
  <c r="BA370"/>
  <c r="AZ370"/>
  <c r="AY370"/>
  <c r="AX370"/>
  <c r="AW370"/>
  <c r="AV370"/>
  <c r="AC370"/>
  <c r="H370"/>
  <c r="G370"/>
  <c r="E370"/>
  <c r="BT369"/>
  <c r="BS369"/>
  <c r="BR369"/>
  <c r="BQ369"/>
  <c r="BP369"/>
  <c r="BO369"/>
  <c r="BN369"/>
  <c r="BM369"/>
  <c r="BL369"/>
  <c r="BK369"/>
  <c r="BJ369"/>
  <c r="BI369"/>
  <c r="BH369"/>
  <c r="BG369"/>
  <c r="BF369"/>
  <c r="BE369"/>
  <c r="BD369"/>
  <c r="BC369"/>
  <c r="BB369"/>
  <c r="BA369"/>
  <c r="AZ369"/>
  <c r="AY369"/>
  <c r="AX369"/>
  <c r="AW369"/>
  <c r="AV369"/>
  <c r="AC369"/>
  <c r="H369"/>
  <c r="G369"/>
  <c r="E369"/>
  <c r="BT368"/>
  <c r="BS368"/>
  <c r="BR368"/>
  <c r="BQ368"/>
  <c r="BP368"/>
  <c r="BO368"/>
  <c r="BN368"/>
  <c r="BM368"/>
  <c r="BL368"/>
  <c r="BK368"/>
  <c r="BJ368"/>
  <c r="BI368"/>
  <c r="BH368"/>
  <c r="BG368"/>
  <c r="BF368"/>
  <c r="BE368"/>
  <c r="BD368"/>
  <c r="BC368"/>
  <c r="BB368"/>
  <c r="BA368"/>
  <c r="AZ368"/>
  <c r="AY368"/>
  <c r="AX368"/>
  <c r="AW368"/>
  <c r="AV368"/>
  <c r="AC368"/>
  <c r="H368"/>
  <c r="G368"/>
  <c r="E368"/>
  <c r="BT367"/>
  <c r="BS367"/>
  <c r="BR367"/>
  <c r="BQ367"/>
  <c r="BP367"/>
  <c r="BO367"/>
  <c r="BN367"/>
  <c r="BM367"/>
  <c r="BL367"/>
  <c r="BK367"/>
  <c r="BJ367"/>
  <c r="BI367"/>
  <c r="BH367"/>
  <c r="BG367"/>
  <c r="BF367"/>
  <c r="BE367"/>
  <c r="BD367"/>
  <c r="BC367"/>
  <c r="BB367"/>
  <c r="BA367"/>
  <c r="AZ367"/>
  <c r="AY367"/>
  <c r="AX367"/>
  <c r="AW367"/>
  <c r="AV367"/>
  <c r="AC367"/>
  <c r="H367"/>
  <c r="G367"/>
  <c r="E367"/>
  <c r="BT366"/>
  <c r="BS366"/>
  <c r="BR366"/>
  <c r="BQ366"/>
  <c r="BP366"/>
  <c r="BO366"/>
  <c r="BN366"/>
  <c r="BM366"/>
  <c r="BL366"/>
  <c r="BK366"/>
  <c r="BJ366"/>
  <c r="BI366"/>
  <c r="BH366"/>
  <c r="BG366"/>
  <c r="BF366"/>
  <c r="BE366"/>
  <c r="BD366"/>
  <c r="BC366"/>
  <c r="BB366"/>
  <c r="BA366"/>
  <c r="AZ366"/>
  <c r="AY366"/>
  <c r="AX366"/>
  <c r="AW366"/>
  <c r="AV366"/>
  <c r="AC366"/>
  <c r="H366"/>
  <c r="G366"/>
  <c r="E366"/>
  <c r="BT365"/>
  <c r="BS365"/>
  <c r="BR365"/>
  <c r="BQ365"/>
  <c r="BP365"/>
  <c r="BO365"/>
  <c r="BN365"/>
  <c r="BM365"/>
  <c r="BL365"/>
  <c r="BK365"/>
  <c r="BJ365"/>
  <c r="BI365"/>
  <c r="BH365"/>
  <c r="BG365"/>
  <c r="BF365"/>
  <c r="BE365"/>
  <c r="BD365"/>
  <c r="BC365"/>
  <c r="BB365"/>
  <c r="BA365"/>
  <c r="AZ365"/>
  <c r="AY365"/>
  <c r="AX365"/>
  <c r="AW365"/>
  <c r="AV365"/>
  <c r="AC365"/>
  <c r="H365"/>
  <c r="G365"/>
  <c r="E365"/>
  <c r="BT364"/>
  <c r="BS364"/>
  <c r="BR364"/>
  <c r="BQ364"/>
  <c r="BP364"/>
  <c r="BO364"/>
  <c r="BN364"/>
  <c r="BM364"/>
  <c r="BL364"/>
  <c r="BK364"/>
  <c r="BJ364"/>
  <c r="BI364"/>
  <c r="BH364"/>
  <c r="BG364"/>
  <c r="BF364"/>
  <c r="BE364"/>
  <c r="BD364"/>
  <c r="BC364"/>
  <c r="BB364"/>
  <c r="BA364"/>
  <c r="AZ364"/>
  <c r="AY364"/>
  <c r="AX364"/>
  <c r="AW364"/>
  <c r="AV364"/>
  <c r="AC364"/>
  <c r="H364"/>
  <c r="G364"/>
  <c r="E364"/>
  <c r="BT363"/>
  <c r="BS363"/>
  <c r="BR363"/>
  <c r="BQ363"/>
  <c r="BP363"/>
  <c r="BO363"/>
  <c r="BN363"/>
  <c r="BM363"/>
  <c r="BL363"/>
  <c r="BK363"/>
  <c r="BJ363"/>
  <c r="BI363"/>
  <c r="BH363"/>
  <c r="BG363"/>
  <c r="BF363"/>
  <c r="BE363"/>
  <c r="BD363"/>
  <c r="BC363"/>
  <c r="BB363"/>
  <c r="BA363"/>
  <c r="AZ363"/>
  <c r="AY363"/>
  <c r="AX363"/>
  <c r="AW363"/>
  <c r="AV363"/>
  <c r="AC363"/>
  <c r="H363"/>
  <c r="G363"/>
  <c r="E363"/>
  <c r="BT362"/>
  <c r="BS362"/>
  <c r="BR362"/>
  <c r="BQ362"/>
  <c r="BP362"/>
  <c r="BO362"/>
  <c r="BN362"/>
  <c r="BM362"/>
  <c r="BL362"/>
  <c r="BK362"/>
  <c r="BJ362"/>
  <c r="BI362"/>
  <c r="BH362"/>
  <c r="BG362"/>
  <c r="BF362"/>
  <c r="BE362"/>
  <c r="BD362"/>
  <c r="BC362"/>
  <c r="BB362"/>
  <c r="BA362"/>
  <c r="AZ362"/>
  <c r="AY362"/>
  <c r="AX362"/>
  <c r="AW362"/>
  <c r="AV362"/>
  <c r="AC362"/>
  <c r="H362"/>
  <c r="G362"/>
  <c r="E362"/>
  <c r="BT361"/>
  <c r="BS361"/>
  <c r="BR361"/>
  <c r="BQ361"/>
  <c r="BP361"/>
  <c r="BO361"/>
  <c r="BN361"/>
  <c r="BM361"/>
  <c r="BL361"/>
  <c r="BK361"/>
  <c r="BJ361"/>
  <c r="BI361"/>
  <c r="BH361"/>
  <c r="BG361"/>
  <c r="BF361"/>
  <c r="BE361"/>
  <c r="BD361"/>
  <c r="BC361"/>
  <c r="BB361"/>
  <c r="BA361"/>
  <c r="AZ361"/>
  <c r="AY361"/>
  <c r="AX361"/>
  <c r="AW361"/>
  <c r="AV361"/>
  <c r="AC361"/>
  <c r="H361"/>
  <c r="G361"/>
  <c r="E361"/>
  <c r="BT360"/>
  <c r="BS360"/>
  <c r="BR360"/>
  <c r="BQ360"/>
  <c r="BP360"/>
  <c r="BO360"/>
  <c r="BN360"/>
  <c r="BM360"/>
  <c r="BL360"/>
  <c r="BK360"/>
  <c r="BJ360"/>
  <c r="BI360"/>
  <c r="BH360"/>
  <c r="BG360"/>
  <c r="BF360"/>
  <c r="BE360"/>
  <c r="BD360"/>
  <c r="BC360"/>
  <c r="BB360"/>
  <c r="BA360"/>
  <c r="AZ360"/>
  <c r="AY360"/>
  <c r="AX360"/>
  <c r="AW360"/>
  <c r="AV360"/>
  <c r="AC360"/>
  <c r="H360"/>
  <c r="G360"/>
  <c r="E360"/>
  <c r="BT359"/>
  <c r="BS359"/>
  <c r="BR359"/>
  <c r="BQ359"/>
  <c r="BP359"/>
  <c r="BO359"/>
  <c r="BN359"/>
  <c r="BM359"/>
  <c r="BL359"/>
  <c r="BK359"/>
  <c r="BJ359"/>
  <c r="BI359"/>
  <c r="BH359"/>
  <c r="BG359"/>
  <c r="BF359"/>
  <c r="BE359"/>
  <c r="BD359"/>
  <c r="BC359"/>
  <c r="BB359"/>
  <c r="BA359"/>
  <c r="AZ359"/>
  <c r="AY359"/>
  <c r="AX359"/>
  <c r="AW359"/>
  <c r="AV359"/>
  <c r="AC359"/>
  <c r="H359"/>
  <c r="G359"/>
  <c r="E359"/>
  <c r="BT358"/>
  <c r="BS358"/>
  <c r="BR358"/>
  <c r="BQ358"/>
  <c r="BP358"/>
  <c r="BO358"/>
  <c r="BN358"/>
  <c r="BM358"/>
  <c r="BL358"/>
  <c r="BK358"/>
  <c r="BJ358"/>
  <c r="BI358"/>
  <c r="BH358"/>
  <c r="BG358"/>
  <c r="BF358"/>
  <c r="BE358"/>
  <c r="BD358"/>
  <c r="BC358"/>
  <c r="BB358"/>
  <c r="BA358"/>
  <c r="AZ358"/>
  <c r="AY358"/>
  <c r="AX358"/>
  <c r="AW358"/>
  <c r="AV358"/>
  <c r="AC358"/>
  <c r="H358"/>
  <c r="G358"/>
  <c r="E358"/>
  <c r="BT357"/>
  <c r="BS357"/>
  <c r="BR357"/>
  <c r="BQ357"/>
  <c r="BP357"/>
  <c r="BO357"/>
  <c r="BN357"/>
  <c r="BM357"/>
  <c r="BL357"/>
  <c r="BK357"/>
  <c r="BJ357"/>
  <c r="BI357"/>
  <c r="BH357"/>
  <c r="BG357"/>
  <c r="BF357"/>
  <c r="BE357"/>
  <c r="BD357"/>
  <c r="BC357"/>
  <c r="BB357"/>
  <c r="BA357"/>
  <c r="AZ357"/>
  <c r="AY357"/>
  <c r="AX357"/>
  <c r="AW357"/>
  <c r="AV357"/>
  <c r="AC357"/>
  <c r="H357"/>
  <c r="G357"/>
  <c r="E357"/>
  <c r="BT356"/>
  <c r="BS356"/>
  <c r="BR356"/>
  <c r="BQ356"/>
  <c r="BP356"/>
  <c r="BO356"/>
  <c r="BN356"/>
  <c r="BM356"/>
  <c r="BL356"/>
  <c r="BK356"/>
  <c r="BJ356"/>
  <c r="BI356"/>
  <c r="BH356"/>
  <c r="BG356"/>
  <c r="BF356"/>
  <c r="BE356"/>
  <c r="BD356"/>
  <c r="BC356"/>
  <c r="BB356"/>
  <c r="BA356"/>
  <c r="AZ356"/>
  <c r="AY356"/>
  <c r="AX356"/>
  <c r="AW356"/>
  <c r="AV356"/>
  <c r="AC356"/>
  <c r="H356"/>
  <c r="G356"/>
  <c r="E356"/>
  <c r="BT355"/>
  <c r="BS355"/>
  <c r="BR355"/>
  <c r="BQ355"/>
  <c r="BP355"/>
  <c r="BO355"/>
  <c r="BN355"/>
  <c r="BM355"/>
  <c r="BL355"/>
  <c r="BK355"/>
  <c r="BJ355"/>
  <c r="BI355"/>
  <c r="BH355"/>
  <c r="BG355"/>
  <c r="BF355"/>
  <c r="BE355"/>
  <c r="BD355"/>
  <c r="BC355"/>
  <c r="BB355"/>
  <c r="BA355"/>
  <c r="AZ355"/>
  <c r="AY355"/>
  <c r="AX355"/>
  <c r="AW355"/>
  <c r="AV355"/>
  <c r="AC355"/>
  <c r="H355"/>
  <c r="G355"/>
  <c r="E355"/>
  <c r="BT354"/>
  <c r="BS354"/>
  <c r="BR354"/>
  <c r="BQ354"/>
  <c r="BP354"/>
  <c r="BO354"/>
  <c r="BN354"/>
  <c r="BM354"/>
  <c r="BL354"/>
  <c r="BK354"/>
  <c r="BJ354"/>
  <c r="BI354"/>
  <c r="BH354"/>
  <c r="BG354"/>
  <c r="BF354"/>
  <c r="BE354"/>
  <c r="BD354"/>
  <c r="BC354"/>
  <c r="BB354"/>
  <c r="BA354"/>
  <c r="AZ354"/>
  <c r="AY354"/>
  <c r="AX354"/>
  <c r="AW354"/>
  <c r="AV354"/>
  <c r="AC354"/>
  <c r="H354"/>
  <c r="G354"/>
  <c r="E354"/>
  <c r="BT353"/>
  <c r="BS353"/>
  <c r="BR353"/>
  <c r="BQ353"/>
  <c r="BP353"/>
  <c r="BO353"/>
  <c r="BN353"/>
  <c r="BM353"/>
  <c r="BL353"/>
  <c r="BK353"/>
  <c r="BJ353"/>
  <c r="BI353"/>
  <c r="BH353"/>
  <c r="BG353"/>
  <c r="BF353"/>
  <c r="BE353"/>
  <c r="BD353"/>
  <c r="BC353"/>
  <c r="BB353"/>
  <c r="BA353"/>
  <c r="AZ353"/>
  <c r="AY353"/>
  <c r="AX353"/>
  <c r="AW353"/>
  <c r="AV353"/>
  <c r="AC353"/>
  <c r="H353"/>
  <c r="G353"/>
  <c r="E353"/>
  <c r="BT352"/>
  <c r="BS352"/>
  <c r="BR352"/>
  <c r="BQ352"/>
  <c r="BP352"/>
  <c r="BO352"/>
  <c r="BN352"/>
  <c r="BM352"/>
  <c r="BL352"/>
  <c r="BK352"/>
  <c r="BJ352"/>
  <c r="BI352"/>
  <c r="BH352"/>
  <c r="BG352"/>
  <c r="BF352"/>
  <c r="BE352"/>
  <c r="BD352"/>
  <c r="BC352"/>
  <c r="BB352"/>
  <c r="BA352"/>
  <c r="AZ352"/>
  <c r="AY352"/>
  <c r="AX352"/>
  <c r="AW352"/>
  <c r="AV352"/>
  <c r="AC352"/>
  <c r="H352"/>
  <c r="G352"/>
  <c r="E352"/>
  <c r="BT351"/>
  <c r="BS351"/>
  <c r="BR351"/>
  <c r="BQ351"/>
  <c r="BP351"/>
  <c r="BO351"/>
  <c r="BN351"/>
  <c r="BM351"/>
  <c r="BL351"/>
  <c r="BK351"/>
  <c r="BJ351"/>
  <c r="BI351"/>
  <c r="BH351"/>
  <c r="BG351"/>
  <c r="BF351"/>
  <c r="BE351"/>
  <c r="BD351"/>
  <c r="BC351"/>
  <c r="BB351"/>
  <c r="BA351"/>
  <c r="AZ351"/>
  <c r="AY351"/>
  <c r="AX351"/>
  <c r="AW351"/>
  <c r="AV351"/>
  <c r="AC351"/>
  <c r="H351"/>
  <c r="G351"/>
  <c r="E351"/>
  <c r="BT350"/>
  <c r="BS350"/>
  <c r="BR350"/>
  <c r="BQ350"/>
  <c r="BP350"/>
  <c r="BO350"/>
  <c r="BN350"/>
  <c r="BM350"/>
  <c r="BL350"/>
  <c r="BK350"/>
  <c r="BJ350"/>
  <c r="BI350"/>
  <c r="BH350"/>
  <c r="BG350"/>
  <c r="BF350"/>
  <c r="BE350"/>
  <c r="BD350"/>
  <c r="BC350"/>
  <c r="BB350"/>
  <c r="BA350"/>
  <c r="AZ350"/>
  <c r="AY350"/>
  <c r="AX350"/>
  <c r="AW350"/>
  <c r="AV350"/>
  <c r="AC350"/>
  <c r="H350"/>
  <c r="G350"/>
  <c r="E350"/>
  <c r="BT349"/>
  <c r="BS349"/>
  <c r="BR349"/>
  <c r="BQ349"/>
  <c r="BP349"/>
  <c r="BO349"/>
  <c r="BN349"/>
  <c r="BM349"/>
  <c r="BL349"/>
  <c r="BK349"/>
  <c r="BJ349"/>
  <c r="BI349"/>
  <c r="BH349"/>
  <c r="BG349"/>
  <c r="BF349"/>
  <c r="BE349"/>
  <c r="BD349"/>
  <c r="BC349"/>
  <c r="BB349"/>
  <c r="BA349"/>
  <c r="AZ349"/>
  <c r="AY349"/>
  <c r="AX349"/>
  <c r="AW349"/>
  <c r="AV349"/>
  <c r="AC349"/>
  <c r="H349"/>
  <c r="G349"/>
  <c r="E349"/>
  <c r="BT348"/>
  <c r="BS348"/>
  <c r="BR348"/>
  <c r="BQ348"/>
  <c r="BP348"/>
  <c r="BO348"/>
  <c r="BN348"/>
  <c r="BM348"/>
  <c r="BL348"/>
  <c r="BK348"/>
  <c r="BJ348"/>
  <c r="BI348"/>
  <c r="BH348"/>
  <c r="BG348"/>
  <c r="BF348"/>
  <c r="BE348"/>
  <c r="BD348"/>
  <c r="BC348"/>
  <c r="BB348"/>
  <c r="BA348"/>
  <c r="AZ348"/>
  <c r="AY348"/>
  <c r="AX348"/>
  <c r="AW348"/>
  <c r="AV348"/>
  <c r="AC348"/>
  <c r="H348"/>
  <c r="G348"/>
  <c r="E348"/>
  <c r="BT347"/>
  <c r="BS347"/>
  <c r="BR347"/>
  <c r="BQ347"/>
  <c r="BP347"/>
  <c r="BO347"/>
  <c r="BN347"/>
  <c r="BM347"/>
  <c r="BL347"/>
  <c r="BK347"/>
  <c r="BJ347"/>
  <c r="BI347"/>
  <c r="BH347"/>
  <c r="BG347"/>
  <c r="BF347"/>
  <c r="BE347"/>
  <c r="BD347"/>
  <c r="BC347"/>
  <c r="BB347"/>
  <c r="BA347"/>
  <c r="AZ347"/>
  <c r="AY347"/>
  <c r="AX347"/>
  <c r="AW347"/>
  <c r="AV347"/>
  <c r="AC347"/>
  <c r="H347"/>
  <c r="G347"/>
  <c r="E347"/>
  <c r="BT346"/>
  <c r="BS346"/>
  <c r="BR346"/>
  <c r="BQ346"/>
  <c r="BP346"/>
  <c r="BO346"/>
  <c r="BN346"/>
  <c r="BM346"/>
  <c r="BL346"/>
  <c r="BK346"/>
  <c r="BJ346"/>
  <c r="BI346"/>
  <c r="BH346"/>
  <c r="BG346"/>
  <c r="BF346"/>
  <c r="BE346"/>
  <c r="BD346"/>
  <c r="BC346"/>
  <c r="BB346"/>
  <c r="BA346"/>
  <c r="AZ346"/>
  <c r="AY346"/>
  <c r="AX346"/>
  <c r="AW346"/>
  <c r="AV346"/>
  <c r="AC346"/>
  <c r="H346"/>
  <c r="G346"/>
  <c r="E346"/>
  <c r="BT345"/>
  <c r="BS345"/>
  <c r="BR345"/>
  <c r="BQ345"/>
  <c r="BP345"/>
  <c r="BO345"/>
  <c r="BN345"/>
  <c r="BM345"/>
  <c r="BL345"/>
  <c r="BK345"/>
  <c r="BJ345"/>
  <c r="BI345"/>
  <c r="BH345"/>
  <c r="BG345"/>
  <c r="BF345"/>
  <c r="BE345"/>
  <c r="BD345"/>
  <c r="BC345"/>
  <c r="BB345"/>
  <c r="BA345"/>
  <c r="AZ345"/>
  <c r="AY345"/>
  <c r="AX345"/>
  <c r="AW345"/>
  <c r="AV345"/>
  <c r="AC345"/>
  <c r="H345"/>
  <c r="G345"/>
  <c r="E345"/>
  <c r="BT344"/>
  <c r="BS344"/>
  <c r="BR344"/>
  <c r="BQ344"/>
  <c r="BP344"/>
  <c r="BO344"/>
  <c r="BN344"/>
  <c r="BM344"/>
  <c r="BL344"/>
  <c r="BK344"/>
  <c r="BJ344"/>
  <c r="BI344"/>
  <c r="BH344"/>
  <c r="BG344"/>
  <c r="BF344"/>
  <c r="BE344"/>
  <c r="BD344"/>
  <c r="BC344"/>
  <c r="BB344"/>
  <c r="BA344"/>
  <c r="AZ344"/>
  <c r="AY344"/>
  <c r="AX344"/>
  <c r="AW344"/>
  <c r="AV344"/>
  <c r="AC344"/>
  <c r="H344"/>
  <c r="G344"/>
  <c r="E344"/>
  <c r="BT343"/>
  <c r="BS343"/>
  <c r="BR343"/>
  <c r="BQ343"/>
  <c r="BP343"/>
  <c r="BO343"/>
  <c r="BN343"/>
  <c r="BM343"/>
  <c r="BL343"/>
  <c r="BK343"/>
  <c r="BJ343"/>
  <c r="BI343"/>
  <c r="BH343"/>
  <c r="BG343"/>
  <c r="BF343"/>
  <c r="BE343"/>
  <c r="BD343"/>
  <c r="BC343"/>
  <c r="BB343"/>
  <c r="BA343"/>
  <c r="AZ343"/>
  <c r="AY343"/>
  <c r="AX343"/>
  <c r="AW343"/>
  <c r="AV343"/>
  <c r="AC343"/>
  <c r="H343"/>
  <c r="G343"/>
  <c r="E343"/>
  <c r="BT342"/>
  <c r="BS342"/>
  <c r="BR342"/>
  <c r="BQ342"/>
  <c r="BP342"/>
  <c r="BO342"/>
  <c r="BN342"/>
  <c r="BM342"/>
  <c r="BL342"/>
  <c r="BK342"/>
  <c r="BJ342"/>
  <c r="BI342"/>
  <c r="BH342"/>
  <c r="BG342"/>
  <c r="BF342"/>
  <c r="BE342"/>
  <c r="BD342"/>
  <c r="BC342"/>
  <c r="BB342"/>
  <c r="BA342"/>
  <c r="AZ342"/>
  <c r="AY342"/>
  <c r="AX342"/>
  <c r="AW342"/>
  <c r="AV342"/>
  <c r="AC342"/>
  <c r="H342"/>
  <c r="G342"/>
  <c r="E342"/>
  <c r="BT341"/>
  <c r="BS341"/>
  <c r="BR341"/>
  <c r="BQ341"/>
  <c r="BP341"/>
  <c r="BO341"/>
  <c r="BN341"/>
  <c r="BM341"/>
  <c r="BL341"/>
  <c r="BK341"/>
  <c r="BJ341"/>
  <c r="BI341"/>
  <c r="BH341"/>
  <c r="BG341"/>
  <c r="BF341"/>
  <c r="BE341"/>
  <c r="BD341"/>
  <c r="BC341"/>
  <c r="BB341"/>
  <c r="BA341"/>
  <c r="AZ341"/>
  <c r="AY341"/>
  <c r="AX341"/>
  <c r="AW341"/>
  <c r="AV341"/>
  <c r="AC341"/>
  <c r="H341"/>
  <c r="G341"/>
  <c r="E341"/>
  <c r="BT340"/>
  <c r="BS340"/>
  <c r="BR340"/>
  <c r="BQ340"/>
  <c r="BP340"/>
  <c r="BO340"/>
  <c r="BN340"/>
  <c r="BM340"/>
  <c r="BL340"/>
  <c r="BK340"/>
  <c r="BJ340"/>
  <c r="BI340"/>
  <c r="BH340"/>
  <c r="BG340"/>
  <c r="BF340"/>
  <c r="BE340"/>
  <c r="BD340"/>
  <c r="BC340"/>
  <c r="BB340"/>
  <c r="BA340"/>
  <c r="AZ340"/>
  <c r="AY340"/>
  <c r="AX340"/>
  <c r="AW340"/>
  <c r="AV340"/>
  <c r="AC340"/>
  <c r="H340"/>
  <c r="G340"/>
  <c r="E340"/>
  <c r="BT339"/>
  <c r="BS339"/>
  <c r="BR339"/>
  <c r="BQ339"/>
  <c r="BP339"/>
  <c r="BO339"/>
  <c r="BN339"/>
  <c r="BM339"/>
  <c r="BL339"/>
  <c r="BK339"/>
  <c r="BJ339"/>
  <c r="BI339"/>
  <c r="BH339"/>
  <c r="BG339"/>
  <c r="BF339"/>
  <c r="BE339"/>
  <c r="BD339"/>
  <c r="BC339"/>
  <c r="BB339"/>
  <c r="BA339"/>
  <c r="AZ339"/>
  <c r="AY339"/>
  <c r="AX339"/>
  <c r="AW339"/>
  <c r="AV339"/>
  <c r="AC339"/>
  <c r="H339"/>
  <c r="G339"/>
  <c r="E339"/>
  <c r="BT338"/>
  <c r="BS338"/>
  <c r="BR338"/>
  <c r="BQ338"/>
  <c r="BP338"/>
  <c r="BO338"/>
  <c r="BN338"/>
  <c r="BM338"/>
  <c r="BL338"/>
  <c r="BK338"/>
  <c r="BJ338"/>
  <c r="BI338"/>
  <c r="BH338"/>
  <c r="BG338"/>
  <c r="BF338"/>
  <c r="BE338"/>
  <c r="BD338"/>
  <c r="BC338"/>
  <c r="BB338"/>
  <c r="BA338"/>
  <c r="AZ338"/>
  <c r="AY338"/>
  <c r="AX338"/>
  <c r="AW338"/>
  <c r="AV338"/>
  <c r="AC338"/>
  <c r="H338"/>
  <c r="G338"/>
  <c r="E338"/>
  <c r="BT337"/>
  <c r="BS337"/>
  <c r="BR337"/>
  <c r="BQ337"/>
  <c r="BP337"/>
  <c r="BO337"/>
  <c r="BN337"/>
  <c r="BM337"/>
  <c r="BL337"/>
  <c r="BK337"/>
  <c r="BJ337"/>
  <c r="BI337"/>
  <c r="BH337"/>
  <c r="BG337"/>
  <c r="BF337"/>
  <c r="BE337"/>
  <c r="BD337"/>
  <c r="BC337"/>
  <c r="BB337"/>
  <c r="BA337"/>
  <c r="AZ337"/>
  <c r="AY337"/>
  <c r="AX337"/>
  <c r="AW337"/>
  <c r="AV337"/>
  <c r="AC337"/>
  <c r="H337"/>
  <c r="G337"/>
  <c r="E337"/>
  <c r="BT336"/>
  <c r="BS336"/>
  <c r="BR336"/>
  <c r="BQ336"/>
  <c r="BP336"/>
  <c r="BO336"/>
  <c r="BN336"/>
  <c r="BM336"/>
  <c r="BL336"/>
  <c r="BK336"/>
  <c r="BJ336"/>
  <c r="BI336"/>
  <c r="BH336"/>
  <c r="BG336"/>
  <c r="BF336"/>
  <c r="BE336"/>
  <c r="BD336"/>
  <c r="BC336"/>
  <c r="BB336"/>
  <c r="BA336"/>
  <c r="AZ336"/>
  <c r="AY336"/>
  <c r="AX336"/>
  <c r="AW336"/>
  <c r="AV336"/>
  <c r="AC336"/>
  <c r="H336"/>
  <c r="G336"/>
  <c r="E336"/>
  <c r="BT335"/>
  <c r="BS335"/>
  <c r="BR335"/>
  <c r="BQ335"/>
  <c r="BP335"/>
  <c r="BO335"/>
  <c r="BN335"/>
  <c r="BM335"/>
  <c r="BL335"/>
  <c r="BK335"/>
  <c r="BJ335"/>
  <c r="BI335"/>
  <c r="BH335"/>
  <c r="BG335"/>
  <c r="BF335"/>
  <c r="BE335"/>
  <c r="BD335"/>
  <c r="BC335"/>
  <c r="BB335"/>
  <c r="BA335"/>
  <c r="AZ335"/>
  <c r="AY335"/>
  <c r="AX335"/>
  <c r="AW335"/>
  <c r="AV335"/>
  <c r="AC335"/>
  <c r="H335"/>
  <c r="G335"/>
  <c r="E335"/>
  <c r="BT334"/>
  <c r="BS334"/>
  <c r="BR334"/>
  <c r="BQ334"/>
  <c r="BP334"/>
  <c r="BO334"/>
  <c r="BN334"/>
  <c r="BM334"/>
  <c r="BL334"/>
  <c r="BK334"/>
  <c r="BJ334"/>
  <c r="BI334"/>
  <c r="BH334"/>
  <c r="BG334"/>
  <c r="BF334"/>
  <c r="BE334"/>
  <c r="BD334"/>
  <c r="BC334"/>
  <c r="BB334"/>
  <c r="BA334"/>
  <c r="AZ334"/>
  <c r="AY334"/>
  <c r="AX334"/>
  <c r="AW334"/>
  <c r="AV334"/>
  <c r="AC334"/>
  <c r="H334"/>
  <c r="G334"/>
  <c r="E334"/>
  <c r="BT333"/>
  <c r="BS333"/>
  <c r="BR333"/>
  <c r="BQ333"/>
  <c r="BP333"/>
  <c r="BO333"/>
  <c r="BN333"/>
  <c r="BM333"/>
  <c r="BL333"/>
  <c r="BK333"/>
  <c r="BJ333"/>
  <c r="BI333"/>
  <c r="BH333"/>
  <c r="BG333"/>
  <c r="BF333"/>
  <c r="BE333"/>
  <c r="BD333"/>
  <c r="BC333"/>
  <c r="BB333"/>
  <c r="BA333"/>
  <c r="AZ333"/>
  <c r="AY333"/>
  <c r="AX333"/>
  <c r="AW333"/>
  <c r="AV333"/>
  <c r="AC333"/>
  <c r="H333"/>
  <c r="G333"/>
  <c r="E333"/>
  <c r="BT332"/>
  <c r="BS332"/>
  <c r="BR332"/>
  <c r="BQ332"/>
  <c r="BP332"/>
  <c r="BO332"/>
  <c r="BN332"/>
  <c r="BM332"/>
  <c r="BL332"/>
  <c r="BK332"/>
  <c r="BJ332"/>
  <c r="BI332"/>
  <c r="BH332"/>
  <c r="BG332"/>
  <c r="BF332"/>
  <c r="BE332"/>
  <c r="BD332"/>
  <c r="BC332"/>
  <c r="BB332"/>
  <c r="BA332"/>
  <c r="AZ332"/>
  <c r="AY332"/>
  <c r="AX332"/>
  <c r="AW332"/>
  <c r="AV332"/>
  <c r="AC332"/>
  <c r="H332"/>
  <c r="G332"/>
  <c r="E332"/>
  <c r="BT331"/>
  <c r="BS331"/>
  <c r="BR331"/>
  <c r="BQ331"/>
  <c r="BP331"/>
  <c r="BO331"/>
  <c r="BN331"/>
  <c r="BM331"/>
  <c r="BL331"/>
  <c r="BK331"/>
  <c r="BJ331"/>
  <c r="BI331"/>
  <c r="BH331"/>
  <c r="BG331"/>
  <c r="BF331"/>
  <c r="BE331"/>
  <c r="BD331"/>
  <c r="BC331"/>
  <c r="BB331"/>
  <c r="BA331"/>
  <c r="AZ331"/>
  <c r="AY331"/>
  <c r="AX331"/>
  <c r="AW331"/>
  <c r="AV331"/>
  <c r="AC331"/>
  <c r="H331"/>
  <c r="G331"/>
  <c r="E331"/>
  <c r="BT330"/>
  <c r="BS330"/>
  <c r="BR330"/>
  <c r="BQ330"/>
  <c r="BP330"/>
  <c r="BO330"/>
  <c r="BN330"/>
  <c r="BM330"/>
  <c r="BL330"/>
  <c r="BK330"/>
  <c r="BJ330"/>
  <c r="BI330"/>
  <c r="BH330"/>
  <c r="BG330"/>
  <c r="BF330"/>
  <c r="BE330"/>
  <c r="BD330"/>
  <c r="BC330"/>
  <c r="BB330"/>
  <c r="BA330"/>
  <c r="AZ330"/>
  <c r="AY330"/>
  <c r="AX330"/>
  <c r="AW330"/>
  <c r="AV330"/>
  <c r="AC330"/>
  <c r="H330"/>
  <c r="G330"/>
  <c r="E330"/>
  <c r="BT329"/>
  <c r="BS329"/>
  <c r="BR329"/>
  <c r="BQ329"/>
  <c r="BP329"/>
  <c r="BO329"/>
  <c r="BN329"/>
  <c r="BM329"/>
  <c r="BL329"/>
  <c r="BK329"/>
  <c r="BJ329"/>
  <c r="BI329"/>
  <c r="BH329"/>
  <c r="BG329"/>
  <c r="BF329"/>
  <c r="BE329"/>
  <c r="BD329"/>
  <c r="BC329"/>
  <c r="BB329"/>
  <c r="BA329"/>
  <c r="AZ329"/>
  <c r="AY329"/>
  <c r="AX329"/>
  <c r="AW329"/>
  <c r="AV329"/>
  <c r="AC329"/>
  <c r="H329"/>
  <c r="G329"/>
  <c r="E329"/>
  <c r="BT328"/>
  <c r="BS328"/>
  <c r="BR328"/>
  <c r="BQ328"/>
  <c r="BP328"/>
  <c r="BO328"/>
  <c r="BN328"/>
  <c r="BM328"/>
  <c r="BL328"/>
  <c r="BK328"/>
  <c r="BJ328"/>
  <c r="BI328"/>
  <c r="BH328"/>
  <c r="BG328"/>
  <c r="BF328"/>
  <c r="BE328"/>
  <c r="BD328"/>
  <c r="BC328"/>
  <c r="BB328"/>
  <c r="BA328"/>
  <c r="AZ328"/>
  <c r="AY328"/>
  <c r="AX328"/>
  <c r="AW328"/>
  <c r="AV328"/>
  <c r="AC328"/>
  <c r="H328"/>
  <c r="G328"/>
  <c r="E328"/>
  <c r="BT327"/>
  <c r="BS327"/>
  <c r="BR327"/>
  <c r="BQ327"/>
  <c r="BP327"/>
  <c r="BO327"/>
  <c r="BN327"/>
  <c r="BM327"/>
  <c r="BL327"/>
  <c r="BK327"/>
  <c r="BJ327"/>
  <c r="BI327"/>
  <c r="BH327"/>
  <c r="BG327"/>
  <c r="BF327"/>
  <c r="BE327"/>
  <c r="BD327"/>
  <c r="BC327"/>
  <c r="BB327"/>
  <c r="BA327"/>
  <c r="AZ327"/>
  <c r="AY327"/>
  <c r="AX327"/>
  <c r="AW327"/>
  <c r="AV327"/>
  <c r="AC327"/>
  <c r="H327"/>
  <c r="G327"/>
  <c r="E327"/>
  <c r="BT326"/>
  <c r="BS326"/>
  <c r="BR326"/>
  <c r="BQ326"/>
  <c r="BP326"/>
  <c r="BO326"/>
  <c r="BN326"/>
  <c r="BM326"/>
  <c r="BL326"/>
  <c r="BK326"/>
  <c r="BJ326"/>
  <c r="BI326"/>
  <c r="BH326"/>
  <c r="BG326"/>
  <c r="BF326"/>
  <c r="BE326"/>
  <c r="BD326"/>
  <c r="BC326"/>
  <c r="BB326"/>
  <c r="BA326"/>
  <c r="AZ326"/>
  <c r="AY326"/>
  <c r="AX326"/>
  <c r="AW326"/>
  <c r="AV326"/>
  <c r="AC326"/>
  <c r="H326"/>
  <c r="G326"/>
  <c r="E326"/>
  <c r="BT325"/>
  <c r="BS325"/>
  <c r="BR325"/>
  <c r="BQ325"/>
  <c r="BP325"/>
  <c r="BO325"/>
  <c r="BN325"/>
  <c r="BM325"/>
  <c r="BL325"/>
  <c r="BK325"/>
  <c r="BJ325"/>
  <c r="BI325"/>
  <c r="BH325"/>
  <c r="BG325"/>
  <c r="BF325"/>
  <c r="BE325"/>
  <c r="BD325"/>
  <c r="BC325"/>
  <c r="BB325"/>
  <c r="BA325"/>
  <c r="AZ325"/>
  <c r="AY325"/>
  <c r="AX325"/>
  <c r="AW325"/>
  <c r="AV325"/>
  <c r="AC325"/>
  <c r="H325"/>
  <c r="G325"/>
  <c r="E325"/>
  <c r="BT324"/>
  <c r="BS324"/>
  <c r="BR324"/>
  <c r="BQ324"/>
  <c r="BP324"/>
  <c r="BO324"/>
  <c r="BN324"/>
  <c r="BM324"/>
  <c r="BL324"/>
  <c r="BK324"/>
  <c r="BJ324"/>
  <c r="BI324"/>
  <c r="BH324"/>
  <c r="BG324"/>
  <c r="BF324"/>
  <c r="BE324"/>
  <c r="BD324"/>
  <c r="BC324"/>
  <c r="BB324"/>
  <c r="BA324"/>
  <c r="AZ324"/>
  <c r="AY324"/>
  <c r="AX324"/>
  <c r="AW324"/>
  <c r="AV324"/>
  <c r="AC324"/>
  <c r="H324"/>
  <c r="G324"/>
  <c r="E324"/>
  <c r="BT323"/>
  <c r="BS323"/>
  <c r="BR323"/>
  <c r="BQ323"/>
  <c r="BP323"/>
  <c r="BO323"/>
  <c r="BN323"/>
  <c r="BM323"/>
  <c r="BL323"/>
  <c r="BK323"/>
  <c r="BJ323"/>
  <c r="BI323"/>
  <c r="BH323"/>
  <c r="BG323"/>
  <c r="BF323"/>
  <c r="BE323"/>
  <c r="BD323"/>
  <c r="BC323"/>
  <c r="BB323"/>
  <c r="BA323"/>
  <c r="AZ323"/>
  <c r="AY323"/>
  <c r="AX323"/>
  <c r="AW323"/>
  <c r="AV323"/>
  <c r="AC323"/>
  <c r="H323"/>
  <c r="G323"/>
  <c r="E323"/>
  <c r="BT322"/>
  <c r="BS322"/>
  <c r="BR322"/>
  <c r="BQ322"/>
  <c r="BP322"/>
  <c r="BO322"/>
  <c r="BN322"/>
  <c r="BM322"/>
  <c r="BL322"/>
  <c r="BK322"/>
  <c r="BJ322"/>
  <c r="BI322"/>
  <c r="BH322"/>
  <c r="BG322"/>
  <c r="BF322"/>
  <c r="BE322"/>
  <c r="BD322"/>
  <c r="BC322"/>
  <c r="BB322"/>
  <c r="BA322"/>
  <c r="AZ322"/>
  <c r="AY322"/>
  <c r="AX322"/>
  <c r="AW322"/>
  <c r="AV322"/>
  <c r="AC322"/>
  <c r="H322"/>
  <c r="G322"/>
  <c r="E322"/>
  <c r="BT321"/>
  <c r="BS321"/>
  <c r="BR321"/>
  <c r="BQ321"/>
  <c r="BP321"/>
  <c r="BO321"/>
  <c r="BN321"/>
  <c r="BM321"/>
  <c r="BL321"/>
  <c r="BK321"/>
  <c r="BJ321"/>
  <c r="BI321"/>
  <c r="BH321"/>
  <c r="BG321"/>
  <c r="BF321"/>
  <c r="BE321"/>
  <c r="BD321"/>
  <c r="BC321"/>
  <c r="BB321"/>
  <c r="BA321"/>
  <c r="AZ321"/>
  <c r="AY321"/>
  <c r="AX321"/>
  <c r="AW321"/>
  <c r="AV321"/>
  <c r="AC321"/>
  <c r="H321"/>
  <c r="G321"/>
  <c r="E321"/>
  <c r="BT320"/>
  <c r="BS320"/>
  <c r="BR320"/>
  <c r="BQ320"/>
  <c r="BP320"/>
  <c r="BO320"/>
  <c r="BN320"/>
  <c r="BM320"/>
  <c r="BL320"/>
  <c r="BK320"/>
  <c r="BJ320"/>
  <c r="BI320"/>
  <c r="BH320"/>
  <c r="BG320"/>
  <c r="BF320"/>
  <c r="BE320"/>
  <c r="BD320"/>
  <c r="BC320"/>
  <c r="BB320"/>
  <c r="BA320"/>
  <c r="AZ320"/>
  <c r="AY320"/>
  <c r="AX320"/>
  <c r="AW320"/>
  <c r="AV320"/>
  <c r="AC320"/>
  <c r="H320"/>
  <c r="G320"/>
  <c r="E320"/>
  <c r="BT319"/>
  <c r="BS319"/>
  <c r="BR319"/>
  <c r="BQ319"/>
  <c r="BP319"/>
  <c r="BO319"/>
  <c r="BN319"/>
  <c r="BM319"/>
  <c r="BL319"/>
  <c r="BK319"/>
  <c r="BJ319"/>
  <c r="BI319"/>
  <c r="BH319"/>
  <c r="BG319"/>
  <c r="BF319"/>
  <c r="BE319"/>
  <c r="BD319"/>
  <c r="BC319"/>
  <c r="BB319"/>
  <c r="BA319"/>
  <c r="AZ319"/>
  <c r="AY319"/>
  <c r="AX319"/>
  <c r="AW319"/>
  <c r="AV319"/>
  <c r="AC319"/>
  <c r="H319"/>
  <c r="G319"/>
  <c r="E319"/>
  <c r="BT318"/>
  <c r="BS318"/>
  <c r="BR318"/>
  <c r="BQ318"/>
  <c r="BP318"/>
  <c r="BO318"/>
  <c r="BN318"/>
  <c r="BM318"/>
  <c r="BL318"/>
  <c r="BK318"/>
  <c r="BJ318"/>
  <c r="BI318"/>
  <c r="BH318"/>
  <c r="BG318"/>
  <c r="BF318"/>
  <c r="BE318"/>
  <c r="BD318"/>
  <c r="BC318"/>
  <c r="BB318"/>
  <c r="BA318"/>
  <c r="AZ318"/>
  <c r="AY318"/>
  <c r="AX318"/>
  <c r="AW318"/>
  <c r="AV318"/>
  <c r="AC318"/>
  <c r="H318"/>
  <c r="G318"/>
  <c r="E318"/>
  <c r="BT317"/>
  <c r="BS317"/>
  <c r="BR317"/>
  <c r="BQ317"/>
  <c r="BP317"/>
  <c r="BO317"/>
  <c r="BN317"/>
  <c r="BM317"/>
  <c r="BL317"/>
  <c r="BK317"/>
  <c r="BJ317"/>
  <c r="BI317"/>
  <c r="BH317"/>
  <c r="BG317"/>
  <c r="BF317"/>
  <c r="BE317"/>
  <c r="BD317"/>
  <c r="BC317"/>
  <c r="BB317"/>
  <c r="BA317"/>
  <c r="AZ317"/>
  <c r="AY317"/>
  <c r="AX317"/>
  <c r="AW317"/>
  <c r="AV317"/>
  <c r="AC317"/>
  <c r="H317"/>
  <c r="G317"/>
  <c r="E317"/>
  <c r="BT316"/>
  <c r="BS316"/>
  <c r="BR316"/>
  <c r="BQ316"/>
  <c r="BP316"/>
  <c r="BO316"/>
  <c r="BN316"/>
  <c r="BM316"/>
  <c r="BL316"/>
  <c r="BK316"/>
  <c r="BJ316"/>
  <c r="BI316"/>
  <c r="BH316"/>
  <c r="BG316"/>
  <c r="BF316"/>
  <c r="BE316"/>
  <c r="BD316"/>
  <c r="BC316"/>
  <c r="BB316"/>
  <c r="BA316"/>
  <c r="AZ316"/>
  <c r="AY316"/>
  <c r="AX316"/>
  <c r="AW316"/>
  <c r="AV316"/>
  <c r="AC316"/>
  <c r="H316"/>
  <c r="G316"/>
  <c r="E316"/>
  <c r="BT315"/>
  <c r="BS315"/>
  <c r="BR315"/>
  <c r="BQ315"/>
  <c r="BP315"/>
  <c r="BO315"/>
  <c r="BN315"/>
  <c r="BM315"/>
  <c r="BL315"/>
  <c r="BK315"/>
  <c r="BJ315"/>
  <c r="BI315"/>
  <c r="BH315"/>
  <c r="BG315"/>
  <c r="BF315"/>
  <c r="BE315"/>
  <c r="BD315"/>
  <c r="BC315"/>
  <c r="BB315"/>
  <c r="BA315"/>
  <c r="AZ315"/>
  <c r="AY315"/>
  <c r="AX315"/>
  <c r="AW315"/>
  <c r="AV315"/>
  <c r="AC315"/>
  <c r="H315"/>
  <c r="G315"/>
  <c r="E315"/>
  <c r="BT314"/>
  <c r="BS314"/>
  <c r="BR314"/>
  <c r="BQ314"/>
  <c r="BP314"/>
  <c r="BO314"/>
  <c r="BN314"/>
  <c r="BM314"/>
  <c r="BL314"/>
  <c r="BK314"/>
  <c r="BJ314"/>
  <c r="BI314"/>
  <c r="BH314"/>
  <c r="BG314"/>
  <c r="BF314"/>
  <c r="BE314"/>
  <c r="BD314"/>
  <c r="BC314"/>
  <c r="BB314"/>
  <c r="BA314"/>
  <c r="AZ314"/>
  <c r="AY314"/>
  <c r="AX314"/>
  <c r="AW314"/>
  <c r="AV314"/>
  <c r="AC314"/>
  <c r="H314"/>
  <c r="G314"/>
  <c r="E314"/>
  <c r="BT313"/>
  <c r="BS313"/>
  <c r="BR313"/>
  <c r="BQ313"/>
  <c r="BP313"/>
  <c r="BO313"/>
  <c r="BN313"/>
  <c r="BM313"/>
  <c r="BL313"/>
  <c r="BK313"/>
  <c r="BJ313"/>
  <c r="BI313"/>
  <c r="BH313"/>
  <c r="BG313"/>
  <c r="BF313"/>
  <c r="BE313"/>
  <c r="BD313"/>
  <c r="BC313"/>
  <c r="BB313"/>
  <c r="BA313"/>
  <c r="AZ313"/>
  <c r="AY313"/>
  <c r="AX313"/>
  <c r="AW313"/>
  <c r="AV313"/>
  <c r="AC313"/>
  <c r="H313"/>
  <c r="G313"/>
  <c r="E313"/>
  <c r="BT312"/>
  <c r="BS312"/>
  <c r="BR312"/>
  <c r="BQ312"/>
  <c r="BP312"/>
  <c r="BO312"/>
  <c r="BN312"/>
  <c r="BM312"/>
  <c r="BL312"/>
  <c r="BK312"/>
  <c r="BJ312"/>
  <c r="BI312"/>
  <c r="BH312"/>
  <c r="BG312"/>
  <c r="BF312"/>
  <c r="BE312"/>
  <c r="BD312"/>
  <c r="BC312"/>
  <c r="BB312"/>
  <c r="BA312"/>
  <c r="AZ312"/>
  <c r="AY312"/>
  <c r="AX312"/>
  <c r="AW312"/>
  <c r="AV312"/>
  <c r="AC312"/>
  <c r="H312"/>
  <c r="G312"/>
  <c r="E312"/>
  <c r="BT311"/>
  <c r="BS311"/>
  <c r="BR311"/>
  <c r="BQ311"/>
  <c r="BP311"/>
  <c r="BO311"/>
  <c r="BN311"/>
  <c r="BM311"/>
  <c r="BL311"/>
  <c r="BK311"/>
  <c r="BJ311"/>
  <c r="BI311"/>
  <c r="BH311"/>
  <c r="BG311"/>
  <c r="BF311"/>
  <c r="BE311"/>
  <c r="BD311"/>
  <c r="BC311"/>
  <c r="BB311"/>
  <c r="BA311"/>
  <c r="AZ311"/>
  <c r="AY311"/>
  <c r="AX311"/>
  <c r="AW311"/>
  <c r="AV311"/>
  <c r="AC311"/>
  <c r="H311"/>
  <c r="G311"/>
  <c r="E311"/>
  <c r="BT310"/>
  <c r="BS310"/>
  <c r="BR310"/>
  <c r="BQ310"/>
  <c r="BP310"/>
  <c r="BO310"/>
  <c r="BN310"/>
  <c r="BM310"/>
  <c r="BL310"/>
  <c r="BK310"/>
  <c r="BJ310"/>
  <c r="BI310"/>
  <c r="BH310"/>
  <c r="BG310"/>
  <c r="BF310"/>
  <c r="BE310"/>
  <c r="BD310"/>
  <c r="BC310"/>
  <c r="BB310"/>
  <c r="BA310"/>
  <c r="AZ310"/>
  <c r="AY310"/>
  <c r="AX310"/>
  <c r="AW310"/>
  <c r="AV310"/>
  <c r="AC310"/>
  <c r="H310"/>
  <c r="G310"/>
  <c r="E310"/>
  <c r="BT309"/>
  <c r="BS309"/>
  <c r="BR309"/>
  <c r="BQ309"/>
  <c r="BP309"/>
  <c r="BO309"/>
  <c r="BN309"/>
  <c r="BM309"/>
  <c r="BL309"/>
  <c r="BK309"/>
  <c r="BJ309"/>
  <c r="BI309"/>
  <c r="BH309"/>
  <c r="BG309"/>
  <c r="BF309"/>
  <c r="BE309"/>
  <c r="BD309"/>
  <c r="BC309"/>
  <c r="BB309"/>
  <c r="BA309"/>
  <c r="AZ309"/>
  <c r="AY309"/>
  <c r="AX309"/>
  <c r="AW309"/>
  <c r="AV309"/>
  <c r="AC309"/>
  <c r="H309"/>
  <c r="G309"/>
  <c r="E309"/>
  <c r="BT308"/>
  <c r="BS308"/>
  <c r="BR308"/>
  <c r="BQ308"/>
  <c r="BP308"/>
  <c r="BO308"/>
  <c r="BN308"/>
  <c r="BM308"/>
  <c r="BL308"/>
  <c r="BK308"/>
  <c r="BJ308"/>
  <c r="BI308"/>
  <c r="BH308"/>
  <c r="BG308"/>
  <c r="BF308"/>
  <c r="BE308"/>
  <c r="BD308"/>
  <c r="BC308"/>
  <c r="BB308"/>
  <c r="BA308"/>
  <c r="AZ308"/>
  <c r="AY308"/>
  <c r="AX308"/>
  <c r="AW308"/>
  <c r="AV308"/>
  <c r="AC308"/>
  <c r="H308"/>
  <c r="G308"/>
  <c r="E308"/>
  <c r="BT307"/>
  <c r="BS307"/>
  <c r="BR307"/>
  <c r="BQ307"/>
  <c r="BP307"/>
  <c r="BO307"/>
  <c r="BN307"/>
  <c r="BM307"/>
  <c r="BL307"/>
  <c r="BK307"/>
  <c r="BJ307"/>
  <c r="BI307"/>
  <c r="BH307"/>
  <c r="BG307"/>
  <c r="BF307"/>
  <c r="BE307"/>
  <c r="BD307"/>
  <c r="BC307"/>
  <c r="BB307"/>
  <c r="BA307"/>
  <c r="AZ307"/>
  <c r="AY307"/>
  <c r="AX307"/>
  <c r="AW307"/>
  <c r="AV307"/>
  <c r="AC307"/>
  <c r="H307"/>
  <c r="G307"/>
  <c r="E307"/>
  <c r="BT306"/>
  <c r="BS306"/>
  <c r="BR306"/>
  <c r="BQ306"/>
  <c r="BP306"/>
  <c r="BO306"/>
  <c r="BN306"/>
  <c r="BM306"/>
  <c r="BL306"/>
  <c r="BK306"/>
  <c r="BJ306"/>
  <c r="BI306"/>
  <c r="BH306"/>
  <c r="BG306"/>
  <c r="BF306"/>
  <c r="BE306"/>
  <c r="BD306"/>
  <c r="BC306"/>
  <c r="BB306"/>
  <c r="BA306"/>
  <c r="AZ306"/>
  <c r="AY306"/>
  <c r="AX306"/>
  <c r="AW306"/>
  <c r="AV306"/>
  <c r="AC306"/>
  <c r="H306"/>
  <c r="G306"/>
  <c r="E306"/>
  <c r="BT305"/>
  <c r="BS305"/>
  <c r="BR305"/>
  <c r="BQ305"/>
  <c r="BP305"/>
  <c r="BO305"/>
  <c r="BN305"/>
  <c r="BM305"/>
  <c r="BL305"/>
  <c r="BK305"/>
  <c r="BJ305"/>
  <c r="BI305"/>
  <c r="BH305"/>
  <c r="BG305"/>
  <c r="BF305"/>
  <c r="BE305"/>
  <c r="BD305"/>
  <c r="BC305"/>
  <c r="BB305"/>
  <c r="BA305"/>
  <c r="AZ305"/>
  <c r="AY305"/>
  <c r="AX305"/>
  <c r="AW305"/>
  <c r="AV305"/>
  <c r="AC305"/>
  <c r="H305"/>
  <c r="G305"/>
  <c r="E305"/>
  <c r="BT304"/>
  <c r="BS304"/>
  <c r="BR304"/>
  <c r="BQ304"/>
  <c r="BP304"/>
  <c r="BO304"/>
  <c r="BN304"/>
  <c r="BM304"/>
  <c r="BL304"/>
  <c r="BK304"/>
  <c r="BJ304"/>
  <c r="BI304"/>
  <c r="BH304"/>
  <c r="BG304"/>
  <c r="BF304"/>
  <c r="BE304"/>
  <c r="BD304"/>
  <c r="BC304"/>
  <c r="BB304"/>
  <c r="BA304"/>
  <c r="AZ304"/>
  <c r="AY304"/>
  <c r="AX304"/>
  <c r="AW304"/>
  <c r="AV304"/>
  <c r="AC304"/>
  <c r="H304"/>
  <c r="G304"/>
  <c r="E304"/>
  <c r="BT303"/>
  <c r="BS303"/>
  <c r="BR303"/>
  <c r="BQ303"/>
  <c r="BP303"/>
  <c r="BO303"/>
  <c r="BN303"/>
  <c r="BM303"/>
  <c r="BL303"/>
  <c r="BK303"/>
  <c r="BJ303"/>
  <c r="BI303"/>
  <c r="BH303"/>
  <c r="BG303"/>
  <c r="BF303"/>
  <c r="BE303"/>
  <c r="BD303"/>
  <c r="BC303"/>
  <c r="BB303"/>
  <c r="BA303"/>
  <c r="AZ303"/>
  <c r="AY303"/>
  <c r="AX303"/>
  <c r="AW303"/>
  <c r="AV303"/>
  <c r="AC303"/>
  <c r="H303"/>
  <c r="G303"/>
  <c r="E303"/>
  <c r="BT302"/>
  <c r="BS302"/>
  <c r="BR302"/>
  <c r="BQ302"/>
  <c r="BP302"/>
  <c r="BO302"/>
  <c r="BN302"/>
  <c r="BM302"/>
  <c r="BL302"/>
  <c r="BK302"/>
  <c r="BJ302"/>
  <c r="BI302"/>
  <c r="BH302"/>
  <c r="BG302"/>
  <c r="BF302"/>
  <c r="BE302"/>
  <c r="BD302"/>
  <c r="BC302"/>
  <c r="BB302"/>
  <c r="BA302"/>
  <c r="AZ302"/>
  <c r="AY302"/>
  <c r="AX302"/>
  <c r="AW302"/>
  <c r="AV302"/>
  <c r="AC302"/>
  <c r="H302"/>
  <c r="G302"/>
  <c r="E302"/>
  <c r="BT301"/>
  <c r="BS301"/>
  <c r="BR301"/>
  <c r="BQ301"/>
  <c r="BP301"/>
  <c r="BO301"/>
  <c r="BN301"/>
  <c r="BM301"/>
  <c r="BL301"/>
  <c r="BK301"/>
  <c r="BJ301"/>
  <c r="BI301"/>
  <c r="BH301"/>
  <c r="BG301"/>
  <c r="BF301"/>
  <c r="BE301"/>
  <c r="BD301"/>
  <c r="BC301"/>
  <c r="BB301"/>
  <c r="BA301"/>
  <c r="AZ301"/>
  <c r="AY301"/>
  <c r="AX301"/>
  <c r="AW301"/>
  <c r="AV301"/>
  <c r="AC301"/>
  <c r="H301"/>
  <c r="G301"/>
  <c r="E301"/>
  <c r="BT300"/>
  <c r="BS300"/>
  <c r="BR300"/>
  <c r="BQ300"/>
  <c r="BP300"/>
  <c r="BO300"/>
  <c r="BN300"/>
  <c r="BM300"/>
  <c r="BL300"/>
  <c r="BK300"/>
  <c r="BJ300"/>
  <c r="BI300"/>
  <c r="BH300"/>
  <c r="BG300"/>
  <c r="BF300"/>
  <c r="BE300"/>
  <c r="BD300"/>
  <c r="BC300"/>
  <c r="BB300"/>
  <c r="BA300"/>
  <c r="AZ300"/>
  <c r="AY300"/>
  <c r="AX300"/>
  <c r="AW300"/>
  <c r="AV300"/>
  <c r="AC300"/>
  <c r="H300"/>
  <c r="G300"/>
  <c r="E300"/>
  <c r="BT299"/>
  <c r="BS299"/>
  <c r="BR299"/>
  <c r="BQ299"/>
  <c r="BP299"/>
  <c r="BO299"/>
  <c r="BN299"/>
  <c r="BM299"/>
  <c r="BL299"/>
  <c r="BK299"/>
  <c r="BJ299"/>
  <c r="BI299"/>
  <c r="BH299"/>
  <c r="BG299"/>
  <c r="BF299"/>
  <c r="BE299"/>
  <c r="BD299"/>
  <c r="BC299"/>
  <c r="BB299"/>
  <c r="BA299"/>
  <c r="AZ299"/>
  <c r="AY299"/>
  <c r="AX299"/>
  <c r="AW299"/>
  <c r="AV299"/>
  <c r="AC299"/>
  <c r="H299"/>
  <c r="G299"/>
  <c r="E299"/>
  <c r="BT298"/>
  <c r="BS298"/>
  <c r="BR298"/>
  <c r="BQ298"/>
  <c r="BP298"/>
  <c r="BO298"/>
  <c r="BN298"/>
  <c r="BM298"/>
  <c r="BL298"/>
  <c r="BK298"/>
  <c r="BJ298"/>
  <c r="BI298"/>
  <c r="BH298"/>
  <c r="BG298"/>
  <c r="BF298"/>
  <c r="BE298"/>
  <c r="BD298"/>
  <c r="BC298"/>
  <c r="BB298"/>
  <c r="BA298"/>
  <c r="AZ298"/>
  <c r="AY298"/>
  <c r="AX298"/>
  <c r="AW298"/>
  <c r="AV298"/>
  <c r="AC298"/>
  <c r="H298"/>
  <c r="G298"/>
  <c r="E298"/>
  <c r="BT297"/>
  <c r="BS297"/>
  <c r="BR297"/>
  <c r="BQ297"/>
  <c r="BP297"/>
  <c r="BO297"/>
  <c r="BN297"/>
  <c r="BM297"/>
  <c r="BL297"/>
  <c r="BK297"/>
  <c r="BJ297"/>
  <c r="BI297"/>
  <c r="BH297"/>
  <c r="BG297"/>
  <c r="BF297"/>
  <c r="BE297"/>
  <c r="BD297"/>
  <c r="BC297"/>
  <c r="BB297"/>
  <c r="BA297"/>
  <c r="AZ297"/>
  <c r="AY297"/>
  <c r="AX297"/>
  <c r="AW297"/>
  <c r="AV297"/>
  <c r="AC297"/>
  <c r="H297"/>
  <c r="G297"/>
  <c r="E297"/>
  <c r="BT296"/>
  <c r="BS296"/>
  <c r="BR296"/>
  <c r="BQ296"/>
  <c r="BP296"/>
  <c r="BO296"/>
  <c r="BN296"/>
  <c r="BM296"/>
  <c r="BL296"/>
  <c r="BK296"/>
  <c r="BJ296"/>
  <c r="BI296"/>
  <c r="BH296"/>
  <c r="BG296"/>
  <c r="BF296"/>
  <c r="BE296"/>
  <c r="BD296"/>
  <c r="BC296"/>
  <c r="BB296"/>
  <c r="BA296"/>
  <c r="AZ296"/>
  <c r="AY296"/>
  <c r="AX296"/>
  <c r="AW296"/>
  <c r="AV296"/>
  <c r="AC296"/>
  <c r="H296"/>
  <c r="G296"/>
  <c r="E296"/>
  <c r="BT295"/>
  <c r="BS295"/>
  <c r="BR295"/>
  <c r="BQ295"/>
  <c r="BP295"/>
  <c r="BO295"/>
  <c r="BN295"/>
  <c r="BM295"/>
  <c r="BL295"/>
  <c r="BK295"/>
  <c r="BJ295"/>
  <c r="BI295"/>
  <c r="BH295"/>
  <c r="BG295"/>
  <c r="BF295"/>
  <c r="BE295"/>
  <c r="BD295"/>
  <c r="BC295"/>
  <c r="BB295"/>
  <c r="BA295"/>
  <c r="AZ295"/>
  <c r="AY295"/>
  <c r="AX295"/>
  <c r="AW295"/>
  <c r="AV295"/>
  <c r="AC295"/>
  <c r="H295"/>
  <c r="G295"/>
  <c r="E295"/>
  <c r="BT294"/>
  <c r="BS294"/>
  <c r="BR294"/>
  <c r="BQ294"/>
  <c r="BP294"/>
  <c r="BO294"/>
  <c r="BN294"/>
  <c r="BM294"/>
  <c r="BL294"/>
  <c r="BK294"/>
  <c r="BJ294"/>
  <c r="BI294"/>
  <c r="BH294"/>
  <c r="BG294"/>
  <c r="BF294"/>
  <c r="BE294"/>
  <c r="BD294"/>
  <c r="BC294"/>
  <c r="BB294"/>
  <c r="BA294"/>
  <c r="AZ294"/>
  <c r="AY294"/>
  <c r="AX294"/>
  <c r="AW294"/>
  <c r="AV294"/>
  <c r="AC294"/>
  <c r="H294"/>
  <c r="G294"/>
  <c r="E294"/>
  <c r="BT293"/>
  <c r="BS293"/>
  <c r="BR293"/>
  <c r="BQ293"/>
  <c r="BP293"/>
  <c r="BO293"/>
  <c r="BN293"/>
  <c r="BM293"/>
  <c r="BL293"/>
  <c r="BK293"/>
  <c r="BJ293"/>
  <c r="BI293"/>
  <c r="BH293"/>
  <c r="BG293"/>
  <c r="BF293"/>
  <c r="BE293"/>
  <c r="BD293"/>
  <c r="BC293"/>
  <c r="BB293"/>
  <c r="BA293"/>
  <c r="AZ293"/>
  <c r="AY293"/>
  <c r="AX293"/>
  <c r="AW293"/>
  <c r="AV293"/>
  <c r="AC293"/>
  <c r="H293"/>
  <c r="G293"/>
  <c r="E293"/>
  <c r="BT292"/>
  <c r="BS292"/>
  <c r="BR292"/>
  <c r="BQ292"/>
  <c r="BP292"/>
  <c r="BO292"/>
  <c r="BN292"/>
  <c r="BM292"/>
  <c r="BL292"/>
  <c r="BK292"/>
  <c r="BJ292"/>
  <c r="BI292"/>
  <c r="BH292"/>
  <c r="BG292"/>
  <c r="BF292"/>
  <c r="BE292"/>
  <c r="BD292"/>
  <c r="BC292"/>
  <c r="BB292"/>
  <c r="BA292"/>
  <c r="AZ292"/>
  <c r="AY292"/>
  <c r="AX292"/>
  <c r="AW292"/>
  <c r="AV292"/>
  <c r="AC292"/>
  <c r="H292"/>
  <c r="G292"/>
  <c r="E292"/>
  <c r="BT291"/>
  <c r="BS291"/>
  <c r="BR291"/>
  <c r="BQ291"/>
  <c r="BP291"/>
  <c r="BO291"/>
  <c r="BN291"/>
  <c r="BM291"/>
  <c r="BL291"/>
  <c r="BK291"/>
  <c r="BJ291"/>
  <c r="BI291"/>
  <c r="BH291"/>
  <c r="BG291"/>
  <c r="BF291"/>
  <c r="BE291"/>
  <c r="BD291"/>
  <c r="BC291"/>
  <c r="BB291"/>
  <c r="BA291"/>
  <c r="AZ291"/>
  <c r="AY291"/>
  <c r="AX291"/>
  <c r="AW291"/>
  <c r="AV291"/>
  <c r="AC291"/>
  <c r="H291"/>
  <c r="G291"/>
  <c r="E291"/>
  <c r="BT290"/>
  <c r="BS290"/>
  <c r="BR290"/>
  <c r="BQ290"/>
  <c r="BP290"/>
  <c r="BO290"/>
  <c r="BN290"/>
  <c r="BM290"/>
  <c r="BL290"/>
  <c r="BK290"/>
  <c r="BJ290"/>
  <c r="BI290"/>
  <c r="BH290"/>
  <c r="BG290"/>
  <c r="BF290"/>
  <c r="BE290"/>
  <c r="BD290"/>
  <c r="BC290"/>
  <c r="BB290"/>
  <c r="BA290"/>
  <c r="AZ290"/>
  <c r="AY290"/>
  <c r="AX290"/>
  <c r="AW290"/>
  <c r="AV290"/>
  <c r="AC290"/>
  <c r="H290"/>
  <c r="G290"/>
  <c r="E290"/>
  <c r="BT289"/>
  <c r="BS289"/>
  <c r="BR289"/>
  <c r="BQ289"/>
  <c r="BP289"/>
  <c r="BO289"/>
  <c r="BN289"/>
  <c r="BM289"/>
  <c r="BL289"/>
  <c r="BK289"/>
  <c r="BJ289"/>
  <c r="BI289"/>
  <c r="BH289"/>
  <c r="BG289"/>
  <c r="BF289"/>
  <c r="BE289"/>
  <c r="BD289"/>
  <c r="BC289"/>
  <c r="BB289"/>
  <c r="BA289"/>
  <c r="AZ289"/>
  <c r="AY289"/>
  <c r="AX289"/>
  <c r="AW289"/>
  <c r="AV289"/>
  <c r="AC289"/>
  <c r="H289"/>
  <c r="G289"/>
  <c r="E289"/>
  <c r="BT288"/>
  <c r="BS288"/>
  <c r="BR288"/>
  <c r="BQ288"/>
  <c r="BP288"/>
  <c r="BO288"/>
  <c r="BN288"/>
  <c r="BM288"/>
  <c r="BL288"/>
  <c r="BK288"/>
  <c r="BJ288"/>
  <c r="BI288"/>
  <c r="BH288"/>
  <c r="BG288"/>
  <c r="BF288"/>
  <c r="BE288"/>
  <c r="BD288"/>
  <c r="BC288"/>
  <c r="BB288"/>
  <c r="BA288"/>
  <c r="AZ288"/>
  <c r="AY288"/>
  <c r="AX288"/>
  <c r="AW288"/>
  <c r="AV288"/>
  <c r="AC288"/>
  <c r="H288"/>
  <c r="G288"/>
  <c r="E288"/>
  <c r="BT287"/>
  <c r="BS287"/>
  <c r="BR287"/>
  <c r="BQ287"/>
  <c r="BP287"/>
  <c r="BO287"/>
  <c r="BN287"/>
  <c r="BM287"/>
  <c r="BL287"/>
  <c r="BK287"/>
  <c r="BJ287"/>
  <c r="BI287"/>
  <c r="BH287"/>
  <c r="BG287"/>
  <c r="BF287"/>
  <c r="BE287"/>
  <c r="BD287"/>
  <c r="BC287"/>
  <c r="BB287"/>
  <c r="BA287"/>
  <c r="AZ287"/>
  <c r="AY287"/>
  <c r="AX287"/>
  <c r="AW287"/>
  <c r="AV287"/>
  <c r="AC287"/>
  <c r="H287"/>
  <c r="G287"/>
  <c r="E287"/>
  <c r="BT286"/>
  <c r="BS286"/>
  <c r="BR286"/>
  <c r="BQ286"/>
  <c r="BP286"/>
  <c r="BO286"/>
  <c r="BN286"/>
  <c r="BM286"/>
  <c r="BL286"/>
  <c r="BK286"/>
  <c r="BJ286"/>
  <c r="BI286"/>
  <c r="BH286"/>
  <c r="BG286"/>
  <c r="BF286"/>
  <c r="BE286"/>
  <c r="BD286"/>
  <c r="BC286"/>
  <c r="BB286"/>
  <c r="BA286"/>
  <c r="AZ286"/>
  <c r="AY286"/>
  <c r="AX286"/>
  <c r="AW286"/>
  <c r="AV286"/>
  <c r="AC286"/>
  <c r="H286"/>
  <c r="G286"/>
  <c r="E286"/>
  <c r="BT285"/>
  <c r="BS285"/>
  <c r="BR285"/>
  <c r="BQ285"/>
  <c r="BP285"/>
  <c r="BO285"/>
  <c r="BN285"/>
  <c r="BM285"/>
  <c r="BL285"/>
  <c r="BK285"/>
  <c r="BJ285"/>
  <c r="BI285"/>
  <c r="BH285"/>
  <c r="BG285"/>
  <c r="BF285"/>
  <c r="BE285"/>
  <c r="BD285"/>
  <c r="BC285"/>
  <c r="BB285"/>
  <c r="BA285"/>
  <c r="AZ285"/>
  <c r="AY285"/>
  <c r="AX285"/>
  <c r="AW285"/>
  <c r="AV285"/>
  <c r="AC285"/>
  <c r="H285"/>
  <c r="G285"/>
  <c r="E285"/>
  <c r="BT284"/>
  <c r="BS284"/>
  <c r="BR284"/>
  <c r="BQ284"/>
  <c r="BP284"/>
  <c r="BO284"/>
  <c r="BN284"/>
  <c r="BM284"/>
  <c r="BL284"/>
  <c r="BK284"/>
  <c r="BJ284"/>
  <c r="BI284"/>
  <c r="BH284"/>
  <c r="BG284"/>
  <c r="BF284"/>
  <c r="BE284"/>
  <c r="BD284"/>
  <c r="BC284"/>
  <c r="BB284"/>
  <c r="BA284"/>
  <c r="AZ284"/>
  <c r="AY284"/>
  <c r="AX284"/>
  <c r="AW284"/>
  <c r="AV284"/>
  <c r="AC284"/>
  <c r="H284"/>
  <c r="G284"/>
  <c r="E284"/>
  <c r="BT283"/>
  <c r="BS283"/>
  <c r="BR283"/>
  <c r="BQ283"/>
  <c r="BP283"/>
  <c r="BO283"/>
  <c r="BN283"/>
  <c r="BM283"/>
  <c r="BL283"/>
  <c r="BK283"/>
  <c r="BJ283"/>
  <c r="BI283"/>
  <c r="BH283"/>
  <c r="BG283"/>
  <c r="BF283"/>
  <c r="BE283"/>
  <c r="BD283"/>
  <c r="BC283"/>
  <c r="BB283"/>
  <c r="BA283"/>
  <c r="AZ283"/>
  <c r="AY283"/>
  <c r="AX283"/>
  <c r="AW283"/>
  <c r="AV283"/>
  <c r="AC283"/>
  <c r="H283"/>
  <c r="G283"/>
  <c r="E283"/>
  <c r="BT282"/>
  <c r="BS282"/>
  <c r="BR282"/>
  <c r="BQ282"/>
  <c r="BP282"/>
  <c r="BO282"/>
  <c r="BN282"/>
  <c r="BM282"/>
  <c r="BL282"/>
  <c r="BK282"/>
  <c r="BJ282"/>
  <c r="BI282"/>
  <c r="BH282"/>
  <c r="BG282"/>
  <c r="BF282"/>
  <c r="BE282"/>
  <c r="BD282"/>
  <c r="BC282"/>
  <c r="BB282"/>
  <c r="BA282"/>
  <c r="AZ282"/>
  <c r="AY282"/>
  <c r="AX282"/>
  <c r="AW282"/>
  <c r="AV282"/>
  <c r="AC282"/>
  <c r="H282"/>
  <c r="G282"/>
  <c r="E282"/>
  <c r="BT281"/>
  <c r="BS281"/>
  <c r="BR281"/>
  <c r="BQ281"/>
  <c r="BP281"/>
  <c r="BO281"/>
  <c r="BN281"/>
  <c r="BM281"/>
  <c r="BL281"/>
  <c r="BK281"/>
  <c r="BJ281"/>
  <c r="BI281"/>
  <c r="BH281"/>
  <c r="BG281"/>
  <c r="BF281"/>
  <c r="BE281"/>
  <c r="BD281"/>
  <c r="BC281"/>
  <c r="BB281"/>
  <c r="BA281"/>
  <c r="AZ281"/>
  <c r="AY281"/>
  <c r="AX281"/>
  <c r="AW281"/>
  <c r="AV281"/>
  <c r="AC281"/>
  <c r="H281"/>
  <c r="G281"/>
  <c r="E281"/>
  <c r="BT280"/>
  <c r="BS280"/>
  <c r="BR280"/>
  <c r="BQ280"/>
  <c r="BP280"/>
  <c r="BO280"/>
  <c r="BN280"/>
  <c r="BM280"/>
  <c r="BL280"/>
  <c r="BK280"/>
  <c r="BJ280"/>
  <c r="BI280"/>
  <c r="BH280"/>
  <c r="BG280"/>
  <c r="BF280"/>
  <c r="BE280"/>
  <c r="BD280"/>
  <c r="BC280"/>
  <c r="BB280"/>
  <c r="BA280"/>
  <c r="AZ280"/>
  <c r="AY280"/>
  <c r="AX280"/>
  <c r="AW280"/>
  <c r="AV280"/>
  <c r="AC280"/>
  <c r="H280"/>
  <c r="G280"/>
  <c r="E280"/>
  <c r="BT279"/>
  <c r="BS279"/>
  <c r="BR279"/>
  <c r="BQ279"/>
  <c r="BP279"/>
  <c r="BO279"/>
  <c r="BN279"/>
  <c r="BM279"/>
  <c r="BL279"/>
  <c r="BK279"/>
  <c r="BJ279"/>
  <c r="BI279"/>
  <c r="BH279"/>
  <c r="BG279"/>
  <c r="BF279"/>
  <c r="BE279"/>
  <c r="BD279"/>
  <c r="BC279"/>
  <c r="BB279"/>
  <c r="BA279"/>
  <c r="AZ279"/>
  <c r="AY279"/>
  <c r="AX279"/>
  <c r="AW279"/>
  <c r="AV279"/>
  <c r="AC279"/>
  <c r="H279"/>
  <c r="G279"/>
  <c r="E279"/>
  <c r="BT278"/>
  <c r="BS278"/>
  <c r="BR278"/>
  <c r="BQ278"/>
  <c r="BP278"/>
  <c r="BO278"/>
  <c r="BN278"/>
  <c r="BM278"/>
  <c r="BL278"/>
  <c r="BK278"/>
  <c r="BJ278"/>
  <c r="BI278"/>
  <c r="BH278"/>
  <c r="BG278"/>
  <c r="BF278"/>
  <c r="BE278"/>
  <c r="BD278"/>
  <c r="BC278"/>
  <c r="BB278"/>
  <c r="BA278"/>
  <c r="AZ278"/>
  <c r="AY278"/>
  <c r="AX278"/>
  <c r="AW278"/>
  <c r="AV278"/>
  <c r="AC278"/>
  <c r="H278"/>
  <c r="G278"/>
  <c r="E278"/>
  <c r="BT277"/>
  <c r="BS277"/>
  <c r="BR277"/>
  <c r="BQ277"/>
  <c r="BP277"/>
  <c r="BO277"/>
  <c r="BN277"/>
  <c r="BM277"/>
  <c r="BL277"/>
  <c r="BK277"/>
  <c r="BJ277"/>
  <c r="BI277"/>
  <c r="BH277"/>
  <c r="BG277"/>
  <c r="BF277"/>
  <c r="BE277"/>
  <c r="BD277"/>
  <c r="BC277"/>
  <c r="BB277"/>
  <c r="BA277"/>
  <c r="AZ277"/>
  <c r="AY277"/>
  <c r="AX277"/>
  <c r="AW277"/>
  <c r="AV277"/>
  <c r="AC277"/>
  <c r="H277"/>
  <c r="G277"/>
  <c r="E277"/>
  <c r="BT276"/>
  <c r="BS276"/>
  <c r="BR276"/>
  <c r="BQ276"/>
  <c r="BP276"/>
  <c r="BO276"/>
  <c r="BN276"/>
  <c r="BM276"/>
  <c r="BL276"/>
  <c r="BK276"/>
  <c r="BJ276"/>
  <c r="BI276"/>
  <c r="BH276"/>
  <c r="BG276"/>
  <c r="BF276"/>
  <c r="BE276"/>
  <c r="BD276"/>
  <c r="BC276"/>
  <c r="BB276"/>
  <c r="BA276"/>
  <c r="AZ276"/>
  <c r="AY276"/>
  <c r="AX276"/>
  <c r="AW276"/>
  <c r="AV276"/>
  <c r="AC276"/>
  <c r="H276"/>
  <c r="G276"/>
  <c r="E276"/>
  <c r="BT275"/>
  <c r="BS275"/>
  <c r="BR275"/>
  <c r="BQ275"/>
  <c r="BP275"/>
  <c r="BO275"/>
  <c r="BN275"/>
  <c r="BM275"/>
  <c r="BL275"/>
  <c r="BK275"/>
  <c r="BJ275"/>
  <c r="BI275"/>
  <c r="BH275"/>
  <c r="BG275"/>
  <c r="BF275"/>
  <c r="BE275"/>
  <c r="BD275"/>
  <c r="BC275"/>
  <c r="BB275"/>
  <c r="BA275"/>
  <c r="AZ275"/>
  <c r="AY275"/>
  <c r="AX275"/>
  <c r="AW275"/>
  <c r="AV275"/>
  <c r="AC275"/>
  <c r="H275"/>
  <c r="G275"/>
  <c r="E275"/>
  <c r="BT274"/>
  <c r="BS274"/>
  <c r="BR274"/>
  <c r="BQ274"/>
  <c r="BP274"/>
  <c r="BO274"/>
  <c r="BN274"/>
  <c r="BM274"/>
  <c r="BL274"/>
  <c r="BK274"/>
  <c r="BJ274"/>
  <c r="BI274"/>
  <c r="BH274"/>
  <c r="BG274"/>
  <c r="BF274"/>
  <c r="BE274"/>
  <c r="BD274"/>
  <c r="BC274"/>
  <c r="BB274"/>
  <c r="BA274"/>
  <c r="AZ274"/>
  <c r="AY274"/>
  <c r="AX274"/>
  <c r="AW274"/>
  <c r="AV274"/>
  <c r="AC274"/>
  <c r="H274"/>
  <c r="G274"/>
  <c r="E274"/>
  <c r="BT273"/>
  <c r="BS273"/>
  <c r="BR273"/>
  <c r="BQ273"/>
  <c r="BP273"/>
  <c r="BO273"/>
  <c r="BN273"/>
  <c r="BM273"/>
  <c r="BL273"/>
  <c r="BK273"/>
  <c r="BJ273"/>
  <c r="BI273"/>
  <c r="BH273"/>
  <c r="BG273"/>
  <c r="BF273"/>
  <c r="BE273"/>
  <c r="BD273"/>
  <c r="BC273"/>
  <c r="BB273"/>
  <c r="BA273"/>
  <c r="AZ273"/>
  <c r="AY273"/>
  <c r="AX273"/>
  <c r="AW273"/>
  <c r="AV273"/>
  <c r="AC273"/>
  <c r="H273"/>
  <c r="G273"/>
  <c r="E273"/>
  <c r="BT272"/>
  <c r="BS272"/>
  <c r="BR272"/>
  <c r="BQ272"/>
  <c r="BP272"/>
  <c r="BO272"/>
  <c r="BN272"/>
  <c r="BM272"/>
  <c r="BL272"/>
  <c r="BK272"/>
  <c r="BJ272"/>
  <c r="BI272"/>
  <c r="BH272"/>
  <c r="BG272"/>
  <c r="BF272"/>
  <c r="BE272"/>
  <c r="BD272"/>
  <c r="BC272"/>
  <c r="BB272"/>
  <c r="BA272"/>
  <c r="AZ272"/>
  <c r="AY272"/>
  <c r="AX272"/>
  <c r="AW272"/>
  <c r="AV272"/>
  <c r="AC272"/>
  <c r="H272"/>
  <c r="G272"/>
  <c r="E272"/>
  <c r="BT271"/>
  <c r="BS271"/>
  <c r="BR271"/>
  <c r="BQ271"/>
  <c r="BP271"/>
  <c r="BO271"/>
  <c r="BN271"/>
  <c r="BM271"/>
  <c r="BL271"/>
  <c r="BK271"/>
  <c r="BJ271"/>
  <c r="BI271"/>
  <c r="BH271"/>
  <c r="BG271"/>
  <c r="BF271"/>
  <c r="BE271"/>
  <c r="BD271"/>
  <c r="BC271"/>
  <c r="BB271"/>
  <c r="BA271"/>
  <c r="AZ271"/>
  <c r="AY271"/>
  <c r="AX271"/>
  <c r="AW271"/>
  <c r="AV271"/>
  <c r="AC271"/>
  <c r="H271"/>
  <c r="G271"/>
  <c r="E271"/>
  <c r="BT270"/>
  <c r="BS270"/>
  <c r="BR270"/>
  <c r="BQ270"/>
  <c r="BP270"/>
  <c r="BO270"/>
  <c r="BN270"/>
  <c r="BM270"/>
  <c r="BL270"/>
  <c r="BK270"/>
  <c r="BJ270"/>
  <c r="BI270"/>
  <c r="BH270"/>
  <c r="BG270"/>
  <c r="BF270"/>
  <c r="BE270"/>
  <c r="BD270"/>
  <c r="BC270"/>
  <c r="BB270"/>
  <c r="BA270"/>
  <c r="AZ270"/>
  <c r="AY270"/>
  <c r="AX270"/>
  <c r="AW270"/>
  <c r="AV270"/>
  <c r="AC270"/>
  <c r="H270"/>
  <c r="G270"/>
  <c r="E270"/>
  <c r="BT269"/>
  <c r="BS269"/>
  <c r="BR269"/>
  <c r="BQ269"/>
  <c r="BP269"/>
  <c r="BO269"/>
  <c r="BN269"/>
  <c r="BM269"/>
  <c r="BL269"/>
  <c r="BK269"/>
  <c r="BJ269"/>
  <c r="BI269"/>
  <c r="BH269"/>
  <c r="BG269"/>
  <c r="BF269"/>
  <c r="BE269"/>
  <c r="BD269"/>
  <c r="BC269"/>
  <c r="BB269"/>
  <c r="BA269"/>
  <c r="AZ269"/>
  <c r="AY269"/>
  <c r="AX269"/>
  <c r="AW269"/>
  <c r="AV269"/>
  <c r="AC269"/>
  <c r="H269"/>
  <c r="G269"/>
  <c r="E269"/>
  <c r="BT268"/>
  <c r="BS268"/>
  <c r="BR268"/>
  <c r="BQ268"/>
  <c r="BP268"/>
  <c r="BO268"/>
  <c r="BN268"/>
  <c r="BM268"/>
  <c r="BL268"/>
  <c r="BK268"/>
  <c r="BJ268"/>
  <c r="BI268"/>
  <c r="BH268"/>
  <c r="BG268"/>
  <c r="BF268"/>
  <c r="BE268"/>
  <c r="BD268"/>
  <c r="BC268"/>
  <c r="BB268"/>
  <c r="BA268"/>
  <c r="AZ268"/>
  <c r="AY268"/>
  <c r="AX268"/>
  <c r="AW268"/>
  <c r="AV268"/>
  <c r="AC268"/>
  <c r="H268"/>
  <c r="G268"/>
  <c r="E268"/>
  <c r="BT267"/>
  <c r="BS267"/>
  <c r="BR267"/>
  <c r="BQ267"/>
  <c r="BP267"/>
  <c r="BO267"/>
  <c r="BN267"/>
  <c r="BM267"/>
  <c r="BL267"/>
  <c r="BK267"/>
  <c r="BJ267"/>
  <c r="BI267"/>
  <c r="BH267"/>
  <c r="BG267"/>
  <c r="BF267"/>
  <c r="BE267"/>
  <c r="BD267"/>
  <c r="BC267"/>
  <c r="BB267"/>
  <c r="BA267"/>
  <c r="AZ267"/>
  <c r="AY267"/>
  <c r="AX267"/>
  <c r="AW267"/>
  <c r="AV267"/>
  <c r="AC267"/>
  <c r="H267"/>
  <c r="G267"/>
  <c r="E267"/>
  <c r="BT266"/>
  <c r="BS266"/>
  <c r="BR266"/>
  <c r="BQ266"/>
  <c r="BP266"/>
  <c r="BO266"/>
  <c r="BN266"/>
  <c r="BM266"/>
  <c r="BL266"/>
  <c r="BK266"/>
  <c r="BJ266"/>
  <c r="BI266"/>
  <c r="BH266"/>
  <c r="BG266"/>
  <c r="BF266"/>
  <c r="BE266"/>
  <c r="BD266"/>
  <c r="BC266"/>
  <c r="BB266"/>
  <c r="BA266"/>
  <c r="AZ266"/>
  <c r="AY266"/>
  <c r="AX266"/>
  <c r="AW266"/>
  <c r="AV266"/>
  <c r="AC266"/>
  <c r="H266"/>
  <c r="G266"/>
  <c r="E266"/>
  <c r="BT265"/>
  <c r="BS265"/>
  <c r="BR265"/>
  <c r="BQ265"/>
  <c r="BP265"/>
  <c r="BO265"/>
  <c r="BN265"/>
  <c r="BM265"/>
  <c r="BL265"/>
  <c r="BK265"/>
  <c r="BJ265"/>
  <c r="BI265"/>
  <c r="BH265"/>
  <c r="BG265"/>
  <c r="BF265"/>
  <c r="BE265"/>
  <c r="BD265"/>
  <c r="BC265"/>
  <c r="BB265"/>
  <c r="BA265"/>
  <c r="AZ265"/>
  <c r="AY265"/>
  <c r="AX265"/>
  <c r="AW265"/>
  <c r="AV265"/>
  <c r="AC265"/>
  <c r="H265"/>
  <c r="G265"/>
  <c r="E265"/>
  <c r="BT264"/>
  <c r="BS264"/>
  <c r="BR264"/>
  <c r="BQ264"/>
  <c r="BP264"/>
  <c r="BO264"/>
  <c r="BN264"/>
  <c r="BM264"/>
  <c r="BL264"/>
  <c r="BK264"/>
  <c r="BJ264"/>
  <c r="BI264"/>
  <c r="BH264"/>
  <c r="BG264"/>
  <c r="BF264"/>
  <c r="BE264"/>
  <c r="BD264"/>
  <c r="BC264"/>
  <c r="BB264"/>
  <c r="BA264"/>
  <c r="AZ264"/>
  <c r="AY264"/>
  <c r="AX264"/>
  <c r="AW264"/>
  <c r="AV264"/>
  <c r="AC264"/>
  <c r="H264"/>
  <c r="G264"/>
  <c r="E264"/>
  <c r="BT263"/>
  <c r="BS263"/>
  <c r="BR263"/>
  <c r="BQ263"/>
  <c r="BP263"/>
  <c r="BO263"/>
  <c r="BN263"/>
  <c r="BM263"/>
  <c r="BL263"/>
  <c r="BK263"/>
  <c r="BJ263"/>
  <c r="BI263"/>
  <c r="BH263"/>
  <c r="BG263"/>
  <c r="BF263"/>
  <c r="BE263"/>
  <c r="BD263"/>
  <c r="BC263"/>
  <c r="BB263"/>
  <c r="BA263"/>
  <c r="AZ263"/>
  <c r="AY263"/>
  <c r="AX263"/>
  <c r="AW263"/>
  <c r="AV263"/>
  <c r="AC263"/>
  <c r="H263"/>
  <c r="G263"/>
  <c r="E263"/>
  <c r="BT262"/>
  <c r="BS262"/>
  <c r="BR262"/>
  <c r="BQ262"/>
  <c r="BP262"/>
  <c r="BO262"/>
  <c r="BN262"/>
  <c r="BM262"/>
  <c r="BL262"/>
  <c r="BK262"/>
  <c r="BJ262"/>
  <c r="BI262"/>
  <c r="BH262"/>
  <c r="BG262"/>
  <c r="BF262"/>
  <c r="BE262"/>
  <c r="BD262"/>
  <c r="BC262"/>
  <c r="BB262"/>
  <c r="BA262"/>
  <c r="AZ262"/>
  <c r="AY262"/>
  <c r="AX262"/>
  <c r="AW262"/>
  <c r="AV262"/>
  <c r="AC262"/>
  <c r="H262"/>
  <c r="G262"/>
  <c r="E262"/>
  <c r="BT261"/>
  <c r="BS261"/>
  <c r="BR261"/>
  <c r="BQ261"/>
  <c r="BP261"/>
  <c r="BO261"/>
  <c r="BN261"/>
  <c r="BM261"/>
  <c r="BL261"/>
  <c r="BK261"/>
  <c r="BJ261"/>
  <c r="BI261"/>
  <c r="BH261"/>
  <c r="BG261"/>
  <c r="BF261"/>
  <c r="BE261"/>
  <c r="BD261"/>
  <c r="BC261"/>
  <c r="BB261"/>
  <c r="BA261"/>
  <c r="AZ261"/>
  <c r="AY261"/>
  <c r="AX261"/>
  <c r="AW261"/>
  <c r="AV261"/>
  <c r="AC261"/>
  <c r="H261"/>
  <c r="G261"/>
  <c r="E261"/>
  <c r="BT260"/>
  <c r="BS260"/>
  <c r="BR260"/>
  <c r="BQ260"/>
  <c r="BP260"/>
  <c r="BO260"/>
  <c r="BN260"/>
  <c r="BM260"/>
  <c r="BL260"/>
  <c r="BK260"/>
  <c r="BJ260"/>
  <c r="BI260"/>
  <c r="BH260"/>
  <c r="BG260"/>
  <c r="BF260"/>
  <c r="BE260"/>
  <c r="BD260"/>
  <c r="BC260"/>
  <c r="BB260"/>
  <c r="BA260"/>
  <c r="AZ260"/>
  <c r="AY260"/>
  <c r="AX260"/>
  <c r="AW260"/>
  <c r="AV260"/>
  <c r="AC260"/>
  <c r="H260"/>
  <c r="G260"/>
  <c r="E260"/>
  <c r="BT259"/>
  <c r="BS259"/>
  <c r="BR259"/>
  <c r="BQ259"/>
  <c r="BP259"/>
  <c r="BO259"/>
  <c r="BN259"/>
  <c r="BM259"/>
  <c r="BL259"/>
  <c r="BK259"/>
  <c r="BJ259"/>
  <c r="BI259"/>
  <c r="BH259"/>
  <c r="BG259"/>
  <c r="BF259"/>
  <c r="BE259"/>
  <c r="BD259"/>
  <c r="BC259"/>
  <c r="BB259"/>
  <c r="BA259"/>
  <c r="AZ259"/>
  <c r="AY259"/>
  <c r="AX259"/>
  <c r="AW259"/>
  <c r="AV259"/>
  <c r="AC259"/>
  <c r="H259"/>
  <c r="G259"/>
  <c r="E259"/>
  <c r="BT258"/>
  <c r="BS258"/>
  <c r="BR258"/>
  <c r="BQ258"/>
  <c r="BP258"/>
  <c r="BO258"/>
  <c r="BN258"/>
  <c r="BM258"/>
  <c r="BL258"/>
  <c r="BK258"/>
  <c r="BJ258"/>
  <c r="BI258"/>
  <c r="BH258"/>
  <c r="BG258"/>
  <c r="BF258"/>
  <c r="BE258"/>
  <c r="BD258"/>
  <c r="BC258"/>
  <c r="BB258"/>
  <c r="BA258"/>
  <c r="AZ258"/>
  <c r="AY258"/>
  <c r="AX258"/>
  <c r="AW258"/>
  <c r="AV258"/>
  <c r="AC258"/>
  <c r="H258"/>
  <c r="G258"/>
  <c r="E258"/>
  <c r="BT257"/>
  <c r="BS257"/>
  <c r="BR257"/>
  <c r="BQ257"/>
  <c r="BP257"/>
  <c r="BO257"/>
  <c r="BN257"/>
  <c r="BM257"/>
  <c r="BL257"/>
  <c r="BK257"/>
  <c r="BJ257"/>
  <c r="BI257"/>
  <c r="BH257"/>
  <c r="BG257"/>
  <c r="BF257"/>
  <c r="BE257"/>
  <c r="BD257"/>
  <c r="BC257"/>
  <c r="BB257"/>
  <c r="BA257"/>
  <c r="AZ257"/>
  <c r="AY257"/>
  <c r="AX257"/>
  <c r="AW257"/>
  <c r="AV257"/>
  <c r="AC257"/>
  <c r="H257"/>
  <c r="G257"/>
  <c r="E257"/>
  <c r="BT256"/>
  <c r="BS256"/>
  <c r="BR256"/>
  <c r="BQ256"/>
  <c r="BP256"/>
  <c r="BO256"/>
  <c r="BN256"/>
  <c r="BM256"/>
  <c r="BL256"/>
  <c r="BK256"/>
  <c r="BJ256"/>
  <c r="BI256"/>
  <c r="BH256"/>
  <c r="BG256"/>
  <c r="BF256"/>
  <c r="BE256"/>
  <c r="BD256"/>
  <c r="BC256"/>
  <c r="BB256"/>
  <c r="BA256"/>
  <c r="AZ256"/>
  <c r="AY256"/>
  <c r="AX256"/>
  <c r="AW256"/>
  <c r="AV256"/>
  <c r="AC256"/>
  <c r="H256"/>
  <c r="G256"/>
  <c r="E256"/>
  <c r="BT255"/>
  <c r="BS255"/>
  <c r="BR255"/>
  <c r="BQ255"/>
  <c r="BP255"/>
  <c r="BO255"/>
  <c r="BN255"/>
  <c r="BM255"/>
  <c r="BL255"/>
  <c r="BK255"/>
  <c r="BJ255"/>
  <c r="BI255"/>
  <c r="BH255"/>
  <c r="BG255"/>
  <c r="BF255"/>
  <c r="BE255"/>
  <c r="BD255"/>
  <c r="BC255"/>
  <c r="BB255"/>
  <c r="BA255"/>
  <c r="AZ255"/>
  <c r="AY255"/>
  <c r="AX255"/>
  <c r="AW255"/>
  <c r="AV255"/>
  <c r="AC255"/>
  <c r="H255"/>
  <c r="G255"/>
  <c r="E255"/>
  <c r="BT254"/>
  <c r="BS254"/>
  <c r="BR254"/>
  <c r="BQ254"/>
  <c r="BP254"/>
  <c r="BO254"/>
  <c r="BN254"/>
  <c r="BM254"/>
  <c r="BL254"/>
  <c r="BK254"/>
  <c r="BJ254"/>
  <c r="BI254"/>
  <c r="BH254"/>
  <c r="BG254"/>
  <c r="BF254"/>
  <c r="BE254"/>
  <c r="BD254"/>
  <c r="BC254"/>
  <c r="BB254"/>
  <c r="BA254"/>
  <c r="AZ254"/>
  <c r="AY254"/>
  <c r="AX254"/>
  <c r="AW254"/>
  <c r="AV254"/>
  <c r="AC254"/>
  <c r="H254"/>
  <c r="G254"/>
  <c r="E254"/>
  <c r="BT253"/>
  <c r="BS253"/>
  <c r="BR253"/>
  <c r="BQ253"/>
  <c r="BP253"/>
  <c r="BO253"/>
  <c r="BN253"/>
  <c r="BM253"/>
  <c r="BL253"/>
  <c r="BK253"/>
  <c r="BJ253"/>
  <c r="BI253"/>
  <c r="BH253"/>
  <c r="BG253"/>
  <c r="BF253"/>
  <c r="BE253"/>
  <c r="BD253"/>
  <c r="BC253"/>
  <c r="BB253"/>
  <c r="BA253"/>
  <c r="AZ253"/>
  <c r="AY253"/>
  <c r="AX253"/>
  <c r="AW253"/>
  <c r="AV253"/>
  <c r="AC253"/>
  <c r="H253"/>
  <c r="G253"/>
  <c r="E253"/>
  <c r="BT252"/>
  <c r="BS252"/>
  <c r="BR252"/>
  <c r="BQ252"/>
  <c r="BP252"/>
  <c r="BO252"/>
  <c r="BN252"/>
  <c r="BM252"/>
  <c r="BL252"/>
  <c r="BK252"/>
  <c r="BJ252"/>
  <c r="BI252"/>
  <c r="BH252"/>
  <c r="BG252"/>
  <c r="BF252"/>
  <c r="BE252"/>
  <c r="BD252"/>
  <c r="BC252"/>
  <c r="BB252"/>
  <c r="BA252"/>
  <c r="AZ252"/>
  <c r="AY252"/>
  <c r="AX252"/>
  <c r="AW252"/>
  <c r="AV252"/>
  <c r="AC252"/>
  <c r="H252"/>
  <c r="G252"/>
  <c r="E252"/>
  <c r="BT251"/>
  <c r="BS251"/>
  <c r="BR251"/>
  <c r="BQ251"/>
  <c r="BP251"/>
  <c r="BO251"/>
  <c r="BN251"/>
  <c r="BM251"/>
  <c r="BL251"/>
  <c r="BK251"/>
  <c r="BJ251"/>
  <c r="BI251"/>
  <c r="BH251"/>
  <c r="BG251"/>
  <c r="BF251"/>
  <c r="BE251"/>
  <c r="BD251"/>
  <c r="BC251"/>
  <c r="BB251"/>
  <c r="BA251"/>
  <c r="AZ251"/>
  <c r="AY251"/>
  <c r="AX251"/>
  <c r="AW251"/>
  <c r="AV251"/>
  <c r="AC251"/>
  <c r="H251"/>
  <c r="G251"/>
  <c r="E251"/>
  <c r="BT250"/>
  <c r="BS250"/>
  <c r="BR250"/>
  <c r="BQ250"/>
  <c r="BP250"/>
  <c r="BO250"/>
  <c r="BN250"/>
  <c r="BM250"/>
  <c r="BL250"/>
  <c r="BK250"/>
  <c r="BJ250"/>
  <c r="BI250"/>
  <c r="BH250"/>
  <c r="BG250"/>
  <c r="BF250"/>
  <c r="BE250"/>
  <c r="BD250"/>
  <c r="BC250"/>
  <c r="BB250"/>
  <c r="BA250"/>
  <c r="AZ250"/>
  <c r="AY250"/>
  <c r="AX250"/>
  <c r="AW250"/>
  <c r="AV250"/>
  <c r="AC250"/>
  <c r="H250"/>
  <c r="G250"/>
  <c r="E250"/>
  <c r="BT249"/>
  <c r="BS249"/>
  <c r="BR249"/>
  <c r="BQ249"/>
  <c r="BP249"/>
  <c r="BO249"/>
  <c r="BN249"/>
  <c r="BM249"/>
  <c r="BL249"/>
  <c r="BK249"/>
  <c r="BJ249"/>
  <c r="BI249"/>
  <c r="BH249"/>
  <c r="BG249"/>
  <c r="BF249"/>
  <c r="BE249"/>
  <c r="BD249"/>
  <c r="BC249"/>
  <c r="BB249"/>
  <c r="BA249"/>
  <c r="AZ249"/>
  <c r="AY249"/>
  <c r="AX249"/>
  <c r="AW249"/>
  <c r="AV249"/>
  <c r="AC249"/>
  <c r="H249"/>
  <c r="G249"/>
  <c r="E249"/>
  <c r="BT248"/>
  <c r="BS248"/>
  <c r="BR248"/>
  <c r="BQ248"/>
  <c r="BP248"/>
  <c r="BO248"/>
  <c r="BN248"/>
  <c r="BM248"/>
  <c r="BL248"/>
  <c r="BK248"/>
  <c r="BJ248"/>
  <c r="BI248"/>
  <c r="BH248"/>
  <c r="BG248"/>
  <c r="BF248"/>
  <c r="BE248"/>
  <c r="BD248"/>
  <c r="BC248"/>
  <c r="BB248"/>
  <c r="BA248"/>
  <c r="AZ248"/>
  <c r="AY248"/>
  <c r="AX248"/>
  <c r="AW248"/>
  <c r="AV248"/>
  <c r="AC248"/>
  <c r="H248"/>
  <c r="G248"/>
  <c r="E248"/>
  <c r="BT247"/>
  <c r="BS247"/>
  <c r="BR247"/>
  <c r="BQ247"/>
  <c r="BP247"/>
  <c r="BO247"/>
  <c r="BN247"/>
  <c r="BM247"/>
  <c r="BL247"/>
  <c r="BK247"/>
  <c r="BJ247"/>
  <c r="BI247"/>
  <c r="BH247"/>
  <c r="BG247"/>
  <c r="BF247"/>
  <c r="BE247"/>
  <c r="BD247"/>
  <c r="BC247"/>
  <c r="BB247"/>
  <c r="BA247"/>
  <c r="AZ247"/>
  <c r="AY247"/>
  <c r="AX247"/>
  <c r="AW247"/>
  <c r="AV247"/>
  <c r="AC247"/>
  <c r="H247"/>
  <c r="G247"/>
  <c r="E247"/>
  <c r="BT246"/>
  <c r="BS246"/>
  <c r="BR246"/>
  <c r="BQ246"/>
  <c r="BP246"/>
  <c r="BO246"/>
  <c r="BN246"/>
  <c r="BM246"/>
  <c r="BL246"/>
  <c r="BK246"/>
  <c r="BJ246"/>
  <c r="BI246"/>
  <c r="BH246"/>
  <c r="BG246"/>
  <c r="BF246"/>
  <c r="BE246"/>
  <c r="BD246"/>
  <c r="BC246"/>
  <c r="BB246"/>
  <c r="BA246"/>
  <c r="AZ246"/>
  <c r="AY246"/>
  <c r="AX246"/>
  <c r="AW246"/>
  <c r="AV246"/>
  <c r="AC246"/>
  <c r="H246"/>
  <c r="G246"/>
  <c r="E246"/>
  <c r="BT245"/>
  <c r="BS245"/>
  <c r="BR245"/>
  <c r="BQ245"/>
  <c r="BP245"/>
  <c r="BO245"/>
  <c r="BN245"/>
  <c r="BM245"/>
  <c r="BL245"/>
  <c r="BK245"/>
  <c r="BJ245"/>
  <c r="BI245"/>
  <c r="BH245"/>
  <c r="BG245"/>
  <c r="BF245"/>
  <c r="BE245"/>
  <c r="BD245"/>
  <c r="BC245"/>
  <c r="BB245"/>
  <c r="BA245"/>
  <c r="AZ245"/>
  <c r="AY245"/>
  <c r="AX245"/>
  <c r="AW245"/>
  <c r="AV245"/>
  <c r="AC245"/>
  <c r="H245"/>
  <c r="G245"/>
  <c r="E245"/>
  <c r="BT244"/>
  <c r="BS244"/>
  <c r="BR244"/>
  <c r="BQ244"/>
  <c r="BP244"/>
  <c r="BO244"/>
  <c r="BN244"/>
  <c r="BM244"/>
  <c r="BL244"/>
  <c r="BK244"/>
  <c r="BJ244"/>
  <c r="BI244"/>
  <c r="BH244"/>
  <c r="BG244"/>
  <c r="BF244"/>
  <c r="BE244"/>
  <c r="BD244"/>
  <c r="BC244"/>
  <c r="BB244"/>
  <c r="BA244"/>
  <c r="AZ244"/>
  <c r="AY244"/>
  <c r="AX244"/>
  <c r="AW244"/>
  <c r="AV244"/>
  <c r="AC244"/>
  <c r="H244"/>
  <c r="G244"/>
  <c r="E244"/>
  <c r="BT243"/>
  <c r="BS243"/>
  <c r="BR243"/>
  <c r="BQ243"/>
  <c r="BP243"/>
  <c r="BO243"/>
  <c r="BN243"/>
  <c r="BM243"/>
  <c r="BL243"/>
  <c r="BK243"/>
  <c r="BJ243"/>
  <c r="BI243"/>
  <c r="BH243"/>
  <c r="BG243"/>
  <c r="BF243"/>
  <c r="BE243"/>
  <c r="BD243"/>
  <c r="BC243"/>
  <c r="BB243"/>
  <c r="BA243"/>
  <c r="AZ243"/>
  <c r="AY243"/>
  <c r="AX243"/>
  <c r="AW243"/>
  <c r="AV243"/>
  <c r="AC243"/>
  <c r="H243"/>
  <c r="G243"/>
  <c r="E243"/>
  <c r="BT242"/>
  <c r="BS242"/>
  <c r="BR242"/>
  <c r="BQ242"/>
  <c r="BP242"/>
  <c r="BO242"/>
  <c r="BN242"/>
  <c r="BM242"/>
  <c r="BL242"/>
  <c r="BK242"/>
  <c r="BJ242"/>
  <c r="BI242"/>
  <c r="BH242"/>
  <c r="BG242"/>
  <c r="BF242"/>
  <c r="BE242"/>
  <c r="BD242"/>
  <c r="BC242"/>
  <c r="BB242"/>
  <c r="BA242"/>
  <c r="AZ242"/>
  <c r="AY242"/>
  <c r="AX242"/>
  <c r="AW242"/>
  <c r="AV242"/>
  <c r="AC242"/>
  <c r="H242"/>
  <c r="G242"/>
  <c r="E242"/>
  <c r="BT241"/>
  <c r="BS241"/>
  <c r="BR241"/>
  <c r="BQ241"/>
  <c r="BP241"/>
  <c r="BO241"/>
  <c r="BN241"/>
  <c r="BM241"/>
  <c r="BL241"/>
  <c r="BK241"/>
  <c r="BJ241"/>
  <c r="BI241"/>
  <c r="BH241"/>
  <c r="BG241"/>
  <c r="BF241"/>
  <c r="BE241"/>
  <c r="BD241"/>
  <c r="BC241"/>
  <c r="BB241"/>
  <c r="BA241"/>
  <c r="AZ241"/>
  <c r="AY241"/>
  <c r="AX241"/>
  <c r="AW241"/>
  <c r="AV241"/>
  <c r="AC241"/>
  <c r="H241"/>
  <c r="G241"/>
  <c r="E241"/>
  <c r="BT240"/>
  <c r="BS240"/>
  <c r="BR240"/>
  <c r="BQ240"/>
  <c r="BP240"/>
  <c r="BO240"/>
  <c r="BN240"/>
  <c r="BM240"/>
  <c r="BL240"/>
  <c r="BK240"/>
  <c r="BJ240"/>
  <c r="BI240"/>
  <c r="BH240"/>
  <c r="BG240"/>
  <c r="BF240"/>
  <c r="BE240"/>
  <c r="BD240"/>
  <c r="BC240"/>
  <c r="BB240"/>
  <c r="BA240"/>
  <c r="AZ240"/>
  <c r="AY240"/>
  <c r="AX240"/>
  <c r="AW240"/>
  <c r="AV240"/>
  <c r="AC240"/>
  <c r="H240"/>
  <c r="G240"/>
  <c r="E240"/>
  <c r="BT239"/>
  <c r="BS239"/>
  <c r="BR239"/>
  <c r="BQ239"/>
  <c r="BP239"/>
  <c r="BO239"/>
  <c r="BN239"/>
  <c r="BM239"/>
  <c r="BL239"/>
  <c r="BK239"/>
  <c r="BJ239"/>
  <c r="BI239"/>
  <c r="BH239"/>
  <c r="BG239"/>
  <c r="BF239"/>
  <c r="BE239"/>
  <c r="BD239"/>
  <c r="BC239"/>
  <c r="BB239"/>
  <c r="BA239"/>
  <c r="AZ239"/>
  <c r="AY239"/>
  <c r="AX239"/>
  <c r="AW239"/>
  <c r="AV239"/>
  <c r="AC239"/>
  <c r="H239"/>
  <c r="G239"/>
  <c r="E239"/>
  <c r="BT238"/>
  <c r="BS238"/>
  <c r="BR238"/>
  <c r="BQ238"/>
  <c r="BP238"/>
  <c r="BO238"/>
  <c r="BN238"/>
  <c r="BM238"/>
  <c r="BL238"/>
  <c r="BK238"/>
  <c r="BJ238"/>
  <c r="BI238"/>
  <c r="BH238"/>
  <c r="BG238"/>
  <c r="BF238"/>
  <c r="BE238"/>
  <c r="BD238"/>
  <c r="BC238"/>
  <c r="BB238"/>
  <c r="BA238"/>
  <c r="AZ238"/>
  <c r="AY238"/>
  <c r="AX238"/>
  <c r="AW238"/>
  <c r="AV238"/>
  <c r="AC238"/>
  <c r="H238"/>
  <c r="G238"/>
  <c r="E238"/>
  <c r="BT237"/>
  <c r="BS237"/>
  <c r="BR237"/>
  <c r="BQ237"/>
  <c r="BP237"/>
  <c r="BO237"/>
  <c r="BN237"/>
  <c r="BM237"/>
  <c r="BL237"/>
  <c r="BK237"/>
  <c r="BJ237"/>
  <c r="BI237"/>
  <c r="BH237"/>
  <c r="BG237"/>
  <c r="BF237"/>
  <c r="BE237"/>
  <c r="BD237"/>
  <c r="BC237"/>
  <c r="BB237"/>
  <c r="BA237"/>
  <c r="AZ237"/>
  <c r="AY237"/>
  <c r="AX237"/>
  <c r="AW237"/>
  <c r="AV237"/>
  <c r="AC237"/>
  <c r="H237"/>
  <c r="G237"/>
  <c r="E237"/>
  <c r="BT236"/>
  <c r="BS236"/>
  <c r="BR236"/>
  <c r="BQ236"/>
  <c r="BP236"/>
  <c r="BO236"/>
  <c r="BN236"/>
  <c r="BM236"/>
  <c r="BL236"/>
  <c r="BK236"/>
  <c r="BJ236"/>
  <c r="BI236"/>
  <c r="BH236"/>
  <c r="BG236"/>
  <c r="BF236"/>
  <c r="BE236"/>
  <c r="BD236"/>
  <c r="BC236"/>
  <c r="BB236"/>
  <c r="BA236"/>
  <c r="AZ236"/>
  <c r="AY236"/>
  <c r="AX236"/>
  <c r="AW236"/>
  <c r="AV236"/>
  <c r="AC236"/>
  <c r="H236"/>
  <c r="G236"/>
  <c r="E236"/>
  <c r="BT235"/>
  <c r="BS235"/>
  <c r="BR235"/>
  <c r="BQ235"/>
  <c r="BP235"/>
  <c r="BO235"/>
  <c r="BN235"/>
  <c r="BM235"/>
  <c r="BL235"/>
  <c r="BK235"/>
  <c r="BJ235"/>
  <c r="BI235"/>
  <c r="BH235"/>
  <c r="BG235"/>
  <c r="BF235"/>
  <c r="BE235"/>
  <c r="BD235"/>
  <c r="BC235"/>
  <c r="BB235"/>
  <c r="BA235"/>
  <c r="AZ235"/>
  <c r="AY235"/>
  <c r="AX235"/>
  <c r="AW235"/>
  <c r="AV235"/>
  <c r="AC235"/>
  <c r="H235"/>
  <c r="G235"/>
  <c r="E235"/>
  <c r="BT234"/>
  <c r="BS234"/>
  <c r="BR234"/>
  <c r="BQ234"/>
  <c r="BP234"/>
  <c r="BO234"/>
  <c r="BN234"/>
  <c r="BM234"/>
  <c r="BL234"/>
  <c r="BK234"/>
  <c r="BJ234"/>
  <c r="BI234"/>
  <c r="BH234"/>
  <c r="BG234"/>
  <c r="BF234"/>
  <c r="BE234"/>
  <c r="BD234"/>
  <c r="BC234"/>
  <c r="BB234"/>
  <c r="BA234"/>
  <c r="AZ234"/>
  <c r="AY234"/>
  <c r="AX234"/>
  <c r="AW234"/>
  <c r="AV234"/>
  <c r="AC234"/>
  <c r="H234"/>
  <c r="G234"/>
  <c r="E234"/>
  <c r="BT233"/>
  <c r="BS233"/>
  <c r="BR233"/>
  <c r="BQ233"/>
  <c r="BP233"/>
  <c r="BO233"/>
  <c r="BN233"/>
  <c r="BM233"/>
  <c r="BL233"/>
  <c r="BK233"/>
  <c r="BJ233"/>
  <c r="BI233"/>
  <c r="BH233"/>
  <c r="BG233"/>
  <c r="BF233"/>
  <c r="BE233"/>
  <c r="BD233"/>
  <c r="BC233"/>
  <c r="BB233"/>
  <c r="BA233"/>
  <c r="AZ233"/>
  <c r="AY233"/>
  <c r="AX233"/>
  <c r="AW233"/>
  <c r="AV233"/>
  <c r="AC233"/>
  <c r="H233"/>
  <c r="G233"/>
  <c r="E233"/>
  <c r="BT232"/>
  <c r="BS232"/>
  <c r="BR232"/>
  <c r="BQ232"/>
  <c r="BP232"/>
  <c r="BO232"/>
  <c r="BN232"/>
  <c r="BM232"/>
  <c r="BL232"/>
  <c r="BK232"/>
  <c r="BJ232"/>
  <c r="BI232"/>
  <c r="BH232"/>
  <c r="BG232"/>
  <c r="BF232"/>
  <c r="BE232"/>
  <c r="BD232"/>
  <c r="BC232"/>
  <c r="BB232"/>
  <c r="BA232"/>
  <c r="AZ232"/>
  <c r="AY232"/>
  <c r="AX232"/>
  <c r="AW232"/>
  <c r="AV232"/>
  <c r="AC232"/>
  <c r="H232"/>
  <c r="G232"/>
  <c r="E232"/>
  <c r="BT231"/>
  <c r="BS231"/>
  <c r="BR231"/>
  <c r="BQ231"/>
  <c r="BP231"/>
  <c r="BO231"/>
  <c r="BN231"/>
  <c r="BM231"/>
  <c r="BL231"/>
  <c r="BK231"/>
  <c r="BJ231"/>
  <c r="BI231"/>
  <c r="BH231"/>
  <c r="BG231"/>
  <c r="BF231"/>
  <c r="BE231"/>
  <c r="BD231"/>
  <c r="BC231"/>
  <c r="BB231"/>
  <c r="BA231"/>
  <c r="AZ231"/>
  <c r="AY231"/>
  <c r="AX231"/>
  <c r="AW231"/>
  <c r="AV231"/>
  <c r="AC231"/>
  <c r="H231"/>
  <c r="G231"/>
  <c r="E231"/>
  <c r="BT230"/>
  <c r="BS230"/>
  <c r="BR230"/>
  <c r="BQ230"/>
  <c r="BP230"/>
  <c r="BO230"/>
  <c r="BN230"/>
  <c r="BM230"/>
  <c r="BL230"/>
  <c r="BK230"/>
  <c r="BJ230"/>
  <c r="BI230"/>
  <c r="BH230"/>
  <c r="BG230"/>
  <c r="BF230"/>
  <c r="BE230"/>
  <c r="BD230"/>
  <c r="BC230"/>
  <c r="BB230"/>
  <c r="BA230"/>
  <c r="AZ230"/>
  <c r="AY230"/>
  <c r="AX230"/>
  <c r="AW230"/>
  <c r="AV230"/>
  <c r="AC230"/>
  <c r="H230"/>
  <c r="G230"/>
  <c r="E230"/>
  <c r="BT229"/>
  <c r="BS229"/>
  <c r="BR229"/>
  <c r="BQ229"/>
  <c r="BP229"/>
  <c r="BO229"/>
  <c r="BN229"/>
  <c r="BM229"/>
  <c r="BL229"/>
  <c r="BK229"/>
  <c r="BJ229"/>
  <c r="BI229"/>
  <c r="BH229"/>
  <c r="BG229"/>
  <c r="BF229"/>
  <c r="BE229"/>
  <c r="BD229"/>
  <c r="BC229"/>
  <c r="BB229"/>
  <c r="BA229"/>
  <c r="AZ229"/>
  <c r="AY229"/>
  <c r="AX229"/>
  <c r="AW229"/>
  <c r="AV229"/>
  <c r="AC229"/>
  <c r="H229"/>
  <c r="G229"/>
  <c r="E229"/>
  <c r="BT228"/>
  <c r="BS228"/>
  <c r="BR228"/>
  <c r="BQ228"/>
  <c r="BP228"/>
  <c r="BO228"/>
  <c r="BN228"/>
  <c r="BM228"/>
  <c r="BL228"/>
  <c r="BK228"/>
  <c r="BJ228"/>
  <c r="BI228"/>
  <c r="BH228"/>
  <c r="BG228"/>
  <c r="BF228"/>
  <c r="BE228"/>
  <c r="BD228"/>
  <c r="BC228"/>
  <c r="BB228"/>
  <c r="BA228"/>
  <c r="AZ228"/>
  <c r="AY228"/>
  <c r="AX228"/>
  <c r="AW228"/>
  <c r="AV228"/>
  <c r="AC228"/>
  <c r="H228"/>
  <c r="G228"/>
  <c r="E228"/>
  <c r="BT227"/>
  <c r="BS227"/>
  <c r="BR227"/>
  <c r="BQ227"/>
  <c r="BP227"/>
  <c r="BO227"/>
  <c r="BN227"/>
  <c r="BM227"/>
  <c r="BL227"/>
  <c r="BK227"/>
  <c r="BJ227"/>
  <c r="BI227"/>
  <c r="BH227"/>
  <c r="BG227"/>
  <c r="BF227"/>
  <c r="BE227"/>
  <c r="BD227"/>
  <c r="BC227"/>
  <c r="BB227"/>
  <c r="BA227"/>
  <c r="AZ227"/>
  <c r="AY227"/>
  <c r="AX227"/>
  <c r="AW227"/>
  <c r="AV227"/>
  <c r="AC227"/>
  <c r="H227"/>
  <c r="G227"/>
  <c r="E227"/>
  <c r="BT226"/>
  <c r="BS226"/>
  <c r="BR226"/>
  <c r="BQ226"/>
  <c r="BP226"/>
  <c r="BO226"/>
  <c r="BN226"/>
  <c r="BM226"/>
  <c r="BL226"/>
  <c r="BK226"/>
  <c r="BJ226"/>
  <c r="BI226"/>
  <c r="BH226"/>
  <c r="BG226"/>
  <c r="BF226"/>
  <c r="BE226"/>
  <c r="BD226"/>
  <c r="BC226"/>
  <c r="BB226"/>
  <c r="BA226"/>
  <c r="AZ226"/>
  <c r="AY226"/>
  <c r="AX226"/>
  <c r="AW226"/>
  <c r="AV226"/>
  <c r="AC226"/>
  <c r="H226"/>
  <c r="G226"/>
  <c r="E226"/>
  <c r="BT225"/>
  <c r="BS225"/>
  <c r="BR225"/>
  <c r="BQ225"/>
  <c r="BP225"/>
  <c r="BO225"/>
  <c r="BN225"/>
  <c r="BM225"/>
  <c r="BL225"/>
  <c r="BK225"/>
  <c r="BJ225"/>
  <c r="BI225"/>
  <c r="BH225"/>
  <c r="BG225"/>
  <c r="BF225"/>
  <c r="BE225"/>
  <c r="BD225"/>
  <c r="BC225"/>
  <c r="BB225"/>
  <c r="BA225"/>
  <c r="AZ225"/>
  <c r="AY225"/>
  <c r="AX225"/>
  <c r="AW225"/>
  <c r="AV225"/>
  <c r="AC225"/>
  <c r="H225"/>
  <c r="G225"/>
  <c r="E225"/>
  <c r="BT224"/>
  <c r="BS224"/>
  <c r="BR224"/>
  <c r="BQ224"/>
  <c r="BP224"/>
  <c r="BO224"/>
  <c r="BN224"/>
  <c r="BM224"/>
  <c r="BL224"/>
  <c r="BK224"/>
  <c r="BJ224"/>
  <c r="BI224"/>
  <c r="BH224"/>
  <c r="BG224"/>
  <c r="BF224"/>
  <c r="BE224"/>
  <c r="BD224"/>
  <c r="BC224"/>
  <c r="BB224"/>
  <c r="BA224"/>
  <c r="AZ224"/>
  <c r="AY224"/>
  <c r="AX224"/>
  <c r="AW224"/>
  <c r="AV224"/>
  <c r="AC224"/>
  <c r="H224"/>
  <c r="G224"/>
  <c r="E224"/>
  <c r="BT223"/>
  <c r="BS223"/>
  <c r="BR223"/>
  <c r="BQ223"/>
  <c r="BP223"/>
  <c r="BO223"/>
  <c r="BN223"/>
  <c r="BM223"/>
  <c r="BL223"/>
  <c r="BK223"/>
  <c r="BJ223"/>
  <c r="BI223"/>
  <c r="BH223"/>
  <c r="BG223"/>
  <c r="BF223"/>
  <c r="BE223"/>
  <c r="BD223"/>
  <c r="BC223"/>
  <c r="BB223"/>
  <c r="BA223"/>
  <c r="AZ223"/>
  <c r="AY223"/>
  <c r="AX223"/>
  <c r="AW223"/>
  <c r="AV223"/>
  <c r="AC223"/>
  <c r="H223"/>
  <c r="G223"/>
  <c r="E223"/>
  <c r="BT222"/>
  <c r="BS222"/>
  <c r="BR222"/>
  <c r="BQ222"/>
  <c r="BP222"/>
  <c r="BO222"/>
  <c r="BN222"/>
  <c r="BM222"/>
  <c r="BL222"/>
  <c r="BK222"/>
  <c r="BJ222"/>
  <c r="BI222"/>
  <c r="BH222"/>
  <c r="BG222"/>
  <c r="BF222"/>
  <c r="BE222"/>
  <c r="BD222"/>
  <c r="BC222"/>
  <c r="BB222"/>
  <c r="BA222"/>
  <c r="AZ222"/>
  <c r="AY222"/>
  <c r="AX222"/>
  <c r="AW222"/>
  <c r="AV222"/>
  <c r="AC222"/>
  <c r="H222"/>
  <c r="G222"/>
  <c r="E222"/>
  <c r="BT221"/>
  <c r="BS221"/>
  <c r="BR221"/>
  <c r="BQ221"/>
  <c r="BP221"/>
  <c r="BO221"/>
  <c r="BN221"/>
  <c r="BM221"/>
  <c r="BL221"/>
  <c r="BK221"/>
  <c r="BJ221"/>
  <c r="BI221"/>
  <c r="BH221"/>
  <c r="BG221"/>
  <c r="BF221"/>
  <c r="BE221"/>
  <c r="BD221"/>
  <c r="BC221"/>
  <c r="BB221"/>
  <c r="BA221"/>
  <c r="AZ221"/>
  <c r="AY221"/>
  <c r="AX221"/>
  <c r="AW221"/>
  <c r="AV221"/>
  <c r="AC221"/>
  <c r="H221"/>
  <c r="G221"/>
  <c r="E221"/>
  <c r="BT220"/>
  <c r="BS220"/>
  <c r="BR220"/>
  <c r="BQ220"/>
  <c r="BP220"/>
  <c r="BO220"/>
  <c r="BN220"/>
  <c r="BM220"/>
  <c r="BL220"/>
  <c r="BK220"/>
  <c r="BJ220"/>
  <c r="BI220"/>
  <c r="BH220"/>
  <c r="BG220"/>
  <c r="BF220"/>
  <c r="BE220"/>
  <c r="BD220"/>
  <c r="BC220"/>
  <c r="BB220"/>
  <c r="BA220"/>
  <c r="AZ220"/>
  <c r="AY220"/>
  <c r="AX220"/>
  <c r="AW220"/>
  <c r="AV220"/>
  <c r="AC220"/>
  <c r="H220"/>
  <c r="G220"/>
  <c r="E220"/>
  <c r="BT219"/>
  <c r="BS219"/>
  <c r="BR219"/>
  <c r="BQ219"/>
  <c r="BP219"/>
  <c r="BO219"/>
  <c r="BN219"/>
  <c r="BM219"/>
  <c r="BL219"/>
  <c r="BK219"/>
  <c r="BJ219"/>
  <c r="BI219"/>
  <c r="BH219"/>
  <c r="BG219"/>
  <c r="BF219"/>
  <c r="BE219"/>
  <c r="BD219"/>
  <c r="BC219"/>
  <c r="BB219"/>
  <c r="BA219"/>
  <c r="AZ219"/>
  <c r="AY219"/>
  <c r="AX219"/>
  <c r="AW219"/>
  <c r="AV219"/>
  <c r="AC219"/>
  <c r="H219"/>
  <c r="G219"/>
  <c r="E219"/>
  <c r="BT218"/>
  <c r="BS218"/>
  <c r="BR218"/>
  <c r="BQ218"/>
  <c r="BP218"/>
  <c r="BO218"/>
  <c r="BN218"/>
  <c r="BM218"/>
  <c r="BL218"/>
  <c r="BK218"/>
  <c r="BJ218"/>
  <c r="BI218"/>
  <c r="BH218"/>
  <c r="BG218"/>
  <c r="BF218"/>
  <c r="BE218"/>
  <c r="BD218"/>
  <c r="BC218"/>
  <c r="BB218"/>
  <c r="BA218"/>
  <c r="AZ218"/>
  <c r="AY218"/>
  <c r="AX218"/>
  <c r="AW218"/>
  <c r="AV218"/>
  <c r="AC218"/>
  <c r="H218"/>
  <c r="G218"/>
  <c r="E218"/>
  <c r="BT217"/>
  <c r="BS217"/>
  <c r="BR217"/>
  <c r="BQ217"/>
  <c r="BP217"/>
  <c r="BO217"/>
  <c r="BN217"/>
  <c r="BM217"/>
  <c r="BL217"/>
  <c r="BK217"/>
  <c r="BJ217"/>
  <c r="BI217"/>
  <c r="BH217"/>
  <c r="BG217"/>
  <c r="BF217"/>
  <c r="BE217"/>
  <c r="BD217"/>
  <c r="BC217"/>
  <c r="BB217"/>
  <c r="BA217"/>
  <c r="AZ217"/>
  <c r="AY217"/>
  <c r="AX217"/>
  <c r="AW217"/>
  <c r="AV217"/>
  <c r="AC217"/>
  <c r="H217"/>
  <c r="G217"/>
  <c r="E217"/>
  <c r="BT216"/>
  <c r="BS216"/>
  <c r="BR216"/>
  <c r="BQ216"/>
  <c r="BP216"/>
  <c r="BO216"/>
  <c r="BN216"/>
  <c r="BM216"/>
  <c r="BL216"/>
  <c r="BK216"/>
  <c r="BJ216"/>
  <c r="BI216"/>
  <c r="BH216"/>
  <c r="BG216"/>
  <c r="BF216"/>
  <c r="BE216"/>
  <c r="BD216"/>
  <c r="BC216"/>
  <c r="BB216"/>
  <c r="BA216"/>
  <c r="AZ216"/>
  <c r="AY216"/>
  <c r="AX216"/>
  <c r="AW216"/>
  <c r="AV216"/>
  <c r="AC216"/>
  <c r="H216"/>
  <c r="G216"/>
  <c r="E216"/>
  <c r="BT215"/>
  <c r="BS215"/>
  <c r="BR215"/>
  <c r="BQ215"/>
  <c r="BP215"/>
  <c r="BO215"/>
  <c r="BN215"/>
  <c r="BM215"/>
  <c r="BL215"/>
  <c r="BK215"/>
  <c r="BJ215"/>
  <c r="BI215"/>
  <c r="BH215"/>
  <c r="BG215"/>
  <c r="BF215"/>
  <c r="BE215"/>
  <c r="BD215"/>
  <c r="BC215"/>
  <c r="BB215"/>
  <c r="BA215"/>
  <c r="AZ215"/>
  <c r="AY215"/>
  <c r="AX215"/>
  <c r="AW215"/>
  <c r="AV215"/>
  <c r="AC215"/>
  <c r="H215"/>
  <c r="G215"/>
  <c r="E215"/>
  <c r="BT214"/>
  <c r="BS214"/>
  <c r="BR214"/>
  <c r="BQ214"/>
  <c r="BP214"/>
  <c r="BO214"/>
  <c r="BN214"/>
  <c r="BM214"/>
  <c r="BL214"/>
  <c r="BK214"/>
  <c r="BJ214"/>
  <c r="BI214"/>
  <c r="BH214"/>
  <c r="BG214"/>
  <c r="BF214"/>
  <c r="BE214"/>
  <c r="BD214"/>
  <c r="BC214"/>
  <c r="BB214"/>
  <c r="BA214"/>
  <c r="AZ214"/>
  <c r="AY214"/>
  <c r="AX214"/>
  <c r="AW214"/>
  <c r="AV214"/>
  <c r="AC214"/>
  <c r="H214"/>
  <c r="G214"/>
  <c r="E214"/>
  <c r="BT213"/>
  <c r="BS213"/>
  <c r="BR213"/>
  <c r="BQ213"/>
  <c r="BP213"/>
  <c r="BO213"/>
  <c r="BN213"/>
  <c r="BM213"/>
  <c r="BL213"/>
  <c r="BK213"/>
  <c r="BJ213"/>
  <c r="BI213"/>
  <c r="BH213"/>
  <c r="BG213"/>
  <c r="BF213"/>
  <c r="BE213"/>
  <c r="BD213"/>
  <c r="BC213"/>
  <c r="BB213"/>
  <c r="BA213"/>
  <c r="AZ213"/>
  <c r="AY213"/>
  <c r="AX213"/>
  <c r="AW213"/>
  <c r="AV213"/>
  <c r="AC213"/>
  <c r="H213"/>
  <c r="G213"/>
  <c r="E213"/>
  <c r="BT212"/>
  <c r="BS212"/>
  <c r="BR212"/>
  <c r="BQ212"/>
  <c r="BP212"/>
  <c r="BO212"/>
  <c r="BN212"/>
  <c r="BM212"/>
  <c r="BL212"/>
  <c r="BK212"/>
  <c r="BJ212"/>
  <c r="BI212"/>
  <c r="BH212"/>
  <c r="BG212"/>
  <c r="BF212"/>
  <c r="BE212"/>
  <c r="BD212"/>
  <c r="BC212"/>
  <c r="BB212"/>
  <c r="BA212"/>
  <c r="AZ212"/>
  <c r="AY212"/>
  <c r="AX212"/>
  <c r="AW212"/>
  <c r="AV212"/>
  <c r="AC212"/>
  <c r="H212"/>
  <c r="G212"/>
  <c r="E212"/>
  <c r="BT211"/>
  <c r="BS211"/>
  <c r="BR211"/>
  <c r="BQ211"/>
  <c r="BP211"/>
  <c r="BO211"/>
  <c r="BN211"/>
  <c r="BM211"/>
  <c r="BL211"/>
  <c r="BK211"/>
  <c r="BJ211"/>
  <c r="BI211"/>
  <c r="BH211"/>
  <c r="BG211"/>
  <c r="BF211"/>
  <c r="BE211"/>
  <c r="BD211"/>
  <c r="BC211"/>
  <c r="BB211"/>
  <c r="BA211"/>
  <c r="AZ211"/>
  <c r="AY211"/>
  <c r="AX211"/>
  <c r="AW211"/>
  <c r="AV211"/>
  <c r="AC211"/>
  <c r="H211"/>
  <c r="G211"/>
  <c r="E211"/>
  <c r="BT210"/>
  <c r="BS210"/>
  <c r="BR210"/>
  <c r="BQ210"/>
  <c r="BP210"/>
  <c r="BO210"/>
  <c r="BN210"/>
  <c r="BM210"/>
  <c r="BL210"/>
  <c r="BK210"/>
  <c r="BJ210"/>
  <c r="BI210"/>
  <c r="BH210"/>
  <c r="BG210"/>
  <c r="BF210"/>
  <c r="BE210"/>
  <c r="BD210"/>
  <c r="BC210"/>
  <c r="BB210"/>
  <c r="BA210"/>
  <c r="AZ210"/>
  <c r="AY210"/>
  <c r="AX210"/>
  <c r="AW210"/>
  <c r="AV210"/>
  <c r="AC210"/>
  <c r="H210"/>
  <c r="G210"/>
  <c r="E210"/>
  <c r="BT209"/>
  <c r="BS209"/>
  <c r="BR209"/>
  <c r="BQ209"/>
  <c r="BP209"/>
  <c r="BO209"/>
  <c r="BN209"/>
  <c r="BM209"/>
  <c r="BL209"/>
  <c r="BK209"/>
  <c r="BJ209"/>
  <c r="BI209"/>
  <c r="BH209"/>
  <c r="BG209"/>
  <c r="BF209"/>
  <c r="BE209"/>
  <c r="BD209"/>
  <c r="BC209"/>
  <c r="BB209"/>
  <c r="BA209"/>
  <c r="AZ209"/>
  <c r="AY209"/>
  <c r="AX209"/>
  <c r="AW209"/>
  <c r="AV209"/>
  <c r="AC209"/>
  <c r="H209"/>
  <c r="G209"/>
  <c r="E209"/>
  <c r="BT208"/>
  <c r="BS208"/>
  <c r="BR208"/>
  <c r="BQ208"/>
  <c r="BP208"/>
  <c r="BO208"/>
  <c r="BN208"/>
  <c r="BM208"/>
  <c r="BL208"/>
  <c r="BK208"/>
  <c r="BJ208"/>
  <c r="BI208"/>
  <c r="BH208"/>
  <c r="BG208"/>
  <c r="BF208"/>
  <c r="BE208"/>
  <c r="BD208"/>
  <c r="BC208"/>
  <c r="BB208"/>
  <c r="BA208"/>
  <c r="AZ208"/>
  <c r="AY208"/>
  <c r="AX208"/>
  <c r="AW208"/>
  <c r="AV208"/>
  <c r="AC208"/>
  <c r="H208"/>
  <c r="G208"/>
  <c r="E208"/>
  <c r="BT207"/>
  <c r="BS207"/>
  <c r="BR207"/>
  <c r="BQ207"/>
  <c r="BP207"/>
  <c r="BO207"/>
  <c r="BN207"/>
  <c r="BM207"/>
  <c r="BL207"/>
  <c r="BK207"/>
  <c r="BJ207"/>
  <c r="BI207"/>
  <c r="BH207"/>
  <c r="BG207"/>
  <c r="BF207"/>
  <c r="BE207"/>
  <c r="BD207"/>
  <c r="BC207"/>
  <c r="BB207"/>
  <c r="BA207"/>
  <c r="AZ207"/>
  <c r="AY207"/>
  <c r="AX207"/>
  <c r="AW207"/>
  <c r="AV207"/>
  <c r="AC207"/>
  <c r="H207"/>
  <c r="G207"/>
  <c r="E207"/>
  <c r="BT206"/>
  <c r="BS206"/>
  <c r="BR206"/>
  <c r="BQ206"/>
  <c r="BP206"/>
  <c r="BO206"/>
  <c r="BN206"/>
  <c r="BM206"/>
  <c r="BL206"/>
  <c r="BK206"/>
  <c r="BJ206"/>
  <c r="BI206"/>
  <c r="BH206"/>
  <c r="BG206"/>
  <c r="BF206"/>
  <c r="BE206"/>
  <c r="BD206"/>
  <c r="BC206"/>
  <c r="BB206"/>
  <c r="BA206"/>
  <c r="AZ206"/>
  <c r="AY206"/>
  <c r="AX206"/>
  <c r="AW206"/>
  <c r="AV206"/>
  <c r="AC206"/>
  <c r="H206"/>
  <c r="G206"/>
  <c r="E206"/>
  <c r="BT205"/>
  <c r="BS205"/>
  <c r="BR205"/>
  <c r="BQ205"/>
  <c r="BP205"/>
  <c r="BO205"/>
  <c r="BN205"/>
  <c r="BM205"/>
  <c r="BL205"/>
  <c r="BK205"/>
  <c r="BJ205"/>
  <c r="BI205"/>
  <c r="BH205"/>
  <c r="BG205"/>
  <c r="BF205"/>
  <c r="BE205"/>
  <c r="BD205"/>
  <c r="BC205"/>
  <c r="BB205"/>
  <c r="BA205"/>
  <c r="AZ205"/>
  <c r="AY205"/>
  <c r="AX205"/>
  <c r="AW205"/>
  <c r="AV205"/>
  <c r="AC205"/>
  <c r="H205"/>
  <c r="G205"/>
  <c r="E205"/>
  <c r="BT204"/>
  <c r="BS204"/>
  <c r="BR204"/>
  <c r="BQ204"/>
  <c r="BP204"/>
  <c r="BO204"/>
  <c r="BN204"/>
  <c r="BM204"/>
  <c r="BL204"/>
  <c r="BK204"/>
  <c r="BJ204"/>
  <c r="BI204"/>
  <c r="BH204"/>
  <c r="BG204"/>
  <c r="BF204"/>
  <c r="BE204"/>
  <c r="BD204"/>
  <c r="BC204"/>
  <c r="BB204"/>
  <c r="BA204"/>
  <c r="AZ204"/>
  <c r="AY204"/>
  <c r="AX204"/>
  <c r="AW204"/>
  <c r="AV204"/>
  <c r="AC204"/>
  <c r="H204"/>
  <c r="G204"/>
  <c r="E204"/>
  <c r="BT203"/>
  <c r="BS203"/>
  <c r="BR203"/>
  <c r="BQ203"/>
  <c r="BP203"/>
  <c r="BO203"/>
  <c r="BN203"/>
  <c r="BM203"/>
  <c r="BL203"/>
  <c r="BK203"/>
  <c r="BJ203"/>
  <c r="BI203"/>
  <c r="BH203"/>
  <c r="BG203"/>
  <c r="BF203"/>
  <c r="BE203"/>
  <c r="BD203"/>
  <c r="BC203"/>
  <c r="BB203"/>
  <c r="BA203"/>
  <c r="AZ203"/>
  <c r="AY203"/>
  <c r="AX203"/>
  <c r="AW203"/>
  <c r="AV203"/>
  <c r="AC203"/>
  <c r="H203"/>
  <c r="G203"/>
  <c r="E203"/>
  <c r="BT202"/>
  <c r="BS202"/>
  <c r="BR202"/>
  <c r="BQ202"/>
  <c r="BP202"/>
  <c r="BO202"/>
  <c r="BN202"/>
  <c r="BM202"/>
  <c r="BL202"/>
  <c r="BK202"/>
  <c r="BJ202"/>
  <c r="BI202"/>
  <c r="BH202"/>
  <c r="BG202"/>
  <c r="BF202"/>
  <c r="BE202"/>
  <c r="BD202"/>
  <c r="BC202"/>
  <c r="BB202"/>
  <c r="BA202"/>
  <c r="AZ202"/>
  <c r="AY202"/>
  <c r="AX202"/>
  <c r="AW202"/>
  <c r="AV202"/>
  <c r="AC202"/>
  <c r="H202"/>
  <c r="G202"/>
  <c r="E202"/>
  <c r="BT201"/>
  <c r="BS201"/>
  <c r="BR201"/>
  <c r="BQ201"/>
  <c r="BP201"/>
  <c r="BO201"/>
  <c r="BN201"/>
  <c r="BM201"/>
  <c r="BL201"/>
  <c r="BK201"/>
  <c r="BJ201"/>
  <c r="BI201"/>
  <c r="BH201"/>
  <c r="BG201"/>
  <c r="BF201"/>
  <c r="BE201"/>
  <c r="BD201"/>
  <c r="BC201"/>
  <c r="BB201"/>
  <c r="BA201"/>
  <c r="AZ201"/>
  <c r="AY201"/>
  <c r="AX201"/>
  <c r="AW201"/>
  <c r="AV201"/>
  <c r="AC201"/>
  <c r="H201"/>
  <c r="G201"/>
  <c r="E201"/>
  <c r="BT200"/>
  <c r="BS200"/>
  <c r="BR200"/>
  <c r="BQ200"/>
  <c r="BP200"/>
  <c r="BO200"/>
  <c r="BN200"/>
  <c r="BM200"/>
  <c r="BL200"/>
  <c r="BK200"/>
  <c r="BJ200"/>
  <c r="BI200"/>
  <c r="BH200"/>
  <c r="BG200"/>
  <c r="BF200"/>
  <c r="BE200"/>
  <c r="BD200"/>
  <c r="BC200"/>
  <c r="BB200"/>
  <c r="BA200"/>
  <c r="AZ200"/>
  <c r="AY200"/>
  <c r="AX200"/>
  <c r="AW200"/>
  <c r="AV200"/>
  <c r="AC200"/>
  <c r="H200"/>
  <c r="G200"/>
  <c r="E200"/>
  <c r="BT199"/>
  <c r="BS199"/>
  <c r="BR199"/>
  <c r="BQ199"/>
  <c r="BP199"/>
  <c r="BO199"/>
  <c r="BN199"/>
  <c r="BM199"/>
  <c r="BL199"/>
  <c r="BK199"/>
  <c r="BJ199"/>
  <c r="BI199"/>
  <c r="BH199"/>
  <c r="BG199"/>
  <c r="BF199"/>
  <c r="BE199"/>
  <c r="BD199"/>
  <c r="BC199"/>
  <c r="BB199"/>
  <c r="BA199"/>
  <c r="AZ199"/>
  <c r="AY199"/>
  <c r="AX199"/>
  <c r="AW199"/>
  <c r="AV199"/>
  <c r="AC199"/>
  <c r="H199"/>
  <c r="G199"/>
  <c r="E199"/>
  <c r="BT198"/>
  <c r="BS198"/>
  <c r="BR198"/>
  <c r="BQ198"/>
  <c r="BP198"/>
  <c r="BO198"/>
  <c r="BN198"/>
  <c r="BM198"/>
  <c r="BL198"/>
  <c r="BK198"/>
  <c r="BJ198"/>
  <c r="BI198"/>
  <c r="BH198"/>
  <c r="BG198"/>
  <c r="BF198"/>
  <c r="BE198"/>
  <c r="BD198"/>
  <c r="BC198"/>
  <c r="BB198"/>
  <c r="BA198"/>
  <c r="AZ198"/>
  <c r="AY198"/>
  <c r="AX198"/>
  <c r="AW198"/>
  <c r="AV198"/>
  <c r="AC198"/>
  <c r="H198"/>
  <c r="G198"/>
  <c r="E198"/>
  <c r="BT197"/>
  <c r="BS197"/>
  <c r="BR197"/>
  <c r="BQ197"/>
  <c r="BP197"/>
  <c r="BO197"/>
  <c r="BN197"/>
  <c r="BM197"/>
  <c r="BL197"/>
  <c r="BK197"/>
  <c r="BJ197"/>
  <c r="BI197"/>
  <c r="BH197"/>
  <c r="BG197"/>
  <c r="BF197"/>
  <c r="BE197"/>
  <c r="BD197"/>
  <c r="BC197"/>
  <c r="BB197"/>
  <c r="BA197"/>
  <c r="AZ197"/>
  <c r="AY197"/>
  <c r="AX197"/>
  <c r="AW197"/>
  <c r="AV197"/>
  <c r="AC197"/>
  <c r="H197"/>
  <c r="G197"/>
  <c r="E197"/>
  <c r="BT196"/>
  <c r="BS196"/>
  <c r="BR196"/>
  <c r="BQ196"/>
  <c r="BP196"/>
  <c r="BO196"/>
  <c r="BN196"/>
  <c r="BM196"/>
  <c r="BL196"/>
  <c r="BK196"/>
  <c r="BJ196"/>
  <c r="BI196"/>
  <c r="BH196"/>
  <c r="BG196"/>
  <c r="BF196"/>
  <c r="BE196"/>
  <c r="BD196"/>
  <c r="BC196"/>
  <c r="BB196"/>
  <c r="BA196"/>
  <c r="AZ196"/>
  <c r="AY196"/>
  <c r="AX196"/>
  <c r="AW196"/>
  <c r="AV196"/>
  <c r="AC196"/>
  <c r="H196"/>
  <c r="G196"/>
  <c r="E196"/>
  <c r="BT195"/>
  <c r="BS195"/>
  <c r="BR195"/>
  <c r="BQ195"/>
  <c r="BP195"/>
  <c r="BO195"/>
  <c r="BN195"/>
  <c r="BM195"/>
  <c r="BL195"/>
  <c r="BK195"/>
  <c r="BJ195"/>
  <c r="BI195"/>
  <c r="BH195"/>
  <c r="BG195"/>
  <c r="BF195"/>
  <c r="BE195"/>
  <c r="BD195"/>
  <c r="BC195"/>
  <c r="BB195"/>
  <c r="BA195"/>
  <c r="AZ195"/>
  <c r="AY195"/>
  <c r="AX195"/>
  <c r="AW195"/>
  <c r="AV195"/>
  <c r="AC195"/>
  <c r="H195"/>
  <c r="G195"/>
  <c r="E195"/>
  <c r="BT194"/>
  <c r="BS194"/>
  <c r="BR194"/>
  <c r="BQ194"/>
  <c r="BP194"/>
  <c r="BO194"/>
  <c r="BN194"/>
  <c r="BM194"/>
  <c r="BL194"/>
  <c r="BK194"/>
  <c r="BJ194"/>
  <c r="BI194"/>
  <c r="BH194"/>
  <c r="BG194"/>
  <c r="BF194"/>
  <c r="BE194"/>
  <c r="BD194"/>
  <c r="BC194"/>
  <c r="BB194"/>
  <c r="BA194"/>
  <c r="AZ194"/>
  <c r="AY194"/>
  <c r="AX194"/>
  <c r="AW194"/>
  <c r="AV194"/>
  <c r="AC194"/>
  <c r="H194"/>
  <c r="G194"/>
  <c r="E194"/>
  <c r="BT193"/>
  <c r="BS193"/>
  <c r="BR193"/>
  <c r="BQ193"/>
  <c r="BP193"/>
  <c r="BO193"/>
  <c r="BN193"/>
  <c r="BM193"/>
  <c r="BL193"/>
  <c r="BK193"/>
  <c r="BJ193"/>
  <c r="BI193"/>
  <c r="BH193"/>
  <c r="BG193"/>
  <c r="BF193"/>
  <c r="BE193"/>
  <c r="BD193"/>
  <c r="BC193"/>
  <c r="BB193"/>
  <c r="BA193"/>
  <c r="AZ193"/>
  <c r="AY193"/>
  <c r="AX193"/>
  <c r="AW193"/>
  <c r="AV193"/>
  <c r="AC193"/>
  <c r="H193"/>
  <c r="G193"/>
  <c r="E193"/>
  <c r="BT192"/>
  <c r="BS192"/>
  <c r="BR192"/>
  <c r="BQ192"/>
  <c r="BP192"/>
  <c r="BO192"/>
  <c r="BN192"/>
  <c r="BM192"/>
  <c r="BL192"/>
  <c r="BK192"/>
  <c r="BJ192"/>
  <c r="BI192"/>
  <c r="BH192"/>
  <c r="BG192"/>
  <c r="BF192"/>
  <c r="BE192"/>
  <c r="BD192"/>
  <c r="BC192"/>
  <c r="BB192"/>
  <c r="BA192"/>
  <c r="AZ192"/>
  <c r="AY192"/>
  <c r="AX192"/>
  <c r="AW192"/>
  <c r="AV192"/>
  <c r="AC192"/>
  <c r="H192"/>
  <c r="G192"/>
  <c r="E192"/>
  <c r="BT191"/>
  <c r="BS191"/>
  <c r="BR191"/>
  <c r="BQ191"/>
  <c r="BP191"/>
  <c r="BO191"/>
  <c r="BN191"/>
  <c r="BM191"/>
  <c r="BL191"/>
  <c r="BK191"/>
  <c r="BJ191"/>
  <c r="BI191"/>
  <c r="BH191"/>
  <c r="BG191"/>
  <c r="BF191"/>
  <c r="BE191"/>
  <c r="BD191"/>
  <c r="BC191"/>
  <c r="BB191"/>
  <c r="BA191"/>
  <c r="AZ191"/>
  <c r="AY191"/>
  <c r="AX191"/>
  <c r="AW191"/>
  <c r="AV191"/>
  <c r="AC191"/>
  <c r="H191"/>
  <c r="G191"/>
  <c r="E191"/>
  <c r="BT190"/>
  <c r="BS190"/>
  <c r="BR190"/>
  <c r="BQ190"/>
  <c r="BP190"/>
  <c r="BO190"/>
  <c r="BN190"/>
  <c r="BM190"/>
  <c r="BL190"/>
  <c r="BK190"/>
  <c r="BJ190"/>
  <c r="BI190"/>
  <c r="BH190"/>
  <c r="BG190"/>
  <c r="BF190"/>
  <c r="BE190"/>
  <c r="BD190"/>
  <c r="BC190"/>
  <c r="BB190"/>
  <c r="BA190"/>
  <c r="AZ190"/>
  <c r="AY190"/>
  <c r="AX190"/>
  <c r="AW190"/>
  <c r="AV190"/>
  <c r="AC190"/>
  <c r="H190"/>
  <c r="G190"/>
  <c r="E190"/>
  <c r="BT189"/>
  <c r="BS189"/>
  <c r="BR189"/>
  <c r="BQ189"/>
  <c r="BP189"/>
  <c r="BO189"/>
  <c r="BN189"/>
  <c r="BM189"/>
  <c r="BL189"/>
  <c r="BK189"/>
  <c r="BJ189"/>
  <c r="BI189"/>
  <c r="BH189"/>
  <c r="BG189"/>
  <c r="BF189"/>
  <c r="BE189"/>
  <c r="BD189"/>
  <c r="BC189"/>
  <c r="BB189"/>
  <c r="BA189"/>
  <c r="AZ189"/>
  <c r="AY189"/>
  <c r="AX189"/>
  <c r="AW189"/>
  <c r="AV189"/>
  <c r="AC189"/>
  <c r="H189"/>
  <c r="G189"/>
  <c r="E189"/>
  <c r="BT188"/>
  <c r="BS188"/>
  <c r="BR188"/>
  <c r="BQ188"/>
  <c r="BP188"/>
  <c r="BO188"/>
  <c r="BN188"/>
  <c r="BM188"/>
  <c r="BL188"/>
  <c r="BK188"/>
  <c r="BJ188"/>
  <c r="BI188"/>
  <c r="BH188"/>
  <c r="BG188"/>
  <c r="BF188"/>
  <c r="BE188"/>
  <c r="BD188"/>
  <c r="BC188"/>
  <c r="BB188"/>
  <c r="BA188"/>
  <c r="AZ188"/>
  <c r="AY188"/>
  <c r="AX188"/>
  <c r="AW188"/>
  <c r="AV188"/>
  <c r="AC188"/>
  <c r="H188"/>
  <c r="G188"/>
  <c r="E188"/>
  <c r="BT187"/>
  <c r="BS187"/>
  <c r="BR187"/>
  <c r="BQ187"/>
  <c r="BP187"/>
  <c r="BO187"/>
  <c r="BN187"/>
  <c r="BM187"/>
  <c r="BL187"/>
  <c r="BK187"/>
  <c r="BJ187"/>
  <c r="BI187"/>
  <c r="BH187"/>
  <c r="BG187"/>
  <c r="BF187"/>
  <c r="BE187"/>
  <c r="BD187"/>
  <c r="BC187"/>
  <c r="BB187"/>
  <c r="BA187"/>
  <c r="AZ187"/>
  <c r="AY187"/>
  <c r="AX187"/>
  <c r="AW187"/>
  <c r="AV187"/>
  <c r="AC187"/>
  <c r="H187"/>
  <c r="G187"/>
  <c r="E187"/>
  <c r="BT186"/>
  <c r="BS186"/>
  <c r="BR186"/>
  <c r="BQ186"/>
  <c r="BP186"/>
  <c r="BO186"/>
  <c r="BN186"/>
  <c r="BM186"/>
  <c r="BL186"/>
  <c r="BK186"/>
  <c r="BJ186"/>
  <c r="BI186"/>
  <c r="BH186"/>
  <c r="BG186"/>
  <c r="BF186"/>
  <c r="BE186"/>
  <c r="BD186"/>
  <c r="BC186"/>
  <c r="BB186"/>
  <c r="BA186"/>
  <c r="AZ186"/>
  <c r="AY186"/>
  <c r="AX186"/>
  <c r="AW186"/>
  <c r="AV186"/>
  <c r="AC186"/>
  <c r="H186"/>
  <c r="G186"/>
  <c r="E186"/>
  <c r="BT185"/>
  <c r="BS185"/>
  <c r="BR185"/>
  <c r="BQ185"/>
  <c r="BP185"/>
  <c r="BO185"/>
  <c r="BN185"/>
  <c r="BM185"/>
  <c r="BL185"/>
  <c r="BK185"/>
  <c r="BJ185"/>
  <c r="BI185"/>
  <c r="BH185"/>
  <c r="BG185"/>
  <c r="BF185"/>
  <c r="BE185"/>
  <c r="BD185"/>
  <c r="BC185"/>
  <c r="BB185"/>
  <c r="BA185"/>
  <c r="AZ185"/>
  <c r="AY185"/>
  <c r="AX185"/>
  <c r="AW185"/>
  <c r="AV185"/>
  <c r="AC185"/>
  <c r="H185"/>
  <c r="G185"/>
  <c r="E185"/>
  <c r="BT184"/>
  <c r="BS184"/>
  <c r="BR184"/>
  <c r="BQ184"/>
  <c r="BP184"/>
  <c r="BO184"/>
  <c r="BN184"/>
  <c r="BM184"/>
  <c r="BL184"/>
  <c r="BK184"/>
  <c r="BJ184"/>
  <c r="BI184"/>
  <c r="BH184"/>
  <c r="BG184"/>
  <c r="BF184"/>
  <c r="BE184"/>
  <c r="BD184"/>
  <c r="BC184"/>
  <c r="BB184"/>
  <c r="BA184"/>
  <c r="AZ184"/>
  <c r="AY184"/>
  <c r="AX184"/>
  <c r="AW184"/>
  <c r="AV184"/>
  <c r="AC184"/>
  <c r="H184"/>
  <c r="G184"/>
  <c r="E184"/>
  <c r="BT183"/>
  <c r="BS183"/>
  <c r="BR183"/>
  <c r="BQ183"/>
  <c r="BP183"/>
  <c r="BO183"/>
  <c r="BN183"/>
  <c r="BM183"/>
  <c r="BL183"/>
  <c r="BK183"/>
  <c r="BJ183"/>
  <c r="BI183"/>
  <c r="BH183"/>
  <c r="BG183"/>
  <c r="BF183"/>
  <c r="BE183"/>
  <c r="BD183"/>
  <c r="BC183"/>
  <c r="BB183"/>
  <c r="BA183"/>
  <c r="AZ183"/>
  <c r="AY183"/>
  <c r="AX183"/>
  <c r="AW183"/>
  <c r="AV183"/>
  <c r="AC183"/>
  <c r="H183"/>
  <c r="G183"/>
  <c r="E183"/>
  <c r="BT182"/>
  <c r="BS182"/>
  <c r="BR182"/>
  <c r="BQ182"/>
  <c r="BP182"/>
  <c r="BO182"/>
  <c r="BN182"/>
  <c r="BM182"/>
  <c r="BL182"/>
  <c r="BK182"/>
  <c r="BJ182"/>
  <c r="BI182"/>
  <c r="BH182"/>
  <c r="BG182"/>
  <c r="BF182"/>
  <c r="BE182"/>
  <c r="BD182"/>
  <c r="BC182"/>
  <c r="BB182"/>
  <c r="BA182"/>
  <c r="AZ182"/>
  <c r="AY182"/>
  <c r="AX182"/>
  <c r="AW182"/>
  <c r="AV182"/>
  <c r="AC182"/>
  <c r="H182"/>
  <c r="G182"/>
  <c r="E182"/>
  <c r="BT181"/>
  <c r="BS181"/>
  <c r="BR181"/>
  <c r="BQ181"/>
  <c r="BP181"/>
  <c r="BO181"/>
  <c r="BN181"/>
  <c r="BM181"/>
  <c r="BL181"/>
  <c r="BK181"/>
  <c r="BJ181"/>
  <c r="BI181"/>
  <c r="BH181"/>
  <c r="BG181"/>
  <c r="BF181"/>
  <c r="BE181"/>
  <c r="BD181"/>
  <c r="BC181"/>
  <c r="BB181"/>
  <c r="BA181"/>
  <c r="AZ181"/>
  <c r="AY181"/>
  <c r="AX181"/>
  <c r="AW181"/>
  <c r="AV181"/>
  <c r="AC181"/>
  <c r="H181"/>
  <c r="G181"/>
  <c r="E181"/>
  <c r="BT180"/>
  <c r="BS180"/>
  <c r="BR180"/>
  <c r="BQ180"/>
  <c r="BP180"/>
  <c r="BO180"/>
  <c r="BN180"/>
  <c r="BM180"/>
  <c r="BL180"/>
  <c r="BK180"/>
  <c r="BJ180"/>
  <c r="BI180"/>
  <c r="BH180"/>
  <c r="BG180"/>
  <c r="BF180"/>
  <c r="BE180"/>
  <c r="BD180"/>
  <c r="BC180"/>
  <c r="BB180"/>
  <c r="BA180"/>
  <c r="AZ180"/>
  <c r="AY180"/>
  <c r="AX180"/>
  <c r="AW180"/>
  <c r="AV180"/>
  <c r="AC180"/>
  <c r="H180"/>
  <c r="G180"/>
  <c r="E180"/>
  <c r="BT179"/>
  <c r="BS179"/>
  <c r="BR179"/>
  <c r="BQ179"/>
  <c r="BP179"/>
  <c r="BO179"/>
  <c r="BN179"/>
  <c r="BM179"/>
  <c r="BL179"/>
  <c r="BK179"/>
  <c r="BJ179"/>
  <c r="BI179"/>
  <c r="BH179"/>
  <c r="BG179"/>
  <c r="BF179"/>
  <c r="BE179"/>
  <c r="BD179"/>
  <c r="BC179"/>
  <c r="BB179"/>
  <c r="BA179"/>
  <c r="AZ179"/>
  <c r="AY179"/>
  <c r="AX179"/>
  <c r="AW179"/>
  <c r="AV179"/>
  <c r="AC179"/>
  <c r="H179"/>
  <c r="G179"/>
  <c r="E179"/>
  <c r="BT178"/>
  <c r="BS178"/>
  <c r="BR178"/>
  <c r="BQ178"/>
  <c r="BP178"/>
  <c r="BO178"/>
  <c r="BN178"/>
  <c r="BM178"/>
  <c r="BL178"/>
  <c r="BK178"/>
  <c r="BJ178"/>
  <c r="BI178"/>
  <c r="BH178"/>
  <c r="BG178"/>
  <c r="BF178"/>
  <c r="BE178"/>
  <c r="BD178"/>
  <c r="BC178"/>
  <c r="BB178"/>
  <c r="BA178"/>
  <c r="AZ178"/>
  <c r="AY178"/>
  <c r="AX178"/>
  <c r="AW178"/>
  <c r="AV178"/>
  <c r="AC178"/>
  <c r="H178"/>
  <c r="G178"/>
  <c r="E178"/>
  <c r="BT177"/>
  <c r="BS177"/>
  <c r="BR177"/>
  <c r="BQ177"/>
  <c r="BP177"/>
  <c r="BO177"/>
  <c r="BN177"/>
  <c r="BM177"/>
  <c r="BL177"/>
  <c r="BK177"/>
  <c r="BJ177"/>
  <c r="BI177"/>
  <c r="BH177"/>
  <c r="BG177"/>
  <c r="BF177"/>
  <c r="BE177"/>
  <c r="BD177"/>
  <c r="BC177"/>
  <c r="BB177"/>
  <c r="BA177"/>
  <c r="AZ177"/>
  <c r="AY177"/>
  <c r="AX177"/>
  <c r="AW177"/>
  <c r="AV177"/>
  <c r="AC177"/>
  <c r="H177"/>
  <c r="G177"/>
  <c r="E177"/>
  <c r="BT176"/>
  <c r="BS176"/>
  <c r="BR176"/>
  <c r="BQ176"/>
  <c r="BP176"/>
  <c r="BO176"/>
  <c r="BN176"/>
  <c r="BM176"/>
  <c r="BL176"/>
  <c r="BK176"/>
  <c r="BJ176"/>
  <c r="BI176"/>
  <c r="BH176"/>
  <c r="BG176"/>
  <c r="BF176"/>
  <c r="BE176"/>
  <c r="BD176"/>
  <c r="BC176"/>
  <c r="BB176"/>
  <c r="BA176"/>
  <c r="AZ176"/>
  <c r="AY176"/>
  <c r="AX176"/>
  <c r="AW176"/>
  <c r="AV176"/>
  <c r="AC176"/>
  <c r="H176"/>
  <c r="G176"/>
  <c r="E176"/>
  <c r="BT175"/>
  <c r="BS175"/>
  <c r="BR175"/>
  <c r="BQ175"/>
  <c r="BP175"/>
  <c r="BO175"/>
  <c r="BN175"/>
  <c r="BM175"/>
  <c r="BL175"/>
  <c r="BK175"/>
  <c r="BJ175"/>
  <c r="BI175"/>
  <c r="BH175"/>
  <c r="BG175"/>
  <c r="BF175"/>
  <c r="BE175"/>
  <c r="BD175"/>
  <c r="BC175"/>
  <c r="BB175"/>
  <c r="BA175"/>
  <c r="AZ175"/>
  <c r="AY175"/>
  <c r="AX175"/>
  <c r="AW175"/>
  <c r="AV175"/>
  <c r="AC175"/>
  <c r="H175"/>
  <c r="G175"/>
  <c r="E175"/>
  <c r="BT174"/>
  <c r="BS174"/>
  <c r="BR174"/>
  <c r="BQ174"/>
  <c r="BP174"/>
  <c r="BO174"/>
  <c r="BN174"/>
  <c r="BM174"/>
  <c r="BL174"/>
  <c r="BK174"/>
  <c r="BJ174"/>
  <c r="BI174"/>
  <c r="BH174"/>
  <c r="BG174"/>
  <c r="BF174"/>
  <c r="BE174"/>
  <c r="BD174"/>
  <c r="BC174"/>
  <c r="BB174"/>
  <c r="BA174"/>
  <c r="AZ174"/>
  <c r="AY174"/>
  <c r="AX174"/>
  <c r="AW174"/>
  <c r="AV174"/>
  <c r="AC174"/>
  <c r="H174"/>
  <c r="G174"/>
  <c r="E174"/>
  <c r="BT173"/>
  <c r="BS173"/>
  <c r="BR173"/>
  <c r="BQ173"/>
  <c r="BP173"/>
  <c r="BO173"/>
  <c r="BN173"/>
  <c r="BM173"/>
  <c r="BL173"/>
  <c r="BK173"/>
  <c r="BJ173"/>
  <c r="BI173"/>
  <c r="BH173"/>
  <c r="BG173"/>
  <c r="BF173"/>
  <c r="BE173"/>
  <c r="BD173"/>
  <c r="BC173"/>
  <c r="BB173"/>
  <c r="BA173"/>
  <c r="AZ173"/>
  <c r="AY173"/>
  <c r="AX173"/>
  <c r="AW173"/>
  <c r="AV173"/>
  <c r="AC173"/>
  <c r="H173"/>
  <c r="G173"/>
  <c r="E173"/>
  <c r="BT172"/>
  <c r="BS172"/>
  <c r="BR172"/>
  <c r="BQ172"/>
  <c r="BP172"/>
  <c r="BO172"/>
  <c r="BN172"/>
  <c r="BM172"/>
  <c r="BL172"/>
  <c r="BK172"/>
  <c r="BJ172"/>
  <c r="BI172"/>
  <c r="BH172"/>
  <c r="BG172"/>
  <c r="BF172"/>
  <c r="BE172"/>
  <c r="BD172"/>
  <c r="BC172"/>
  <c r="BB172"/>
  <c r="BA172"/>
  <c r="AZ172"/>
  <c r="AY172"/>
  <c r="AX172"/>
  <c r="AW172"/>
  <c r="AV172"/>
  <c r="AC172"/>
  <c r="H172"/>
  <c r="G172"/>
  <c r="E172"/>
  <c r="BT171"/>
  <c r="BS171"/>
  <c r="BR171"/>
  <c r="BQ171"/>
  <c r="BP171"/>
  <c r="BO171"/>
  <c r="BN171"/>
  <c r="BM171"/>
  <c r="BL171"/>
  <c r="BK171"/>
  <c r="BJ171"/>
  <c r="BI171"/>
  <c r="BH171"/>
  <c r="BG171"/>
  <c r="BF171"/>
  <c r="BE171"/>
  <c r="BD171"/>
  <c r="BC171"/>
  <c r="BB171"/>
  <c r="BA171"/>
  <c r="AZ171"/>
  <c r="AY171"/>
  <c r="AX171"/>
  <c r="AW171"/>
  <c r="AV171"/>
  <c r="AC171"/>
  <c r="H171"/>
  <c r="G171"/>
  <c r="E171"/>
  <c r="BT170"/>
  <c r="BS170"/>
  <c r="BR170"/>
  <c r="BQ170"/>
  <c r="BP170"/>
  <c r="BO170"/>
  <c r="BN170"/>
  <c r="BM170"/>
  <c r="BL170"/>
  <c r="BK170"/>
  <c r="BJ170"/>
  <c r="BI170"/>
  <c r="BH170"/>
  <c r="BG170"/>
  <c r="BF170"/>
  <c r="BE170"/>
  <c r="BD170"/>
  <c r="BC170"/>
  <c r="BB170"/>
  <c r="BA170"/>
  <c r="AZ170"/>
  <c r="AY170"/>
  <c r="AX170"/>
  <c r="AW170"/>
  <c r="AV170"/>
  <c r="AC170"/>
  <c r="H170"/>
  <c r="G170"/>
  <c r="E170"/>
  <c r="BT169"/>
  <c r="BS169"/>
  <c r="BR169"/>
  <c r="BQ169"/>
  <c r="BP169"/>
  <c r="BO169"/>
  <c r="BN169"/>
  <c r="BM169"/>
  <c r="BL169"/>
  <c r="BK169"/>
  <c r="BJ169"/>
  <c r="BI169"/>
  <c r="BH169"/>
  <c r="BG169"/>
  <c r="BF169"/>
  <c r="BE169"/>
  <c r="BD169"/>
  <c r="BC169"/>
  <c r="BB169"/>
  <c r="BA169"/>
  <c r="AZ169"/>
  <c r="AY169"/>
  <c r="AX169"/>
  <c r="AW169"/>
  <c r="AV169"/>
  <c r="AC169"/>
  <c r="H169"/>
  <c r="G169"/>
  <c r="E169"/>
  <c r="BT168"/>
  <c r="BS168"/>
  <c r="BR168"/>
  <c r="BQ168"/>
  <c r="BP168"/>
  <c r="BO168"/>
  <c r="BN168"/>
  <c r="BM168"/>
  <c r="BL168"/>
  <c r="BK168"/>
  <c r="BJ168"/>
  <c r="BI168"/>
  <c r="BH168"/>
  <c r="BG168"/>
  <c r="BF168"/>
  <c r="BE168"/>
  <c r="BD168"/>
  <c r="BC168"/>
  <c r="BB168"/>
  <c r="BA168"/>
  <c r="AZ168"/>
  <c r="AY168"/>
  <c r="AX168"/>
  <c r="AW168"/>
  <c r="AV168"/>
  <c r="AC168"/>
  <c r="H168"/>
  <c r="G168"/>
  <c r="E168"/>
  <c r="BT167"/>
  <c r="BS167"/>
  <c r="BR167"/>
  <c r="BQ167"/>
  <c r="BP167"/>
  <c r="BO167"/>
  <c r="BN167"/>
  <c r="BM167"/>
  <c r="BL167"/>
  <c r="BK167"/>
  <c r="BJ167"/>
  <c r="BI167"/>
  <c r="BH167"/>
  <c r="BG167"/>
  <c r="BF167"/>
  <c r="BE167"/>
  <c r="BD167"/>
  <c r="BC167"/>
  <c r="BB167"/>
  <c r="BA167"/>
  <c r="AZ167"/>
  <c r="AY167"/>
  <c r="AX167"/>
  <c r="AW167"/>
  <c r="AV167"/>
  <c r="AC167"/>
  <c r="H167"/>
  <c r="G167"/>
  <c r="E167"/>
  <c r="BT166"/>
  <c r="BS166"/>
  <c r="BR166"/>
  <c r="BQ166"/>
  <c r="BP166"/>
  <c r="BO166"/>
  <c r="BN166"/>
  <c r="BM166"/>
  <c r="BL166"/>
  <c r="BK166"/>
  <c r="BJ166"/>
  <c r="BI166"/>
  <c r="BH166"/>
  <c r="BG166"/>
  <c r="BF166"/>
  <c r="BE166"/>
  <c r="BD166"/>
  <c r="BC166"/>
  <c r="BB166"/>
  <c r="BA166"/>
  <c r="AZ166"/>
  <c r="AY166"/>
  <c r="AX166"/>
  <c r="AW166"/>
  <c r="AV166"/>
  <c r="AC166"/>
  <c r="H166"/>
  <c r="G166"/>
  <c r="E166"/>
  <c r="BT165"/>
  <c r="BS165"/>
  <c r="BR165"/>
  <c r="BQ165"/>
  <c r="BP165"/>
  <c r="BO165"/>
  <c r="BN165"/>
  <c r="BM165"/>
  <c r="BL165"/>
  <c r="BK165"/>
  <c r="BJ165"/>
  <c r="BI165"/>
  <c r="BH165"/>
  <c r="BG165"/>
  <c r="BF165"/>
  <c r="BE165"/>
  <c r="BD165"/>
  <c r="BC165"/>
  <c r="BB165"/>
  <c r="BA165"/>
  <c r="AZ165"/>
  <c r="AY165"/>
  <c r="AX165"/>
  <c r="AW165"/>
  <c r="AV165"/>
  <c r="AC165"/>
  <c r="H165"/>
  <c r="G165"/>
  <c r="E165"/>
  <c r="BT164"/>
  <c r="BS164"/>
  <c r="BR164"/>
  <c r="BQ164"/>
  <c r="BP164"/>
  <c r="BO164"/>
  <c r="BN164"/>
  <c r="BM164"/>
  <c r="BL164"/>
  <c r="BK164"/>
  <c r="BJ164"/>
  <c r="BI164"/>
  <c r="BH164"/>
  <c r="BG164"/>
  <c r="BF164"/>
  <c r="BE164"/>
  <c r="BD164"/>
  <c r="BC164"/>
  <c r="BB164"/>
  <c r="BA164"/>
  <c r="AZ164"/>
  <c r="AY164"/>
  <c r="AX164"/>
  <c r="AW164"/>
  <c r="AV164"/>
  <c r="AC164"/>
  <c r="H164"/>
  <c r="G164"/>
  <c r="E164"/>
  <c r="BT163"/>
  <c r="BS163"/>
  <c r="BR163"/>
  <c r="BQ163"/>
  <c r="BP163"/>
  <c r="BO163"/>
  <c r="BN163"/>
  <c r="BM163"/>
  <c r="BL163"/>
  <c r="BK163"/>
  <c r="BJ163"/>
  <c r="BI163"/>
  <c r="BH163"/>
  <c r="BG163"/>
  <c r="BF163"/>
  <c r="BE163"/>
  <c r="BD163"/>
  <c r="BC163"/>
  <c r="BB163"/>
  <c r="BA163"/>
  <c r="AZ163"/>
  <c r="AY163"/>
  <c r="AX163"/>
  <c r="AW163"/>
  <c r="AV163"/>
  <c r="AC163"/>
  <c r="H163"/>
  <c r="G163"/>
  <c r="E163"/>
  <c r="BT162"/>
  <c r="BS162"/>
  <c r="BR162"/>
  <c r="BQ162"/>
  <c r="BP162"/>
  <c r="BO162"/>
  <c r="BN162"/>
  <c r="BM162"/>
  <c r="BL162"/>
  <c r="BK162"/>
  <c r="BJ162"/>
  <c r="BI162"/>
  <c r="BH162"/>
  <c r="BG162"/>
  <c r="BF162"/>
  <c r="BE162"/>
  <c r="BD162"/>
  <c r="BC162"/>
  <c r="BB162"/>
  <c r="BA162"/>
  <c r="AZ162"/>
  <c r="AY162"/>
  <c r="AX162"/>
  <c r="AW162"/>
  <c r="AV162"/>
  <c r="AC162"/>
  <c r="H162"/>
  <c r="G162"/>
  <c r="E162"/>
  <c r="BT161"/>
  <c r="BS161"/>
  <c r="BR161"/>
  <c r="BQ161"/>
  <c r="BP161"/>
  <c r="BO161"/>
  <c r="BN161"/>
  <c r="BM161"/>
  <c r="BL161"/>
  <c r="BK161"/>
  <c r="BJ161"/>
  <c r="BI161"/>
  <c r="BH161"/>
  <c r="BG161"/>
  <c r="BF161"/>
  <c r="BE161"/>
  <c r="BD161"/>
  <c r="BC161"/>
  <c r="BB161"/>
  <c r="BA161"/>
  <c r="AZ161"/>
  <c r="AY161"/>
  <c r="AX161"/>
  <c r="AW161"/>
  <c r="AV161"/>
  <c r="AC161"/>
  <c r="H161"/>
  <c r="G161"/>
  <c r="E161"/>
  <c r="BT160"/>
  <c r="BS160"/>
  <c r="BR160"/>
  <c r="BQ160"/>
  <c r="BP160"/>
  <c r="BO160"/>
  <c r="BN160"/>
  <c r="BM160"/>
  <c r="BL160"/>
  <c r="BK160"/>
  <c r="BJ160"/>
  <c r="BI160"/>
  <c r="BH160"/>
  <c r="BG160"/>
  <c r="BF160"/>
  <c r="BE160"/>
  <c r="BD160"/>
  <c r="BC160"/>
  <c r="BB160"/>
  <c r="BA160"/>
  <c r="AZ160"/>
  <c r="AY160"/>
  <c r="AX160"/>
  <c r="AW160"/>
  <c r="AV160"/>
  <c r="AC160"/>
  <c r="H160"/>
  <c r="G160"/>
  <c r="E160"/>
  <c r="BT159"/>
  <c r="BS159"/>
  <c r="BR159"/>
  <c r="BQ159"/>
  <c r="BP159"/>
  <c r="BO159"/>
  <c r="BN159"/>
  <c r="BM159"/>
  <c r="BL159"/>
  <c r="BK159"/>
  <c r="BJ159"/>
  <c r="BI159"/>
  <c r="BH159"/>
  <c r="BG159"/>
  <c r="BF159"/>
  <c r="BE159"/>
  <c r="BD159"/>
  <c r="BC159"/>
  <c r="BB159"/>
  <c r="BA159"/>
  <c r="AZ159"/>
  <c r="AY159"/>
  <c r="AX159"/>
  <c r="AW159"/>
  <c r="AV159"/>
  <c r="AC159"/>
  <c r="H159"/>
  <c r="G159"/>
  <c r="E159"/>
  <c r="BT158"/>
  <c r="BS158"/>
  <c r="BR158"/>
  <c r="BQ158"/>
  <c r="BP158"/>
  <c r="BO158"/>
  <c r="BN158"/>
  <c r="BM158"/>
  <c r="BL158"/>
  <c r="BK158"/>
  <c r="BJ158"/>
  <c r="BI158"/>
  <c r="BH158"/>
  <c r="BG158"/>
  <c r="BF158"/>
  <c r="BE158"/>
  <c r="BD158"/>
  <c r="BC158"/>
  <c r="BB158"/>
  <c r="BA158"/>
  <c r="AZ158"/>
  <c r="AY158"/>
  <c r="AX158"/>
  <c r="AW158"/>
  <c r="AV158"/>
  <c r="AC158"/>
  <c r="H158"/>
  <c r="G158"/>
  <c r="E158"/>
  <c r="BT157"/>
  <c r="BS157"/>
  <c r="BR157"/>
  <c r="BQ157"/>
  <c r="BP157"/>
  <c r="BO157"/>
  <c r="BN157"/>
  <c r="BM157"/>
  <c r="BL157"/>
  <c r="BK157"/>
  <c r="BJ157"/>
  <c r="BI157"/>
  <c r="BH157"/>
  <c r="BG157"/>
  <c r="BF157"/>
  <c r="BE157"/>
  <c r="BD157"/>
  <c r="BC157"/>
  <c r="BB157"/>
  <c r="BA157"/>
  <c r="AZ157"/>
  <c r="AY157"/>
  <c r="AX157"/>
  <c r="AW157"/>
  <c r="AV157"/>
  <c r="AC157"/>
  <c r="H157"/>
  <c r="G157"/>
  <c r="E157"/>
  <c r="BT156"/>
  <c r="BS156"/>
  <c r="BR156"/>
  <c r="BQ156"/>
  <c r="BP156"/>
  <c r="BO156"/>
  <c r="BN156"/>
  <c r="BM156"/>
  <c r="BL156"/>
  <c r="BK156"/>
  <c r="BJ156"/>
  <c r="BI156"/>
  <c r="BH156"/>
  <c r="BG156"/>
  <c r="BF156"/>
  <c r="BE156"/>
  <c r="BD156"/>
  <c r="BC156"/>
  <c r="BB156"/>
  <c r="BA156"/>
  <c r="AZ156"/>
  <c r="AY156"/>
  <c r="AX156"/>
  <c r="AW156"/>
  <c r="AV156"/>
  <c r="AC156"/>
  <c r="H156"/>
  <c r="G156"/>
  <c r="E156"/>
  <c r="BT155"/>
  <c r="BS155"/>
  <c r="BR155"/>
  <c r="BQ155"/>
  <c r="BP155"/>
  <c r="BO155"/>
  <c r="BN155"/>
  <c r="BM155"/>
  <c r="BL155"/>
  <c r="BK155"/>
  <c r="BJ155"/>
  <c r="BI155"/>
  <c r="BH155"/>
  <c r="BG155"/>
  <c r="BF155"/>
  <c r="BE155"/>
  <c r="BD155"/>
  <c r="BC155"/>
  <c r="BB155"/>
  <c r="BA155"/>
  <c r="AZ155"/>
  <c r="AY155"/>
  <c r="AX155"/>
  <c r="AW155"/>
  <c r="AV155"/>
  <c r="AC155"/>
  <c r="H155"/>
  <c r="G155"/>
  <c r="E155"/>
  <c r="BT154"/>
  <c r="BS154"/>
  <c r="BR154"/>
  <c r="BQ154"/>
  <c r="BP154"/>
  <c r="BO154"/>
  <c r="BN154"/>
  <c r="BM154"/>
  <c r="BL154"/>
  <c r="BK154"/>
  <c r="BJ154"/>
  <c r="BI154"/>
  <c r="BH154"/>
  <c r="BG154"/>
  <c r="BF154"/>
  <c r="BE154"/>
  <c r="BD154"/>
  <c r="BC154"/>
  <c r="BB154"/>
  <c r="BA154"/>
  <c r="AZ154"/>
  <c r="AY154"/>
  <c r="AX154"/>
  <c r="AW154"/>
  <c r="AV154"/>
  <c r="AC154"/>
  <c r="H154"/>
  <c r="G154"/>
  <c r="E154"/>
  <c r="BT153"/>
  <c r="BS153"/>
  <c r="BR153"/>
  <c r="BQ153"/>
  <c r="BP153"/>
  <c r="BO153"/>
  <c r="BN153"/>
  <c r="BM153"/>
  <c r="BL153"/>
  <c r="BK153"/>
  <c r="BJ153"/>
  <c r="BI153"/>
  <c r="BH153"/>
  <c r="BG153"/>
  <c r="BF153"/>
  <c r="BE153"/>
  <c r="BD153"/>
  <c r="BC153"/>
  <c r="BB153"/>
  <c r="BA153"/>
  <c r="AZ153"/>
  <c r="AY153"/>
  <c r="AX153"/>
  <c r="AW153"/>
  <c r="AV153"/>
  <c r="AC153"/>
  <c r="H153"/>
  <c r="G153"/>
  <c r="E153"/>
  <c r="BT152"/>
  <c r="BS152"/>
  <c r="BR152"/>
  <c r="BQ152"/>
  <c r="BP152"/>
  <c r="BO152"/>
  <c r="BN152"/>
  <c r="BM152"/>
  <c r="BL152"/>
  <c r="BK152"/>
  <c r="BJ152"/>
  <c r="BI152"/>
  <c r="BH152"/>
  <c r="BG152"/>
  <c r="BF152"/>
  <c r="BE152"/>
  <c r="BD152"/>
  <c r="BC152"/>
  <c r="BB152"/>
  <c r="BA152"/>
  <c r="AZ152"/>
  <c r="AY152"/>
  <c r="AX152"/>
  <c r="AW152"/>
  <c r="AV152"/>
  <c r="AC152"/>
  <c r="H152"/>
  <c r="G152"/>
  <c r="E152"/>
  <c r="BT151"/>
  <c r="BS151"/>
  <c r="BR151"/>
  <c r="BQ151"/>
  <c r="BP151"/>
  <c r="BO151"/>
  <c r="BN151"/>
  <c r="BM151"/>
  <c r="BL151"/>
  <c r="BK151"/>
  <c r="BJ151"/>
  <c r="BI151"/>
  <c r="BH151"/>
  <c r="BG151"/>
  <c r="BF151"/>
  <c r="BE151"/>
  <c r="BD151"/>
  <c r="BC151"/>
  <c r="BB151"/>
  <c r="BA151"/>
  <c r="AZ151"/>
  <c r="AY151"/>
  <c r="AX151"/>
  <c r="AW151"/>
  <c r="AV151"/>
  <c r="AC151"/>
  <c r="H151"/>
  <c r="G151"/>
  <c r="E151"/>
  <c r="BT150"/>
  <c r="BS150"/>
  <c r="BR150"/>
  <c r="BQ150"/>
  <c r="BP150"/>
  <c r="BO150"/>
  <c r="BN150"/>
  <c r="BM150"/>
  <c r="BL150"/>
  <c r="BK150"/>
  <c r="BJ150"/>
  <c r="BI150"/>
  <c r="BH150"/>
  <c r="BG150"/>
  <c r="BF150"/>
  <c r="BE150"/>
  <c r="BD150"/>
  <c r="BC150"/>
  <c r="BB150"/>
  <c r="BA150"/>
  <c r="AZ150"/>
  <c r="AY150"/>
  <c r="AX150"/>
  <c r="AW150"/>
  <c r="AV150"/>
  <c r="AC150"/>
  <c r="H150"/>
  <c r="G150"/>
  <c r="E150"/>
  <c r="BT149"/>
  <c r="BS149"/>
  <c r="BR149"/>
  <c r="BQ149"/>
  <c r="BP149"/>
  <c r="BO149"/>
  <c r="BN149"/>
  <c r="BM149"/>
  <c r="BL149"/>
  <c r="BK149"/>
  <c r="BJ149"/>
  <c r="BI149"/>
  <c r="BH149"/>
  <c r="BG149"/>
  <c r="BF149"/>
  <c r="BE149"/>
  <c r="BD149"/>
  <c r="BC149"/>
  <c r="BB149"/>
  <c r="BA149"/>
  <c r="AZ149"/>
  <c r="AY149"/>
  <c r="AX149"/>
  <c r="AW149"/>
  <c r="AV149"/>
  <c r="AC149"/>
  <c r="H149"/>
  <c r="G149"/>
  <c r="E149"/>
  <c r="BT148"/>
  <c r="BS148"/>
  <c r="BR148"/>
  <c r="BQ148"/>
  <c r="BP148"/>
  <c r="BO148"/>
  <c r="BN148"/>
  <c r="BM148"/>
  <c r="BL148"/>
  <c r="BK148"/>
  <c r="BJ148"/>
  <c r="BI148"/>
  <c r="BH148"/>
  <c r="BG148"/>
  <c r="BF148"/>
  <c r="BE148"/>
  <c r="BD148"/>
  <c r="BC148"/>
  <c r="BB148"/>
  <c r="BA148"/>
  <c r="AZ148"/>
  <c r="AY148"/>
  <c r="AX148"/>
  <c r="AW148"/>
  <c r="AV148"/>
  <c r="AC148"/>
  <c r="H148"/>
  <c r="G148"/>
  <c r="E148"/>
  <c r="BT147"/>
  <c r="BS147"/>
  <c r="BR147"/>
  <c r="BQ147"/>
  <c r="BP147"/>
  <c r="BO147"/>
  <c r="BN147"/>
  <c r="BM147"/>
  <c r="BL147"/>
  <c r="BK147"/>
  <c r="BJ147"/>
  <c r="BI147"/>
  <c r="BH147"/>
  <c r="BG147"/>
  <c r="BF147"/>
  <c r="BE147"/>
  <c r="BD147"/>
  <c r="BC147"/>
  <c r="BB147"/>
  <c r="BA147"/>
  <c r="AZ147"/>
  <c r="AY147"/>
  <c r="AX147"/>
  <c r="AW147"/>
  <c r="AV147"/>
  <c r="AC147"/>
  <c r="H147"/>
  <c r="G147"/>
  <c r="E147"/>
  <c r="BT146"/>
  <c r="BS146"/>
  <c r="BR146"/>
  <c r="BQ146"/>
  <c r="BP146"/>
  <c r="BO146"/>
  <c r="BN146"/>
  <c r="BM146"/>
  <c r="BL146"/>
  <c r="BK146"/>
  <c r="BJ146"/>
  <c r="BI146"/>
  <c r="BH146"/>
  <c r="BG146"/>
  <c r="BF146"/>
  <c r="BE146"/>
  <c r="BD146"/>
  <c r="BC146"/>
  <c r="BB146"/>
  <c r="BA146"/>
  <c r="AZ146"/>
  <c r="AY146"/>
  <c r="AX146"/>
  <c r="AW146"/>
  <c r="AV146"/>
  <c r="AC146"/>
  <c r="H146"/>
  <c r="G146"/>
  <c r="E146"/>
  <c r="BT145"/>
  <c r="BS145"/>
  <c r="BR145"/>
  <c r="BQ145"/>
  <c r="BP145"/>
  <c r="BO145"/>
  <c r="BN145"/>
  <c r="BM145"/>
  <c r="BL145"/>
  <c r="BK145"/>
  <c r="BJ145"/>
  <c r="BI145"/>
  <c r="BH145"/>
  <c r="BG145"/>
  <c r="BF145"/>
  <c r="BE145"/>
  <c r="BD145"/>
  <c r="BC145"/>
  <c r="BB145"/>
  <c r="BA145"/>
  <c r="AZ145"/>
  <c r="AY145"/>
  <c r="AX145"/>
  <c r="AW145"/>
  <c r="AV145"/>
  <c r="AC145"/>
  <c r="H145"/>
  <c r="G145"/>
  <c r="E145"/>
  <c r="BT144"/>
  <c r="BS144"/>
  <c r="BR144"/>
  <c r="BQ144"/>
  <c r="BP144"/>
  <c r="BO144"/>
  <c r="BN144"/>
  <c r="BM144"/>
  <c r="BL144"/>
  <c r="BK144"/>
  <c r="BJ144"/>
  <c r="BI144"/>
  <c r="BH144"/>
  <c r="BG144"/>
  <c r="BF144"/>
  <c r="BE144"/>
  <c r="BD144"/>
  <c r="BC144"/>
  <c r="BB144"/>
  <c r="BA144"/>
  <c r="AZ144"/>
  <c r="AY144"/>
  <c r="AX144"/>
  <c r="AW144"/>
  <c r="AV144"/>
  <c r="AC144"/>
  <c r="H144"/>
  <c r="G144"/>
  <c r="E144"/>
  <c r="BT143"/>
  <c r="BS143"/>
  <c r="BR143"/>
  <c r="BQ143"/>
  <c r="BP143"/>
  <c r="BO143"/>
  <c r="BN143"/>
  <c r="BM143"/>
  <c r="BL143"/>
  <c r="BK143"/>
  <c r="BJ143"/>
  <c r="BI143"/>
  <c r="BH143"/>
  <c r="BG143"/>
  <c r="BF143"/>
  <c r="BE143"/>
  <c r="BD143"/>
  <c r="BC143"/>
  <c r="BB143"/>
  <c r="BA143"/>
  <c r="AZ143"/>
  <c r="AY143"/>
  <c r="AX143"/>
  <c r="AW143"/>
  <c r="AV143"/>
  <c r="AC143"/>
  <c r="H143"/>
  <c r="G143"/>
  <c r="E143"/>
  <c r="BT142"/>
  <c r="BS142"/>
  <c r="BR142"/>
  <c r="BQ142"/>
  <c r="BP142"/>
  <c r="BO142"/>
  <c r="BN142"/>
  <c r="BM142"/>
  <c r="BL142"/>
  <c r="BK142"/>
  <c r="BJ142"/>
  <c r="BI142"/>
  <c r="BH142"/>
  <c r="BG142"/>
  <c r="BF142"/>
  <c r="BE142"/>
  <c r="BD142"/>
  <c r="BC142"/>
  <c r="BB142"/>
  <c r="BA142"/>
  <c r="AZ142"/>
  <c r="AY142"/>
  <c r="AX142"/>
  <c r="AW142"/>
  <c r="AV142"/>
  <c r="AC142"/>
  <c r="H142"/>
  <c r="G142"/>
  <c r="E142"/>
  <c r="BT141"/>
  <c r="BS141"/>
  <c r="BR141"/>
  <c r="BQ141"/>
  <c r="BP141"/>
  <c r="BO141"/>
  <c r="BN141"/>
  <c r="BM141"/>
  <c r="BL141"/>
  <c r="BK141"/>
  <c r="BJ141"/>
  <c r="BI141"/>
  <c r="BH141"/>
  <c r="BG141"/>
  <c r="BF141"/>
  <c r="BE141"/>
  <c r="BD141"/>
  <c r="BC141"/>
  <c r="BB141"/>
  <c r="BA141"/>
  <c r="AZ141"/>
  <c r="AY141"/>
  <c r="AX141"/>
  <c r="AW141"/>
  <c r="AV141"/>
  <c r="AC141"/>
  <c r="H141"/>
  <c r="G141"/>
  <c r="E141"/>
  <c r="BT140"/>
  <c r="BS140"/>
  <c r="BR140"/>
  <c r="BQ140"/>
  <c r="BP140"/>
  <c r="BO140"/>
  <c r="BN140"/>
  <c r="BM140"/>
  <c r="BL140"/>
  <c r="BK140"/>
  <c r="BJ140"/>
  <c r="BI140"/>
  <c r="BH140"/>
  <c r="BG140"/>
  <c r="BF140"/>
  <c r="BE140"/>
  <c r="BD140"/>
  <c r="BC140"/>
  <c r="BB140"/>
  <c r="BA140"/>
  <c r="AZ140"/>
  <c r="AY140"/>
  <c r="AX140"/>
  <c r="AW140"/>
  <c r="AV140"/>
  <c r="AC140"/>
  <c r="H140"/>
  <c r="G140"/>
  <c r="E140"/>
  <c r="BT139"/>
  <c r="BS139"/>
  <c r="BR139"/>
  <c r="BQ139"/>
  <c r="BP139"/>
  <c r="BO139"/>
  <c r="BN139"/>
  <c r="BM139"/>
  <c r="BL139"/>
  <c r="BK139"/>
  <c r="BJ139"/>
  <c r="BI139"/>
  <c r="BH139"/>
  <c r="BG139"/>
  <c r="BF139"/>
  <c r="BE139"/>
  <c r="BD139"/>
  <c r="BC139"/>
  <c r="BB139"/>
  <c r="BA139"/>
  <c r="AZ139"/>
  <c r="AY139"/>
  <c r="AX139"/>
  <c r="AW139"/>
  <c r="AV139"/>
  <c r="AC139"/>
  <c r="H139"/>
  <c r="G139"/>
  <c r="E139"/>
  <c r="BT138"/>
  <c r="BS138"/>
  <c r="BR138"/>
  <c r="BQ138"/>
  <c r="BP138"/>
  <c r="BO138"/>
  <c r="BN138"/>
  <c r="BM138"/>
  <c r="BL138"/>
  <c r="BK138"/>
  <c r="BJ138"/>
  <c r="BI138"/>
  <c r="BH138"/>
  <c r="BG138"/>
  <c r="BF138"/>
  <c r="BE138"/>
  <c r="BD138"/>
  <c r="BC138"/>
  <c r="BB138"/>
  <c r="BA138"/>
  <c r="AZ138"/>
  <c r="AY138"/>
  <c r="AX138"/>
  <c r="AW138"/>
  <c r="AV138"/>
  <c r="AC138"/>
  <c r="H138"/>
  <c r="G138"/>
  <c r="E138"/>
  <c r="BT137"/>
  <c r="BS137"/>
  <c r="BR137"/>
  <c r="BQ137"/>
  <c r="BP137"/>
  <c r="BO137"/>
  <c r="BN137"/>
  <c r="BM137"/>
  <c r="BL137"/>
  <c r="BK137"/>
  <c r="BJ137"/>
  <c r="BI137"/>
  <c r="BH137"/>
  <c r="BG137"/>
  <c r="BF137"/>
  <c r="BE137"/>
  <c r="BD137"/>
  <c r="BC137"/>
  <c r="BB137"/>
  <c r="BA137"/>
  <c r="AZ137"/>
  <c r="AY137"/>
  <c r="AX137"/>
  <c r="AW137"/>
  <c r="AV137"/>
  <c r="AC137"/>
  <c r="H137"/>
  <c r="G137"/>
  <c r="E137"/>
  <c r="BT136"/>
  <c r="BS136"/>
  <c r="BR136"/>
  <c r="BQ136"/>
  <c r="BP136"/>
  <c r="BO136"/>
  <c r="BN136"/>
  <c r="BM136"/>
  <c r="BL136"/>
  <c r="BK136"/>
  <c r="BJ136"/>
  <c r="BI136"/>
  <c r="BH136"/>
  <c r="BG136"/>
  <c r="BF136"/>
  <c r="BE136"/>
  <c r="BD136"/>
  <c r="BC136"/>
  <c r="BB136"/>
  <c r="BA136"/>
  <c r="AZ136"/>
  <c r="AY136"/>
  <c r="AX136"/>
  <c r="AW136"/>
  <c r="AV136"/>
  <c r="AC136"/>
  <c r="H136"/>
  <c r="G136"/>
  <c r="E136"/>
  <c r="BT135"/>
  <c r="BS135"/>
  <c r="BR135"/>
  <c r="BQ135"/>
  <c r="BP135"/>
  <c r="BO135"/>
  <c r="BN135"/>
  <c r="BM135"/>
  <c r="BL135"/>
  <c r="BK135"/>
  <c r="BJ135"/>
  <c r="BI135"/>
  <c r="BH135"/>
  <c r="BG135"/>
  <c r="BF135"/>
  <c r="BE135"/>
  <c r="BD135"/>
  <c r="BC135"/>
  <c r="BB135"/>
  <c r="BA135"/>
  <c r="AZ135"/>
  <c r="AY135"/>
  <c r="AX135"/>
  <c r="AW135"/>
  <c r="AV135"/>
  <c r="AC135"/>
  <c r="H135"/>
  <c r="G135"/>
  <c r="E135"/>
  <c r="BT134"/>
  <c r="BS134"/>
  <c r="BR134"/>
  <c r="BQ134"/>
  <c r="BP134"/>
  <c r="BO134"/>
  <c r="BN134"/>
  <c r="BM134"/>
  <c r="BL134"/>
  <c r="BK134"/>
  <c r="BJ134"/>
  <c r="BI134"/>
  <c r="BH134"/>
  <c r="BG134"/>
  <c r="BF134"/>
  <c r="BE134"/>
  <c r="BD134"/>
  <c r="BC134"/>
  <c r="BB134"/>
  <c r="BA134"/>
  <c r="AZ134"/>
  <c r="AY134"/>
  <c r="AX134"/>
  <c r="AW134"/>
  <c r="AV134"/>
  <c r="AC134"/>
  <c r="H134"/>
  <c r="G134"/>
  <c r="E134"/>
  <c r="BT133"/>
  <c r="BS133"/>
  <c r="BR133"/>
  <c r="BQ133"/>
  <c r="BP133"/>
  <c r="BO133"/>
  <c r="BN133"/>
  <c r="BM133"/>
  <c r="BL133"/>
  <c r="BK133"/>
  <c r="BJ133"/>
  <c r="BI133"/>
  <c r="BH133"/>
  <c r="BG133"/>
  <c r="BF133"/>
  <c r="BE133"/>
  <c r="BD133"/>
  <c r="BC133"/>
  <c r="BB133"/>
  <c r="BA133"/>
  <c r="AZ133"/>
  <c r="AY133"/>
  <c r="AX133"/>
  <c r="AW133"/>
  <c r="AV133"/>
  <c r="AC133"/>
  <c r="H133"/>
  <c r="G133"/>
  <c r="E133"/>
  <c r="BT132"/>
  <c r="BS132"/>
  <c r="BR132"/>
  <c r="BQ132"/>
  <c r="BP132"/>
  <c r="BO132"/>
  <c r="BN132"/>
  <c r="BM132"/>
  <c r="BL132"/>
  <c r="BK132"/>
  <c r="BJ132"/>
  <c r="BI132"/>
  <c r="BH132"/>
  <c r="BG132"/>
  <c r="BF132"/>
  <c r="BE132"/>
  <c r="BD132"/>
  <c r="BC132"/>
  <c r="BB132"/>
  <c r="BA132"/>
  <c r="AZ132"/>
  <c r="AY132"/>
  <c r="AX132"/>
  <c r="AW132"/>
  <c r="AV132"/>
  <c r="AC132"/>
  <c r="H132"/>
  <c r="G132"/>
  <c r="E132"/>
  <c r="BT131"/>
  <c r="BS131"/>
  <c r="BR131"/>
  <c r="BQ131"/>
  <c r="BP131"/>
  <c r="BO131"/>
  <c r="BN131"/>
  <c r="BM131"/>
  <c r="BL131"/>
  <c r="BK131"/>
  <c r="BJ131"/>
  <c r="BI131"/>
  <c r="BH131"/>
  <c r="BG131"/>
  <c r="BF131"/>
  <c r="BE131"/>
  <c r="BD131"/>
  <c r="BC131"/>
  <c r="BB131"/>
  <c r="BA131"/>
  <c r="AZ131"/>
  <c r="AY131"/>
  <c r="AX131"/>
  <c r="AW131"/>
  <c r="AV131"/>
  <c r="AC131"/>
  <c r="H131"/>
  <c r="G131"/>
  <c r="E131"/>
  <c r="BT130"/>
  <c r="BS130"/>
  <c r="BR130"/>
  <c r="BQ130"/>
  <c r="BP130"/>
  <c r="BO130"/>
  <c r="BN130"/>
  <c r="BM130"/>
  <c r="BL130"/>
  <c r="BK130"/>
  <c r="BJ130"/>
  <c r="BI130"/>
  <c r="BH130"/>
  <c r="BG130"/>
  <c r="BF130"/>
  <c r="BE130"/>
  <c r="BD130"/>
  <c r="BC130"/>
  <c r="BB130"/>
  <c r="BA130"/>
  <c r="AZ130"/>
  <c r="AY130"/>
  <c r="AX130"/>
  <c r="AW130"/>
  <c r="AV130"/>
  <c r="AC130"/>
  <c r="H130"/>
  <c r="G130"/>
  <c r="E130"/>
  <c r="BT129"/>
  <c r="BS129"/>
  <c r="BR129"/>
  <c r="BQ129"/>
  <c r="BP129"/>
  <c r="BO129"/>
  <c r="BN129"/>
  <c r="BM129"/>
  <c r="BL129"/>
  <c r="BK129"/>
  <c r="BJ129"/>
  <c r="BI129"/>
  <c r="BH129"/>
  <c r="BG129"/>
  <c r="BF129"/>
  <c r="BE129"/>
  <c r="BD129"/>
  <c r="BC129"/>
  <c r="BB129"/>
  <c r="BA129"/>
  <c r="AZ129"/>
  <c r="AY129"/>
  <c r="AX129"/>
  <c r="AW129"/>
  <c r="AV129"/>
  <c r="AC129"/>
  <c r="H129"/>
  <c r="G129"/>
  <c r="E129"/>
  <c r="BT128"/>
  <c r="BS128"/>
  <c r="BR128"/>
  <c r="BQ128"/>
  <c r="BP128"/>
  <c r="BO128"/>
  <c r="BN128"/>
  <c r="BM128"/>
  <c r="BL128"/>
  <c r="BK128"/>
  <c r="BJ128"/>
  <c r="BI128"/>
  <c r="BH128"/>
  <c r="BG128"/>
  <c r="BF128"/>
  <c r="BE128"/>
  <c r="BD128"/>
  <c r="BC128"/>
  <c r="BB128"/>
  <c r="BA128"/>
  <c r="AZ128"/>
  <c r="AY128"/>
  <c r="AX128"/>
  <c r="AW128"/>
  <c r="AV128"/>
  <c r="AC128"/>
  <c r="H128"/>
  <c r="G128"/>
  <c r="E128"/>
  <c r="BT127"/>
  <c r="BS127"/>
  <c r="BR127"/>
  <c r="BQ127"/>
  <c r="BP127"/>
  <c r="BO127"/>
  <c r="BN127"/>
  <c r="BM127"/>
  <c r="BL127"/>
  <c r="BK127"/>
  <c r="BJ127"/>
  <c r="BI127"/>
  <c r="BH127"/>
  <c r="BG127"/>
  <c r="BF127"/>
  <c r="BE127"/>
  <c r="BD127"/>
  <c r="BC127"/>
  <c r="BB127"/>
  <c r="BA127"/>
  <c r="AZ127"/>
  <c r="AY127"/>
  <c r="AX127"/>
  <c r="AW127"/>
  <c r="AV127"/>
  <c r="AC127"/>
  <c r="H127"/>
  <c r="G127"/>
  <c r="E127"/>
  <c r="BT126"/>
  <c r="BS126"/>
  <c r="BR126"/>
  <c r="BQ126"/>
  <c r="BP126"/>
  <c r="BO126"/>
  <c r="BN126"/>
  <c r="BM126"/>
  <c r="BL126"/>
  <c r="BK126"/>
  <c r="BJ126"/>
  <c r="BI126"/>
  <c r="BH126"/>
  <c r="BG126"/>
  <c r="BF126"/>
  <c r="BE126"/>
  <c r="BD126"/>
  <c r="BC126"/>
  <c r="BB126"/>
  <c r="BA126"/>
  <c r="AZ126"/>
  <c r="AY126"/>
  <c r="AX126"/>
  <c r="AW126"/>
  <c r="AV126"/>
  <c r="AC126"/>
  <c r="H126"/>
  <c r="G126"/>
  <c r="E126"/>
  <c r="BT125"/>
  <c r="BS125"/>
  <c r="BR125"/>
  <c r="BQ125"/>
  <c r="BP125"/>
  <c r="BO125"/>
  <c r="BN125"/>
  <c r="BM125"/>
  <c r="BL125"/>
  <c r="BK125"/>
  <c r="BJ125"/>
  <c r="BI125"/>
  <c r="BH125"/>
  <c r="BG125"/>
  <c r="BF125"/>
  <c r="BE125"/>
  <c r="BD125"/>
  <c r="BC125"/>
  <c r="BB125"/>
  <c r="BA125"/>
  <c r="AZ125"/>
  <c r="AY125"/>
  <c r="AX125"/>
  <c r="AW125"/>
  <c r="AV125"/>
  <c r="AC125"/>
  <c r="H125"/>
  <c r="G125"/>
  <c r="E125"/>
  <c r="BT124"/>
  <c r="BS124"/>
  <c r="BR124"/>
  <c r="BQ124"/>
  <c r="BP124"/>
  <c r="BO124"/>
  <c r="BN124"/>
  <c r="BM124"/>
  <c r="BL124"/>
  <c r="BK124"/>
  <c r="BJ124"/>
  <c r="BI124"/>
  <c r="BH124"/>
  <c r="BG124"/>
  <c r="BF124"/>
  <c r="BE124"/>
  <c r="BD124"/>
  <c r="BC124"/>
  <c r="BB124"/>
  <c r="BA124"/>
  <c r="AZ124"/>
  <c r="AY124"/>
  <c r="AX124"/>
  <c r="AW124"/>
  <c r="AV124"/>
  <c r="AC124"/>
  <c r="H124"/>
  <c r="G124"/>
  <c r="E124"/>
  <c r="BT123"/>
  <c r="BS123"/>
  <c r="BR123"/>
  <c r="BQ123"/>
  <c r="BP123"/>
  <c r="BO123"/>
  <c r="BN123"/>
  <c r="BM123"/>
  <c r="BL123"/>
  <c r="BK123"/>
  <c r="BJ123"/>
  <c r="BI123"/>
  <c r="BH123"/>
  <c r="BG123"/>
  <c r="BF123"/>
  <c r="BE123"/>
  <c r="BD123"/>
  <c r="BC123"/>
  <c r="BB123"/>
  <c r="BA123"/>
  <c r="AZ123"/>
  <c r="AY123"/>
  <c r="AX123"/>
  <c r="AW123"/>
  <c r="AV123"/>
  <c r="AC123"/>
  <c r="H123"/>
  <c r="G123"/>
  <c r="E123"/>
  <c r="BT122"/>
  <c r="BS122"/>
  <c r="BR122"/>
  <c r="BQ122"/>
  <c r="BP122"/>
  <c r="BO122"/>
  <c r="BN122"/>
  <c r="BM122"/>
  <c r="BL122"/>
  <c r="BK122"/>
  <c r="BJ122"/>
  <c r="BI122"/>
  <c r="BH122"/>
  <c r="BG122"/>
  <c r="BF122"/>
  <c r="BE122"/>
  <c r="BD122"/>
  <c r="BC122"/>
  <c r="BB122"/>
  <c r="BA122"/>
  <c r="AZ122"/>
  <c r="AY122"/>
  <c r="AX122"/>
  <c r="AW122"/>
  <c r="AV122"/>
  <c r="AC122"/>
  <c r="H122"/>
  <c r="G122"/>
  <c r="E122"/>
  <c r="BT121"/>
  <c r="BS121"/>
  <c r="BR121"/>
  <c r="BQ121"/>
  <c r="BP121"/>
  <c r="BO121"/>
  <c r="BN121"/>
  <c r="BM121"/>
  <c r="BL121"/>
  <c r="BK121"/>
  <c r="BJ121"/>
  <c r="BI121"/>
  <c r="BH121"/>
  <c r="BG121"/>
  <c r="BF121"/>
  <c r="BE121"/>
  <c r="BD121"/>
  <c r="BC121"/>
  <c r="BB121"/>
  <c r="BA121"/>
  <c r="AZ121"/>
  <c r="AY121"/>
  <c r="AX121"/>
  <c r="AW121"/>
  <c r="AV121"/>
  <c r="AC121"/>
  <c r="H121"/>
  <c r="G121"/>
  <c r="E121"/>
  <c r="BT120"/>
  <c r="BS120"/>
  <c r="BR120"/>
  <c r="BQ120"/>
  <c r="BP120"/>
  <c r="BO120"/>
  <c r="BN120"/>
  <c r="BM120"/>
  <c r="BL120"/>
  <c r="BK120"/>
  <c r="BJ120"/>
  <c r="BI120"/>
  <c r="BH120"/>
  <c r="BG120"/>
  <c r="BF120"/>
  <c r="BE120"/>
  <c r="BD120"/>
  <c r="BC120"/>
  <c r="BB120"/>
  <c r="BA120"/>
  <c r="AZ120"/>
  <c r="AY120"/>
  <c r="AX120"/>
  <c r="AW120"/>
  <c r="AV120"/>
  <c r="AC120"/>
  <c r="H120"/>
  <c r="G120"/>
  <c r="E120"/>
  <c r="BT119"/>
  <c r="BS119"/>
  <c r="BR119"/>
  <c r="BQ119"/>
  <c r="BP119"/>
  <c r="BO119"/>
  <c r="BN119"/>
  <c r="BM119"/>
  <c r="BL119"/>
  <c r="BK119"/>
  <c r="BJ119"/>
  <c r="BI119"/>
  <c r="BH119"/>
  <c r="BG119"/>
  <c r="BF119"/>
  <c r="BE119"/>
  <c r="BD119"/>
  <c r="BC119"/>
  <c r="BB119"/>
  <c r="BA119"/>
  <c r="AZ119"/>
  <c r="AY119"/>
  <c r="AX119"/>
  <c r="AW119"/>
  <c r="AV119"/>
  <c r="AC119"/>
  <c r="H119"/>
  <c r="G119"/>
  <c r="E119"/>
  <c r="BT118"/>
  <c r="BS118"/>
  <c r="BR118"/>
  <c r="BQ118"/>
  <c r="BP118"/>
  <c r="BO118"/>
  <c r="BN118"/>
  <c r="BM118"/>
  <c r="BL118"/>
  <c r="BK118"/>
  <c r="BJ118"/>
  <c r="BI118"/>
  <c r="BH118"/>
  <c r="BG118"/>
  <c r="BF118"/>
  <c r="BE118"/>
  <c r="BD118"/>
  <c r="BC118"/>
  <c r="BB118"/>
  <c r="BA118"/>
  <c r="AZ118"/>
  <c r="AY118"/>
  <c r="AX118"/>
  <c r="AW118"/>
  <c r="AV118"/>
  <c r="AC118"/>
  <c r="H118"/>
  <c r="G118"/>
  <c r="E118"/>
  <c r="BT117"/>
  <c r="BS117"/>
  <c r="BR117"/>
  <c r="BQ117"/>
  <c r="BP117"/>
  <c r="BO117"/>
  <c r="BN117"/>
  <c r="BM117"/>
  <c r="BL117"/>
  <c r="BK117"/>
  <c r="BJ117"/>
  <c r="BI117"/>
  <c r="BH117"/>
  <c r="BG117"/>
  <c r="BF117"/>
  <c r="BE117"/>
  <c r="BD117"/>
  <c r="BC117"/>
  <c r="BB117"/>
  <c r="BA117"/>
  <c r="AZ117"/>
  <c r="AY117"/>
  <c r="AX117"/>
  <c r="AW117"/>
  <c r="AV117"/>
  <c r="AC117"/>
  <c r="H117"/>
  <c r="G117"/>
  <c r="E117"/>
  <c r="BT116"/>
  <c r="BS116"/>
  <c r="BR116"/>
  <c r="BQ116"/>
  <c r="BP116"/>
  <c r="BO116"/>
  <c r="BN116"/>
  <c r="BM116"/>
  <c r="BL116"/>
  <c r="BK116"/>
  <c r="BJ116"/>
  <c r="BI116"/>
  <c r="BH116"/>
  <c r="BG116"/>
  <c r="BF116"/>
  <c r="BE116"/>
  <c r="BD116"/>
  <c r="BC116"/>
  <c r="BB116"/>
  <c r="BA116"/>
  <c r="AZ116"/>
  <c r="AY116"/>
  <c r="AX116"/>
  <c r="AW116"/>
  <c r="AV116"/>
  <c r="AC116"/>
  <c r="H116"/>
  <c r="G116"/>
  <c r="E116"/>
  <c r="BT115"/>
  <c r="BS115"/>
  <c r="BR115"/>
  <c r="BQ115"/>
  <c r="BP115"/>
  <c r="BO115"/>
  <c r="BN115"/>
  <c r="BM115"/>
  <c r="BL115"/>
  <c r="BK115"/>
  <c r="BJ115"/>
  <c r="BI115"/>
  <c r="BH115"/>
  <c r="BG115"/>
  <c r="BF115"/>
  <c r="BE115"/>
  <c r="BD115"/>
  <c r="BC115"/>
  <c r="BB115"/>
  <c r="BA115"/>
  <c r="AZ115"/>
  <c r="AY115"/>
  <c r="AX115"/>
  <c r="AW115"/>
  <c r="AV115"/>
  <c r="AC115"/>
  <c r="H115"/>
  <c r="G115"/>
  <c r="E115"/>
  <c r="BT114"/>
  <c r="BS114"/>
  <c r="BR114"/>
  <c r="BQ114"/>
  <c r="BP114"/>
  <c r="BO114"/>
  <c r="BN114"/>
  <c r="BM114"/>
  <c r="BL114"/>
  <c r="BK114"/>
  <c r="BJ114"/>
  <c r="BI114"/>
  <c r="BH114"/>
  <c r="BG114"/>
  <c r="BF114"/>
  <c r="BE114"/>
  <c r="BD114"/>
  <c r="BC114"/>
  <c r="BB114"/>
  <c r="BA114"/>
  <c r="AZ114"/>
  <c r="AY114"/>
  <c r="AX114"/>
  <c r="AW114"/>
  <c r="AV114"/>
  <c r="AC114"/>
  <c r="H114"/>
  <c r="G114"/>
  <c r="E114"/>
  <c r="BT113"/>
  <c r="BS113"/>
  <c r="BR113"/>
  <c r="BQ113"/>
  <c r="BP113"/>
  <c r="BO113"/>
  <c r="BN113"/>
  <c r="BM113"/>
  <c r="BL113"/>
  <c r="BK113"/>
  <c r="BJ113"/>
  <c r="BI113"/>
  <c r="BH113"/>
  <c r="BG113"/>
  <c r="BF113"/>
  <c r="BE113"/>
  <c r="BD113"/>
  <c r="BC113"/>
  <c r="BB113"/>
  <c r="BA113"/>
  <c r="AZ113"/>
  <c r="AY113"/>
  <c r="AX113"/>
  <c r="AW113"/>
  <c r="AV113"/>
  <c r="AC113"/>
  <c r="H113"/>
  <c r="G113"/>
  <c r="E113"/>
  <c r="BT112"/>
  <c r="BS112"/>
  <c r="BR112"/>
  <c r="BQ112"/>
  <c r="BP112"/>
  <c r="BO112"/>
  <c r="BN112"/>
  <c r="BM112"/>
  <c r="BL112"/>
  <c r="BK112"/>
  <c r="BJ112"/>
  <c r="BI112"/>
  <c r="BH112"/>
  <c r="BG112"/>
  <c r="BF112"/>
  <c r="BE112"/>
  <c r="BD112"/>
  <c r="BC112"/>
  <c r="BB112"/>
  <c r="BA112"/>
  <c r="AZ112"/>
  <c r="AY112"/>
  <c r="AX112"/>
  <c r="AW112"/>
  <c r="AV112"/>
  <c r="AC112"/>
  <c r="H112"/>
  <c r="G112"/>
  <c r="E112"/>
  <c r="BT111"/>
  <c r="BS111"/>
  <c r="BR111"/>
  <c r="BQ111"/>
  <c r="BP111"/>
  <c r="BO111"/>
  <c r="BN111"/>
  <c r="BM111"/>
  <c r="BL111"/>
  <c r="BK111"/>
  <c r="BJ111"/>
  <c r="BI111"/>
  <c r="BH111"/>
  <c r="BG111"/>
  <c r="BF111"/>
  <c r="BE111"/>
  <c r="BD111"/>
  <c r="BC111"/>
  <c r="BB111"/>
  <c r="BA111"/>
  <c r="AZ111"/>
  <c r="AY111"/>
  <c r="AX111"/>
  <c r="AW111"/>
  <c r="AV111"/>
  <c r="AC111"/>
  <c r="H111"/>
  <c r="G111"/>
  <c r="E111"/>
  <c r="BT110"/>
  <c r="BS110"/>
  <c r="BR110"/>
  <c r="BQ110"/>
  <c r="BP110"/>
  <c r="BO110"/>
  <c r="BN110"/>
  <c r="BM110"/>
  <c r="BL110"/>
  <c r="BK110"/>
  <c r="BJ110"/>
  <c r="BI110"/>
  <c r="BH110"/>
  <c r="BG110"/>
  <c r="BF110"/>
  <c r="BE110"/>
  <c r="BD110"/>
  <c r="BC110"/>
  <c r="BB110"/>
  <c r="BA110"/>
  <c r="AZ110"/>
  <c r="AY110"/>
  <c r="AX110"/>
  <c r="AW110"/>
  <c r="AV110"/>
  <c r="AC110"/>
  <c r="H110"/>
  <c r="G110"/>
  <c r="E110"/>
  <c r="BT109"/>
  <c r="BS109"/>
  <c r="BR109"/>
  <c r="BQ109"/>
  <c r="BP109"/>
  <c r="BO109"/>
  <c r="BN109"/>
  <c r="BM109"/>
  <c r="BL109"/>
  <c r="BK109"/>
  <c r="BJ109"/>
  <c r="BI109"/>
  <c r="BH109"/>
  <c r="BG109"/>
  <c r="BF109"/>
  <c r="BE109"/>
  <c r="BD109"/>
  <c r="BC109"/>
  <c r="BB109"/>
  <c r="BA109"/>
  <c r="AZ109"/>
  <c r="AY109"/>
  <c r="AX109"/>
  <c r="AW109"/>
  <c r="AV109"/>
  <c r="AC109"/>
  <c r="H109"/>
  <c r="G109"/>
  <c r="E109"/>
  <c r="BT108"/>
  <c r="BS108"/>
  <c r="BR108"/>
  <c r="BQ108"/>
  <c r="BP108"/>
  <c r="BO108"/>
  <c r="BN108"/>
  <c r="BM108"/>
  <c r="BL108"/>
  <c r="BK108"/>
  <c r="BJ108"/>
  <c r="BI108"/>
  <c r="BH108"/>
  <c r="BG108"/>
  <c r="BF108"/>
  <c r="BE108"/>
  <c r="BD108"/>
  <c r="BC108"/>
  <c r="BB108"/>
  <c r="BA108"/>
  <c r="AZ108"/>
  <c r="AY108"/>
  <c r="AX108"/>
  <c r="AW108"/>
  <c r="AV108"/>
  <c r="AC108"/>
  <c r="H108"/>
  <c r="G108"/>
  <c r="E108"/>
  <c r="BT107"/>
  <c r="BS107"/>
  <c r="BR107"/>
  <c r="BQ107"/>
  <c r="BP107"/>
  <c r="BO107"/>
  <c r="BN107"/>
  <c r="BM107"/>
  <c r="BL107"/>
  <c r="BK107"/>
  <c r="BJ107"/>
  <c r="BI107"/>
  <c r="BH107"/>
  <c r="BG107"/>
  <c r="BF107"/>
  <c r="BE107"/>
  <c r="BD107"/>
  <c r="BC107"/>
  <c r="BB107"/>
  <c r="BA107"/>
  <c r="AZ107"/>
  <c r="AY107"/>
  <c r="AX107"/>
  <c r="AW107"/>
  <c r="AV107"/>
  <c r="AC107"/>
  <c r="H107"/>
  <c r="G107"/>
  <c r="E107"/>
  <c r="BT106"/>
  <c r="BS106"/>
  <c r="BR106"/>
  <c r="BQ106"/>
  <c r="BP106"/>
  <c r="BO106"/>
  <c r="BN106"/>
  <c r="BM106"/>
  <c r="BL106"/>
  <c r="BK106"/>
  <c r="BJ106"/>
  <c r="BI106"/>
  <c r="BH106"/>
  <c r="BG106"/>
  <c r="BF106"/>
  <c r="BE106"/>
  <c r="BD106"/>
  <c r="BC106"/>
  <c r="BB106"/>
  <c r="BA106"/>
  <c r="AZ106"/>
  <c r="AY106"/>
  <c r="AX106"/>
  <c r="AW106"/>
  <c r="AV106"/>
  <c r="AC106"/>
  <c r="H106"/>
  <c r="G106"/>
  <c r="E106"/>
  <c r="BT105"/>
  <c r="BS105"/>
  <c r="BR105"/>
  <c r="BQ105"/>
  <c r="BP105"/>
  <c r="BO105"/>
  <c r="BN105"/>
  <c r="BM105"/>
  <c r="BL105"/>
  <c r="BK105"/>
  <c r="BJ105"/>
  <c r="BI105"/>
  <c r="BH105"/>
  <c r="BG105"/>
  <c r="BF105"/>
  <c r="BE105"/>
  <c r="BD105"/>
  <c r="BC105"/>
  <c r="BB105"/>
  <c r="BA105"/>
  <c r="AZ105"/>
  <c r="AY105"/>
  <c r="AX105"/>
  <c r="AW105"/>
  <c r="AV105"/>
  <c r="AC105"/>
  <c r="H105"/>
  <c r="G105"/>
  <c r="E105"/>
  <c r="BT104"/>
  <c r="BS104"/>
  <c r="BR104"/>
  <c r="BQ104"/>
  <c r="BP104"/>
  <c r="BO104"/>
  <c r="BN104"/>
  <c r="BM104"/>
  <c r="BL104"/>
  <c r="BK104"/>
  <c r="BJ104"/>
  <c r="BI104"/>
  <c r="BH104"/>
  <c r="BG104"/>
  <c r="BF104"/>
  <c r="BE104"/>
  <c r="BD104"/>
  <c r="BC104"/>
  <c r="BB104"/>
  <c r="BA104"/>
  <c r="AZ104"/>
  <c r="AY104"/>
  <c r="AX104"/>
  <c r="AW104"/>
  <c r="AV104"/>
  <c r="AC104"/>
  <c r="H104"/>
  <c r="G104"/>
  <c r="E104"/>
  <c r="BT103"/>
  <c r="BS103"/>
  <c r="BR103"/>
  <c r="BQ103"/>
  <c r="BP103"/>
  <c r="BO103"/>
  <c r="BN103"/>
  <c r="BM103"/>
  <c r="BL103"/>
  <c r="BK103"/>
  <c r="BJ103"/>
  <c r="BI103"/>
  <c r="BH103"/>
  <c r="BG103"/>
  <c r="BF103"/>
  <c r="BE103"/>
  <c r="BD103"/>
  <c r="BC103"/>
  <c r="BB103"/>
  <c r="BA103"/>
  <c r="AZ103"/>
  <c r="AY103"/>
  <c r="AX103"/>
  <c r="AW103"/>
  <c r="AV103"/>
  <c r="AC103"/>
  <c r="H103"/>
  <c r="G103"/>
  <c r="E103"/>
  <c r="BT102"/>
  <c r="BS102"/>
  <c r="BR102"/>
  <c r="BQ102"/>
  <c r="BP102"/>
  <c r="BO102"/>
  <c r="BN102"/>
  <c r="BM102"/>
  <c r="BL102"/>
  <c r="BK102"/>
  <c r="BJ102"/>
  <c r="BI102"/>
  <c r="BH102"/>
  <c r="BG102"/>
  <c r="BF102"/>
  <c r="BE102"/>
  <c r="BD102"/>
  <c r="BC102"/>
  <c r="BB102"/>
  <c r="BA102"/>
  <c r="AZ102"/>
  <c r="AY102"/>
  <c r="AX102"/>
  <c r="AW102"/>
  <c r="AV102"/>
  <c r="AC102"/>
  <c r="H102"/>
  <c r="G102"/>
  <c r="E102"/>
  <c r="BT101"/>
  <c r="BS101"/>
  <c r="BR101"/>
  <c r="BQ101"/>
  <c r="BP101"/>
  <c r="BO101"/>
  <c r="BN101"/>
  <c r="BM101"/>
  <c r="BL101"/>
  <c r="BK101"/>
  <c r="BJ101"/>
  <c r="BI101"/>
  <c r="BH101"/>
  <c r="BG101"/>
  <c r="BF101"/>
  <c r="BE101"/>
  <c r="BD101"/>
  <c r="BC101"/>
  <c r="BB101"/>
  <c r="BA101"/>
  <c r="AZ101"/>
  <c r="AY101"/>
  <c r="AX101"/>
  <c r="AW101"/>
  <c r="AV101"/>
  <c r="AC101"/>
  <c r="H101"/>
  <c r="G101"/>
  <c r="E101"/>
  <c r="BT100"/>
  <c r="BS100"/>
  <c r="BR100"/>
  <c r="BQ100"/>
  <c r="BP100"/>
  <c r="BO100"/>
  <c r="BN100"/>
  <c r="BM100"/>
  <c r="BL100"/>
  <c r="BK100"/>
  <c r="BJ100"/>
  <c r="BI100"/>
  <c r="BH100"/>
  <c r="BG100"/>
  <c r="BF100"/>
  <c r="BE100"/>
  <c r="BD100"/>
  <c r="BC100"/>
  <c r="BB100"/>
  <c r="BA100"/>
  <c r="AZ100"/>
  <c r="AY100"/>
  <c r="AX100"/>
  <c r="AW100"/>
  <c r="AV100"/>
  <c r="AC100"/>
  <c r="H100"/>
  <c r="G100"/>
  <c r="E100"/>
  <c r="BT99"/>
  <c r="BS99"/>
  <c r="BR99"/>
  <c r="BQ99"/>
  <c r="BP99"/>
  <c r="BO99"/>
  <c r="BN99"/>
  <c r="BM99"/>
  <c r="BL99"/>
  <c r="BK99"/>
  <c r="BJ99"/>
  <c r="BI99"/>
  <c r="BH99"/>
  <c r="BG99"/>
  <c r="BF99"/>
  <c r="BE99"/>
  <c r="BD99"/>
  <c r="BC99"/>
  <c r="BB99"/>
  <c r="BA99"/>
  <c r="AZ99"/>
  <c r="AY99"/>
  <c r="AX99"/>
  <c r="AW99"/>
  <c r="AV99"/>
  <c r="AC99"/>
  <c r="H99"/>
  <c r="G99"/>
  <c r="E99"/>
  <c r="BT98"/>
  <c r="BS98"/>
  <c r="BR98"/>
  <c r="BQ98"/>
  <c r="BP98"/>
  <c r="BO98"/>
  <c r="BN98"/>
  <c r="BM98"/>
  <c r="BL98"/>
  <c r="BK98"/>
  <c r="BJ98"/>
  <c r="BI98"/>
  <c r="BH98"/>
  <c r="BG98"/>
  <c r="BF98"/>
  <c r="BE98"/>
  <c r="BD98"/>
  <c r="BC98"/>
  <c r="BB98"/>
  <c r="BA98"/>
  <c r="AZ98"/>
  <c r="AY98"/>
  <c r="AX98"/>
  <c r="AW98"/>
  <c r="AV98"/>
  <c r="AC98"/>
  <c r="H98"/>
  <c r="G98"/>
  <c r="E98"/>
  <c r="BT97"/>
  <c r="BS97"/>
  <c r="BR97"/>
  <c r="BQ97"/>
  <c r="BP97"/>
  <c r="BO97"/>
  <c r="BN97"/>
  <c r="BM97"/>
  <c r="BL97"/>
  <c r="BK97"/>
  <c r="BJ97"/>
  <c r="BI97"/>
  <c r="BH97"/>
  <c r="BG97"/>
  <c r="BF97"/>
  <c r="BE97"/>
  <c r="BD97"/>
  <c r="BC97"/>
  <c r="BB97"/>
  <c r="BA97"/>
  <c r="AZ97"/>
  <c r="AY97"/>
  <c r="AX97"/>
  <c r="AW97"/>
  <c r="AV97"/>
  <c r="AC97"/>
  <c r="H97"/>
  <c r="G97"/>
  <c r="E97"/>
  <c r="BT96"/>
  <c r="BS96"/>
  <c r="BR96"/>
  <c r="BQ96"/>
  <c r="BP96"/>
  <c r="BO96"/>
  <c r="BN96"/>
  <c r="BM96"/>
  <c r="BL96"/>
  <c r="BK96"/>
  <c r="BJ96"/>
  <c r="BI96"/>
  <c r="BH96"/>
  <c r="BG96"/>
  <c r="BF96"/>
  <c r="BE96"/>
  <c r="BD96"/>
  <c r="BC96"/>
  <c r="BB96"/>
  <c r="BA96"/>
  <c r="AZ96"/>
  <c r="AY96"/>
  <c r="AX96"/>
  <c r="AW96"/>
  <c r="AV96"/>
  <c r="AC96"/>
  <c r="H96"/>
  <c r="G96"/>
  <c r="E96"/>
  <c r="BT95"/>
  <c r="BS95"/>
  <c r="BR95"/>
  <c r="BQ95"/>
  <c r="BP95"/>
  <c r="BO95"/>
  <c r="BN95"/>
  <c r="BM95"/>
  <c r="BL95"/>
  <c r="BK95"/>
  <c r="BJ95"/>
  <c r="BI95"/>
  <c r="BH95"/>
  <c r="BG95"/>
  <c r="BF95"/>
  <c r="BE95"/>
  <c r="BD95"/>
  <c r="BC95"/>
  <c r="BB95"/>
  <c r="BA95"/>
  <c r="AZ95"/>
  <c r="AY95"/>
  <c r="AX95"/>
  <c r="AW95"/>
  <c r="AV95"/>
  <c r="AC95"/>
  <c r="H95"/>
  <c r="G95"/>
  <c r="E95"/>
  <c r="BT94"/>
  <c r="BS94"/>
  <c r="BR94"/>
  <c r="BQ94"/>
  <c r="BP94"/>
  <c r="BO94"/>
  <c r="BN94"/>
  <c r="BM94"/>
  <c r="BL94"/>
  <c r="BK94"/>
  <c r="BJ94"/>
  <c r="BI94"/>
  <c r="BH94"/>
  <c r="BG94"/>
  <c r="BF94"/>
  <c r="BE94"/>
  <c r="BD94"/>
  <c r="BC94"/>
  <c r="BB94"/>
  <c r="BA94"/>
  <c r="AZ94"/>
  <c r="AY94"/>
  <c r="AX94"/>
  <c r="AW94"/>
  <c r="AV94"/>
  <c r="AC94"/>
  <c r="H94"/>
  <c r="G94"/>
  <c r="E94"/>
  <c r="BT93"/>
  <c r="BS93"/>
  <c r="BR93"/>
  <c r="BQ93"/>
  <c r="BP93"/>
  <c r="BO93"/>
  <c r="BN93"/>
  <c r="BM93"/>
  <c r="BL93"/>
  <c r="BK93"/>
  <c r="BJ93"/>
  <c r="BI93"/>
  <c r="BH93"/>
  <c r="BG93"/>
  <c r="BF93"/>
  <c r="BE93"/>
  <c r="BD93"/>
  <c r="BC93"/>
  <c r="BB93"/>
  <c r="BA93"/>
  <c r="AZ93"/>
  <c r="AY93"/>
  <c r="AX93"/>
  <c r="AW93"/>
  <c r="AV93"/>
  <c r="AC93"/>
  <c r="H93"/>
  <c r="G93"/>
  <c r="E93"/>
  <c r="BT92"/>
  <c r="BS92"/>
  <c r="BR92"/>
  <c r="BQ92"/>
  <c r="BP92"/>
  <c r="BO92"/>
  <c r="BN92"/>
  <c r="BM92"/>
  <c r="BL92"/>
  <c r="BK92"/>
  <c r="BJ92"/>
  <c r="BI92"/>
  <c r="BH92"/>
  <c r="BG92"/>
  <c r="BF92"/>
  <c r="BE92"/>
  <c r="BD92"/>
  <c r="BC92"/>
  <c r="BB92"/>
  <c r="BA92"/>
  <c r="AZ92"/>
  <c r="AY92"/>
  <c r="AX92"/>
  <c r="AW92"/>
  <c r="AV92"/>
  <c r="AC92"/>
  <c r="H92"/>
  <c r="G92"/>
  <c r="E92"/>
  <c r="BT91"/>
  <c r="BS91"/>
  <c r="BR91"/>
  <c r="BQ91"/>
  <c r="BP91"/>
  <c r="BO91"/>
  <c r="BN91"/>
  <c r="BM91"/>
  <c r="BL91"/>
  <c r="BK91"/>
  <c r="BJ91"/>
  <c r="BI91"/>
  <c r="BH91"/>
  <c r="BG91"/>
  <c r="BF91"/>
  <c r="BE91"/>
  <c r="BD91"/>
  <c r="BC91"/>
  <c r="BB91"/>
  <c r="BA91"/>
  <c r="AZ91"/>
  <c r="AY91"/>
  <c r="AX91"/>
  <c r="AW91"/>
  <c r="AV91"/>
  <c r="AC91"/>
  <c r="H91"/>
  <c r="G91"/>
  <c r="E91"/>
  <c r="BT90"/>
  <c r="BS90"/>
  <c r="BR90"/>
  <c r="BQ90"/>
  <c r="BP90"/>
  <c r="BO90"/>
  <c r="BN90"/>
  <c r="BM90"/>
  <c r="BL90"/>
  <c r="BK90"/>
  <c r="BJ90"/>
  <c r="BI90"/>
  <c r="BH90"/>
  <c r="BG90"/>
  <c r="BF90"/>
  <c r="BE90"/>
  <c r="BD90"/>
  <c r="BC90"/>
  <c r="BB90"/>
  <c r="BA90"/>
  <c r="AZ90"/>
  <c r="AY90"/>
  <c r="AX90"/>
  <c r="AW90"/>
  <c r="AV90"/>
  <c r="AC90"/>
  <c r="H90"/>
  <c r="G90"/>
  <c r="E90"/>
  <c r="BT89"/>
  <c r="BS89"/>
  <c r="BR89"/>
  <c r="BQ89"/>
  <c r="BP89"/>
  <c r="BO89"/>
  <c r="BN89"/>
  <c r="BM89"/>
  <c r="BL89"/>
  <c r="BK89"/>
  <c r="BJ89"/>
  <c r="BI89"/>
  <c r="BH89"/>
  <c r="BG89"/>
  <c r="BF89"/>
  <c r="BE89"/>
  <c r="BD89"/>
  <c r="BC89"/>
  <c r="BB89"/>
  <c r="BA89"/>
  <c r="AZ89"/>
  <c r="AY89"/>
  <c r="AX89"/>
  <c r="AW89"/>
  <c r="AV89"/>
  <c r="AC89"/>
  <c r="H89"/>
  <c r="G89"/>
  <c r="E89"/>
  <c r="BT88"/>
  <c r="BS88"/>
  <c r="BR88"/>
  <c r="BQ88"/>
  <c r="BP88"/>
  <c r="BO88"/>
  <c r="BN88"/>
  <c r="BM88"/>
  <c r="BL88"/>
  <c r="BK88"/>
  <c r="BJ88"/>
  <c r="BI88"/>
  <c r="BH88"/>
  <c r="BG88"/>
  <c r="BF88"/>
  <c r="BE88"/>
  <c r="BD88"/>
  <c r="BC88"/>
  <c r="BB88"/>
  <c r="BA88"/>
  <c r="AZ88"/>
  <c r="AY88"/>
  <c r="AX88"/>
  <c r="AW88"/>
  <c r="AV88"/>
  <c r="AC88"/>
  <c r="H88"/>
  <c r="G88"/>
  <c r="E88"/>
  <c r="BT87"/>
  <c r="BS87"/>
  <c r="BR87"/>
  <c r="BQ87"/>
  <c r="BP87"/>
  <c r="BO87"/>
  <c r="BN87"/>
  <c r="BM87"/>
  <c r="BL87"/>
  <c r="BK87"/>
  <c r="BJ87"/>
  <c r="BI87"/>
  <c r="BH87"/>
  <c r="BG87"/>
  <c r="BF87"/>
  <c r="BE87"/>
  <c r="BD87"/>
  <c r="BC87"/>
  <c r="BB87"/>
  <c r="BA87"/>
  <c r="AZ87"/>
  <c r="AY87"/>
  <c r="AX87"/>
  <c r="AW87"/>
  <c r="AV87"/>
  <c r="AC87"/>
  <c r="H87"/>
  <c r="G87"/>
  <c r="E87"/>
  <c r="BT86"/>
  <c r="BS86"/>
  <c r="BR86"/>
  <c r="BQ86"/>
  <c r="BP86"/>
  <c r="BO86"/>
  <c r="BN86"/>
  <c r="BM86"/>
  <c r="BL86"/>
  <c r="BK86"/>
  <c r="BJ86"/>
  <c r="BI86"/>
  <c r="BH86"/>
  <c r="BG86"/>
  <c r="BF86"/>
  <c r="BE86"/>
  <c r="BD86"/>
  <c r="BC86"/>
  <c r="BB86"/>
  <c r="BA86"/>
  <c r="AZ86"/>
  <c r="AY86"/>
  <c r="AX86"/>
  <c r="AW86"/>
  <c r="AV86"/>
  <c r="AC86"/>
  <c r="H86"/>
  <c r="G86"/>
  <c r="E86"/>
  <c r="BT85"/>
  <c r="BS85"/>
  <c r="BR85"/>
  <c r="BQ85"/>
  <c r="BP85"/>
  <c r="BO85"/>
  <c r="BN85"/>
  <c r="BM85"/>
  <c r="BL85"/>
  <c r="BK85"/>
  <c r="BJ85"/>
  <c r="BI85"/>
  <c r="BH85"/>
  <c r="BG85"/>
  <c r="BF85"/>
  <c r="BE85"/>
  <c r="BD85"/>
  <c r="BC85"/>
  <c r="BB85"/>
  <c r="BA85"/>
  <c r="AZ85"/>
  <c r="AY85"/>
  <c r="AX85"/>
  <c r="AW85"/>
  <c r="AV85"/>
  <c r="AC85"/>
  <c r="H85"/>
  <c r="G85"/>
  <c r="E85"/>
  <c r="BT84"/>
  <c r="BS84"/>
  <c r="BR84"/>
  <c r="BQ84"/>
  <c r="BP84"/>
  <c r="BO84"/>
  <c r="BN84"/>
  <c r="BM84"/>
  <c r="BL84"/>
  <c r="BK84"/>
  <c r="BJ84"/>
  <c r="BI84"/>
  <c r="BH84"/>
  <c r="BG84"/>
  <c r="BF84"/>
  <c r="BE84"/>
  <c r="BD84"/>
  <c r="BC84"/>
  <c r="BB84"/>
  <c r="BA84"/>
  <c r="AZ84"/>
  <c r="AY84"/>
  <c r="AX84"/>
  <c r="AW84"/>
  <c r="AV84"/>
  <c r="AC84"/>
  <c r="H84"/>
  <c r="G84"/>
  <c r="E84"/>
  <c r="BT83"/>
  <c r="BS83"/>
  <c r="BR83"/>
  <c r="BQ83"/>
  <c r="BP83"/>
  <c r="BO83"/>
  <c r="BN83"/>
  <c r="BM83"/>
  <c r="BL83"/>
  <c r="BK83"/>
  <c r="BJ83"/>
  <c r="BI83"/>
  <c r="BH83"/>
  <c r="BG83"/>
  <c r="BF83"/>
  <c r="BE83"/>
  <c r="BD83"/>
  <c r="BC83"/>
  <c r="BB83"/>
  <c r="BA83"/>
  <c r="AZ83"/>
  <c r="AY83"/>
  <c r="AX83"/>
  <c r="AW83"/>
  <c r="AV83"/>
  <c r="AC83"/>
  <c r="H83"/>
  <c r="G83"/>
  <c r="E83"/>
  <c r="BT82"/>
  <c r="BS82"/>
  <c r="BR82"/>
  <c r="BQ82"/>
  <c r="BP82"/>
  <c r="BO82"/>
  <c r="BN82"/>
  <c r="BM82"/>
  <c r="BL82"/>
  <c r="BK82"/>
  <c r="BJ82"/>
  <c r="BI82"/>
  <c r="BH82"/>
  <c r="BG82"/>
  <c r="BF82"/>
  <c r="BE82"/>
  <c r="BD82"/>
  <c r="BC82"/>
  <c r="BB82"/>
  <c r="BA82"/>
  <c r="AZ82"/>
  <c r="AY82"/>
  <c r="AX82"/>
  <c r="AW82"/>
  <c r="AV82"/>
  <c r="AC82"/>
  <c r="H82"/>
  <c r="G82"/>
  <c r="E82"/>
  <c r="BT81"/>
  <c r="BS81"/>
  <c r="BR81"/>
  <c r="BQ81"/>
  <c r="BP81"/>
  <c r="BO81"/>
  <c r="BN81"/>
  <c r="BM81"/>
  <c r="BL81"/>
  <c r="BK81"/>
  <c r="BJ81"/>
  <c r="BI81"/>
  <c r="BH81"/>
  <c r="BG81"/>
  <c r="BF81"/>
  <c r="BE81"/>
  <c r="BD81"/>
  <c r="BC81"/>
  <c r="BB81"/>
  <c r="BA81"/>
  <c r="AZ81"/>
  <c r="AY81"/>
  <c r="AX81"/>
  <c r="AW81"/>
  <c r="AV81"/>
  <c r="AC81"/>
  <c r="H81"/>
  <c r="G81"/>
  <c r="E81"/>
  <c r="BT80"/>
  <c r="BS80"/>
  <c r="BR80"/>
  <c r="BQ80"/>
  <c r="BP80"/>
  <c r="BO80"/>
  <c r="BN80"/>
  <c r="BM80"/>
  <c r="BL80"/>
  <c r="BK80"/>
  <c r="BJ80"/>
  <c r="BI80"/>
  <c r="BH80"/>
  <c r="BG80"/>
  <c r="BF80"/>
  <c r="BE80"/>
  <c r="BD80"/>
  <c r="BC80"/>
  <c r="BB80"/>
  <c r="BA80"/>
  <c r="AZ80"/>
  <c r="AY80"/>
  <c r="AX80"/>
  <c r="AW80"/>
  <c r="AV80"/>
  <c r="AC80"/>
  <c r="H80"/>
  <c r="G80"/>
  <c r="E80"/>
  <c r="BT79"/>
  <c r="BS79"/>
  <c r="BR79"/>
  <c r="BQ79"/>
  <c r="BP79"/>
  <c r="BO79"/>
  <c r="BN79"/>
  <c r="BM79"/>
  <c r="BL79"/>
  <c r="BK79"/>
  <c r="BJ79"/>
  <c r="BI79"/>
  <c r="BH79"/>
  <c r="BG79"/>
  <c r="BF79"/>
  <c r="BE79"/>
  <c r="BD79"/>
  <c r="BC79"/>
  <c r="BB79"/>
  <c r="BA79"/>
  <c r="AZ79"/>
  <c r="AY79"/>
  <c r="AX79"/>
  <c r="AW79"/>
  <c r="AV79"/>
  <c r="AC79"/>
  <c r="H79"/>
  <c r="G79"/>
  <c r="E79"/>
  <c r="BT78"/>
  <c r="BS78"/>
  <c r="BR78"/>
  <c r="BQ78"/>
  <c r="BP78"/>
  <c r="BO78"/>
  <c r="BN78"/>
  <c r="BM78"/>
  <c r="BL78"/>
  <c r="BK78"/>
  <c r="BJ78"/>
  <c r="BI78"/>
  <c r="BH78"/>
  <c r="BG78"/>
  <c r="BF78"/>
  <c r="BE78"/>
  <c r="BD78"/>
  <c r="BC78"/>
  <c r="BB78"/>
  <c r="BA78"/>
  <c r="AZ78"/>
  <c r="AY78"/>
  <c r="AX78"/>
  <c r="AW78"/>
  <c r="AV78"/>
  <c r="AC78"/>
  <c r="H78"/>
  <c r="G78"/>
  <c r="E78"/>
  <c r="BT77"/>
  <c r="BS77"/>
  <c r="BR77"/>
  <c r="BQ77"/>
  <c r="BP77"/>
  <c r="BO77"/>
  <c r="BN77"/>
  <c r="BM77"/>
  <c r="BL77"/>
  <c r="BK77"/>
  <c r="BJ77"/>
  <c r="BI77"/>
  <c r="BH77"/>
  <c r="BG77"/>
  <c r="BF77"/>
  <c r="BE77"/>
  <c r="BD77"/>
  <c r="BC77"/>
  <c r="BB77"/>
  <c r="BA77"/>
  <c r="AZ77"/>
  <c r="AY77"/>
  <c r="AX77"/>
  <c r="AW77"/>
  <c r="AV77"/>
  <c r="AC77"/>
  <c r="H77"/>
  <c r="G77"/>
  <c r="E77"/>
  <c r="BT76"/>
  <c r="BS76"/>
  <c r="BR76"/>
  <c r="BQ76"/>
  <c r="BP76"/>
  <c r="BO76"/>
  <c r="BN76"/>
  <c r="BM76"/>
  <c r="BL76"/>
  <c r="BK76"/>
  <c r="BJ76"/>
  <c r="BI76"/>
  <c r="BH76"/>
  <c r="BG76"/>
  <c r="BF76"/>
  <c r="BE76"/>
  <c r="BD76"/>
  <c r="BC76"/>
  <c r="BB76"/>
  <c r="BA76"/>
  <c r="AZ76"/>
  <c r="AY76"/>
  <c r="AX76"/>
  <c r="AW76"/>
  <c r="AV76"/>
  <c r="AC76"/>
  <c r="H76"/>
  <c r="G76"/>
  <c r="E76"/>
  <c r="BT75"/>
  <c r="BS75"/>
  <c r="BR75"/>
  <c r="BQ75"/>
  <c r="BP75"/>
  <c r="BO75"/>
  <c r="BN75"/>
  <c r="BM75"/>
  <c r="BL75"/>
  <c r="BK75"/>
  <c r="BJ75"/>
  <c r="BI75"/>
  <c r="BH75"/>
  <c r="BG75"/>
  <c r="BF75"/>
  <c r="BE75"/>
  <c r="BD75"/>
  <c r="BC75"/>
  <c r="BB75"/>
  <c r="BA75"/>
  <c r="AZ75"/>
  <c r="AY75"/>
  <c r="AX75"/>
  <c r="AW75"/>
  <c r="AV75"/>
  <c r="AC75"/>
  <c r="H75"/>
  <c r="G75"/>
  <c r="E75"/>
  <c r="BT74"/>
  <c r="BS74"/>
  <c r="BR74"/>
  <c r="BQ74"/>
  <c r="BP74"/>
  <c r="BO74"/>
  <c r="BN74"/>
  <c r="BM74"/>
  <c r="BL74"/>
  <c r="BK74"/>
  <c r="BJ74"/>
  <c r="BI74"/>
  <c r="BH74"/>
  <c r="BG74"/>
  <c r="BF74"/>
  <c r="BE74"/>
  <c r="BD74"/>
  <c r="BC74"/>
  <c r="BB74"/>
  <c r="BA74"/>
  <c r="AZ74"/>
  <c r="AY74"/>
  <c r="AX74"/>
  <c r="AW74"/>
  <c r="AV74"/>
  <c r="AC74"/>
  <c r="H74"/>
  <c r="G74"/>
  <c r="E74"/>
  <c r="BT73"/>
  <c r="BS73"/>
  <c r="BR73"/>
  <c r="BQ73"/>
  <c r="BP73"/>
  <c r="BO73"/>
  <c r="BN73"/>
  <c r="BM73"/>
  <c r="BL73"/>
  <c r="BK73"/>
  <c r="BJ73"/>
  <c r="BI73"/>
  <c r="BH73"/>
  <c r="BG73"/>
  <c r="BF73"/>
  <c r="BE73"/>
  <c r="BD73"/>
  <c r="BC73"/>
  <c r="BB73"/>
  <c r="BA73"/>
  <c r="AZ73"/>
  <c r="AY73"/>
  <c r="AX73"/>
  <c r="AW73"/>
  <c r="AV73"/>
  <c r="AC73"/>
  <c r="H73"/>
  <c r="G73"/>
  <c r="E73"/>
  <c r="BT72"/>
  <c r="BS72"/>
  <c r="BR72"/>
  <c r="BQ72"/>
  <c r="BP72"/>
  <c r="BO72"/>
  <c r="BN72"/>
  <c r="BM72"/>
  <c r="BL72"/>
  <c r="BK72"/>
  <c r="BJ72"/>
  <c r="BI72"/>
  <c r="BH72"/>
  <c r="BG72"/>
  <c r="BF72"/>
  <c r="BE72"/>
  <c r="BD72"/>
  <c r="BC72"/>
  <c r="BB72"/>
  <c r="BA72"/>
  <c r="AZ72"/>
  <c r="AY72"/>
  <c r="AX72"/>
  <c r="AW72"/>
  <c r="AV72"/>
  <c r="AC72"/>
  <c r="H72"/>
  <c r="G72"/>
  <c r="E72"/>
  <c r="BT71"/>
  <c r="BS71"/>
  <c r="BR71"/>
  <c r="BQ71"/>
  <c r="BP71"/>
  <c r="BO71"/>
  <c r="BN71"/>
  <c r="BM71"/>
  <c r="BL71"/>
  <c r="BK71"/>
  <c r="BJ71"/>
  <c r="BI71"/>
  <c r="BH71"/>
  <c r="BG71"/>
  <c r="BF71"/>
  <c r="BE71"/>
  <c r="BD71"/>
  <c r="BC71"/>
  <c r="BB71"/>
  <c r="BA71"/>
  <c r="AZ71"/>
  <c r="AY71"/>
  <c r="AX71"/>
  <c r="AW71"/>
  <c r="AV71"/>
  <c r="AC71"/>
  <c r="H71"/>
  <c r="G71"/>
  <c r="E71"/>
  <c r="BT70"/>
  <c r="BS70"/>
  <c r="BR70"/>
  <c r="BQ70"/>
  <c r="BP70"/>
  <c r="BO70"/>
  <c r="BN70"/>
  <c r="BM70"/>
  <c r="BL70"/>
  <c r="BK70"/>
  <c r="BJ70"/>
  <c r="BI70"/>
  <c r="BH70"/>
  <c r="BG70"/>
  <c r="BF70"/>
  <c r="BE70"/>
  <c r="BD70"/>
  <c r="BC70"/>
  <c r="BB70"/>
  <c r="BA70"/>
  <c r="AZ70"/>
  <c r="AY70"/>
  <c r="AX70"/>
  <c r="AW70"/>
  <c r="AV70"/>
  <c r="AC70"/>
  <c r="H70"/>
  <c r="G70"/>
  <c r="E70"/>
  <c r="BT69"/>
  <c r="BS69"/>
  <c r="BR69"/>
  <c r="BQ69"/>
  <c r="BP69"/>
  <c r="BO69"/>
  <c r="BN69"/>
  <c r="BM69"/>
  <c r="BL69"/>
  <c r="BK69"/>
  <c r="BJ69"/>
  <c r="BI69"/>
  <c r="BH69"/>
  <c r="BG69"/>
  <c r="BF69"/>
  <c r="BE69"/>
  <c r="BD69"/>
  <c r="BC69"/>
  <c r="BB69"/>
  <c r="BA69"/>
  <c r="AZ69"/>
  <c r="AY69"/>
  <c r="AX69"/>
  <c r="AW69"/>
  <c r="AV69"/>
  <c r="AC69"/>
  <c r="H69"/>
  <c r="G69"/>
  <c r="E69"/>
  <c r="BT68"/>
  <c r="BS68"/>
  <c r="BR68"/>
  <c r="BQ68"/>
  <c r="BP68"/>
  <c r="BO68"/>
  <c r="BN68"/>
  <c r="BM68"/>
  <c r="BL68"/>
  <c r="BK68"/>
  <c r="BJ68"/>
  <c r="BI68"/>
  <c r="BH68"/>
  <c r="BG68"/>
  <c r="BF68"/>
  <c r="BE68"/>
  <c r="BD68"/>
  <c r="BC68"/>
  <c r="BB68"/>
  <c r="BA68"/>
  <c r="AZ68"/>
  <c r="AY68"/>
  <c r="AX68"/>
  <c r="AW68"/>
  <c r="AV68"/>
  <c r="AC68"/>
  <c r="H68"/>
  <c r="G68"/>
  <c r="E68"/>
  <c r="BT67"/>
  <c r="BS67"/>
  <c r="BR67"/>
  <c r="BQ67"/>
  <c r="BP67"/>
  <c r="BO67"/>
  <c r="BN67"/>
  <c r="BM67"/>
  <c r="BL67"/>
  <c r="BK67"/>
  <c r="BJ67"/>
  <c r="BI67"/>
  <c r="BH67"/>
  <c r="BG67"/>
  <c r="BF67"/>
  <c r="BE67"/>
  <c r="BD67"/>
  <c r="BC67"/>
  <c r="BB67"/>
  <c r="BA67"/>
  <c r="AZ67"/>
  <c r="AY67"/>
  <c r="AX67"/>
  <c r="AW67"/>
  <c r="AV67"/>
  <c r="AC67"/>
  <c r="H67"/>
  <c r="G67"/>
  <c r="E67"/>
  <c r="BT66"/>
  <c r="BS66"/>
  <c r="BR66"/>
  <c r="BQ66"/>
  <c r="BP66"/>
  <c r="BO66"/>
  <c r="BN66"/>
  <c r="BM66"/>
  <c r="BL66"/>
  <c r="BK66"/>
  <c r="BJ66"/>
  <c r="BI66"/>
  <c r="BH66"/>
  <c r="BG66"/>
  <c r="BF66"/>
  <c r="BE66"/>
  <c r="BD66"/>
  <c r="BC66"/>
  <c r="BB66"/>
  <c r="BA66"/>
  <c r="AZ66"/>
  <c r="AY66"/>
  <c r="AX66"/>
  <c r="AW66"/>
  <c r="AV66"/>
  <c r="AC66"/>
  <c r="H66"/>
  <c r="G66"/>
  <c r="E66"/>
  <c r="BT65"/>
  <c r="BS65"/>
  <c r="BR65"/>
  <c r="BQ65"/>
  <c r="BP65"/>
  <c r="BO65"/>
  <c r="BN65"/>
  <c r="BM65"/>
  <c r="BL65"/>
  <c r="BK65"/>
  <c r="BJ65"/>
  <c r="BI65"/>
  <c r="BH65"/>
  <c r="BG65"/>
  <c r="BF65"/>
  <c r="BE65"/>
  <c r="BD65"/>
  <c r="BC65"/>
  <c r="BB65"/>
  <c r="BA65"/>
  <c r="AZ65"/>
  <c r="AY65"/>
  <c r="AX65"/>
  <c r="AW65"/>
  <c r="AV65"/>
  <c r="AC65"/>
  <c r="H65"/>
  <c r="G65"/>
  <c r="E65"/>
  <c r="BT64"/>
  <c r="BS64"/>
  <c r="BR64"/>
  <c r="BQ64"/>
  <c r="BP64"/>
  <c r="BO64"/>
  <c r="BN64"/>
  <c r="BM64"/>
  <c r="BL64"/>
  <c r="BK64"/>
  <c r="BJ64"/>
  <c r="BI64"/>
  <c r="BH64"/>
  <c r="BG64"/>
  <c r="BF64"/>
  <c r="BE64"/>
  <c r="BD64"/>
  <c r="BC64"/>
  <c r="BB64"/>
  <c r="BA64"/>
  <c r="AZ64"/>
  <c r="AY64"/>
  <c r="AX64"/>
  <c r="AW64"/>
  <c r="AV64"/>
  <c r="AC64"/>
  <c r="H64"/>
  <c r="G64"/>
  <c r="E64"/>
  <c r="BT63"/>
  <c r="BS63"/>
  <c r="BR63"/>
  <c r="BQ63"/>
  <c r="BP63"/>
  <c r="BO63"/>
  <c r="BN63"/>
  <c r="BM63"/>
  <c r="BL63"/>
  <c r="BK63"/>
  <c r="BJ63"/>
  <c r="BI63"/>
  <c r="BH63"/>
  <c r="BG63"/>
  <c r="BF63"/>
  <c r="BE63"/>
  <c r="BD63"/>
  <c r="BC63"/>
  <c r="BB63"/>
  <c r="BA63"/>
  <c r="AZ63"/>
  <c r="AY63"/>
  <c r="AX63"/>
  <c r="AW63"/>
  <c r="AV63"/>
  <c r="AC63"/>
  <c r="H63"/>
  <c r="G63"/>
  <c r="E63"/>
  <c r="BT62"/>
  <c r="BS62"/>
  <c r="BR62"/>
  <c r="BQ62"/>
  <c r="BP62"/>
  <c r="BO62"/>
  <c r="BN62"/>
  <c r="BM62"/>
  <c r="BL62"/>
  <c r="BK62"/>
  <c r="BJ62"/>
  <c r="BI62"/>
  <c r="BH62"/>
  <c r="BG62"/>
  <c r="BF62"/>
  <c r="BE62"/>
  <c r="BD62"/>
  <c r="BC62"/>
  <c r="BB62"/>
  <c r="BA62"/>
  <c r="AZ62"/>
  <c r="AY62"/>
  <c r="AX62"/>
  <c r="AW62"/>
  <c r="AV62"/>
  <c r="AC62"/>
  <c r="H62"/>
  <c r="G62"/>
  <c r="E62"/>
  <c r="BT61"/>
  <c r="BS61"/>
  <c r="BR61"/>
  <c r="BQ61"/>
  <c r="BP61"/>
  <c r="BO61"/>
  <c r="BN61"/>
  <c r="BM61"/>
  <c r="BL61"/>
  <c r="BK61"/>
  <c r="BJ61"/>
  <c r="BI61"/>
  <c r="BH61"/>
  <c r="BG61"/>
  <c r="BF61"/>
  <c r="BE61"/>
  <c r="BD61"/>
  <c r="BC61"/>
  <c r="BB61"/>
  <c r="BA61"/>
  <c r="AZ61"/>
  <c r="AY61"/>
  <c r="AX61"/>
  <c r="AW61"/>
  <c r="AV61"/>
  <c r="AC61"/>
  <c r="H61"/>
  <c r="G61"/>
  <c r="E61"/>
  <c r="BT60"/>
  <c r="BS60"/>
  <c r="BR60"/>
  <c r="BQ60"/>
  <c r="BP60"/>
  <c r="BO60"/>
  <c r="BN60"/>
  <c r="BM60"/>
  <c r="BL60"/>
  <c r="BK60"/>
  <c r="BJ60"/>
  <c r="BI60"/>
  <c r="BH60"/>
  <c r="BG60"/>
  <c r="BF60"/>
  <c r="BE60"/>
  <c r="BD60"/>
  <c r="BC60"/>
  <c r="BB60"/>
  <c r="BA60"/>
  <c r="AZ60"/>
  <c r="AY60"/>
  <c r="AX60"/>
  <c r="AW60"/>
  <c r="AV60"/>
  <c r="AC60"/>
  <c r="H60"/>
  <c r="G60"/>
  <c r="E60"/>
  <c r="BT59"/>
  <c r="BS59"/>
  <c r="BR59"/>
  <c r="BQ59"/>
  <c r="BP59"/>
  <c r="BO59"/>
  <c r="BN59"/>
  <c r="BM59"/>
  <c r="BL59"/>
  <c r="BK59"/>
  <c r="BJ59"/>
  <c r="BI59"/>
  <c r="BH59"/>
  <c r="BG59"/>
  <c r="BF59"/>
  <c r="BE59"/>
  <c r="BD59"/>
  <c r="BC59"/>
  <c r="BB59"/>
  <c r="BA59"/>
  <c r="AZ59"/>
  <c r="AY59"/>
  <c r="AX59"/>
  <c r="AW59"/>
  <c r="AV59"/>
  <c r="AC59"/>
  <c r="H59"/>
  <c r="G59"/>
  <c r="E59"/>
  <c r="BT58"/>
  <c r="BS58"/>
  <c r="BR58"/>
  <c r="BQ58"/>
  <c r="BP58"/>
  <c r="BO58"/>
  <c r="BN58"/>
  <c r="BM58"/>
  <c r="BL58"/>
  <c r="BK58"/>
  <c r="BJ58"/>
  <c r="BI58"/>
  <c r="BH58"/>
  <c r="BG58"/>
  <c r="BF58"/>
  <c r="BE58"/>
  <c r="BD58"/>
  <c r="BC58"/>
  <c r="BB58"/>
  <c r="BA58"/>
  <c r="AZ58"/>
  <c r="AY58"/>
  <c r="AX58"/>
  <c r="AW58"/>
  <c r="AV58"/>
  <c r="AC58"/>
  <c r="H58"/>
  <c r="G58"/>
  <c r="E58"/>
  <c r="BT57"/>
  <c r="BS57"/>
  <c r="BR57"/>
  <c r="BQ57"/>
  <c r="BP57"/>
  <c r="BO57"/>
  <c r="BN57"/>
  <c r="BM57"/>
  <c r="BL57"/>
  <c r="BK57"/>
  <c r="BJ57"/>
  <c r="BI57"/>
  <c r="BH57"/>
  <c r="BG57"/>
  <c r="BF57"/>
  <c r="BE57"/>
  <c r="BD57"/>
  <c r="BC57"/>
  <c r="BB57"/>
  <c r="BA57"/>
  <c r="AZ57"/>
  <c r="AY57"/>
  <c r="AX57"/>
  <c r="AW57"/>
  <c r="AV57"/>
  <c r="AC57"/>
  <c r="H57"/>
  <c r="G57"/>
  <c r="E57"/>
  <c r="BT56"/>
  <c r="BS56"/>
  <c r="BR56"/>
  <c r="BQ56"/>
  <c r="BP56"/>
  <c r="BO56"/>
  <c r="BN56"/>
  <c r="BM56"/>
  <c r="BL56"/>
  <c r="BK56"/>
  <c r="BJ56"/>
  <c r="BI56"/>
  <c r="BH56"/>
  <c r="BG56"/>
  <c r="BF56"/>
  <c r="BE56"/>
  <c r="BD56"/>
  <c r="BC56"/>
  <c r="BB56"/>
  <c r="BA56"/>
  <c r="AZ56"/>
  <c r="AY56"/>
  <c r="AX56"/>
  <c r="AW56"/>
  <c r="AV56"/>
  <c r="AC56"/>
  <c r="H56"/>
  <c r="G56"/>
  <c r="E56"/>
  <c r="BT55"/>
  <c r="BS55"/>
  <c r="BR55"/>
  <c r="BQ55"/>
  <c r="BP55"/>
  <c r="BO55"/>
  <c r="BN55"/>
  <c r="BM55"/>
  <c r="BL55"/>
  <c r="BK55"/>
  <c r="BJ55"/>
  <c r="BI55"/>
  <c r="BH55"/>
  <c r="BG55"/>
  <c r="BF55"/>
  <c r="BE55"/>
  <c r="BD55"/>
  <c r="BC55"/>
  <c r="BB55"/>
  <c r="BA55"/>
  <c r="AZ55"/>
  <c r="AY55"/>
  <c r="AX55"/>
  <c r="AW55"/>
  <c r="AV55"/>
  <c r="AC55"/>
  <c r="H55"/>
  <c r="G55"/>
  <c r="E55"/>
  <c r="BT54"/>
  <c r="BS54"/>
  <c r="BR54"/>
  <c r="BQ54"/>
  <c r="BP54"/>
  <c r="BO54"/>
  <c r="BN54"/>
  <c r="BM54"/>
  <c r="BL54"/>
  <c r="BK54"/>
  <c r="BJ54"/>
  <c r="BI54"/>
  <c r="BH54"/>
  <c r="BG54"/>
  <c r="BF54"/>
  <c r="BE54"/>
  <c r="BD54"/>
  <c r="BC54"/>
  <c r="BB54"/>
  <c r="BA54"/>
  <c r="AZ54"/>
  <c r="AY54"/>
  <c r="AX54"/>
  <c r="AW54"/>
  <c r="AV54"/>
  <c r="AC54"/>
  <c r="H54"/>
  <c r="G54"/>
  <c r="E54"/>
  <c r="BT53"/>
  <c r="BS53"/>
  <c r="BR53"/>
  <c r="BQ53"/>
  <c r="BP53"/>
  <c r="BO53"/>
  <c r="BN53"/>
  <c r="BM53"/>
  <c r="BL53"/>
  <c r="BK53"/>
  <c r="BJ53"/>
  <c r="BI53"/>
  <c r="BH53"/>
  <c r="BG53"/>
  <c r="BF53"/>
  <c r="BE53"/>
  <c r="BD53"/>
  <c r="BC53"/>
  <c r="BB53"/>
  <c r="BA53"/>
  <c r="AZ53"/>
  <c r="AY53"/>
  <c r="AX53"/>
  <c r="AW53"/>
  <c r="AV53"/>
  <c r="AC53"/>
  <c r="H53"/>
  <c r="G53"/>
  <c r="E53"/>
  <c r="BT52"/>
  <c r="BS52"/>
  <c r="BR52"/>
  <c r="BQ52"/>
  <c r="BP52"/>
  <c r="BO52"/>
  <c r="BN52"/>
  <c r="BM52"/>
  <c r="BL52"/>
  <c r="BK52"/>
  <c r="BJ52"/>
  <c r="BI52"/>
  <c r="BH52"/>
  <c r="BG52"/>
  <c r="BF52"/>
  <c r="BE52"/>
  <c r="BD52"/>
  <c r="BC52"/>
  <c r="BB52"/>
  <c r="BA52"/>
  <c r="AZ52"/>
  <c r="AY52"/>
  <c r="AX52"/>
  <c r="AW52"/>
  <c r="AV52"/>
  <c r="AC52"/>
  <c r="H52"/>
  <c r="G52"/>
  <c r="E52"/>
  <c r="BT51"/>
  <c r="BS51"/>
  <c r="BR51"/>
  <c r="BQ51"/>
  <c r="BP51"/>
  <c r="BO51"/>
  <c r="BN51"/>
  <c r="BM51"/>
  <c r="BL51"/>
  <c r="BK51"/>
  <c r="BJ51"/>
  <c r="BI51"/>
  <c r="BH51"/>
  <c r="BG51"/>
  <c r="BF51"/>
  <c r="BE51"/>
  <c r="BD51"/>
  <c r="BC51"/>
  <c r="BB51"/>
  <c r="BA51"/>
  <c r="AZ51"/>
  <c r="AY51"/>
  <c r="AX51"/>
  <c r="AW51"/>
  <c r="AV51"/>
  <c r="AC51"/>
  <c r="H51"/>
  <c r="G51"/>
  <c r="E51"/>
  <c r="BT50"/>
  <c r="BS50"/>
  <c r="BR50"/>
  <c r="BQ50"/>
  <c r="BP50"/>
  <c r="BO50"/>
  <c r="BN50"/>
  <c r="BM50"/>
  <c r="BL50"/>
  <c r="BK50"/>
  <c r="BJ50"/>
  <c r="BI50"/>
  <c r="BH50"/>
  <c r="BG50"/>
  <c r="BF50"/>
  <c r="BE50"/>
  <c r="BD50"/>
  <c r="BC50"/>
  <c r="BB50"/>
  <c r="BA50"/>
  <c r="AZ50"/>
  <c r="AY50"/>
  <c r="AX50"/>
  <c r="AW50"/>
  <c r="AV50"/>
  <c r="AC50"/>
  <c r="H50"/>
  <c r="G50"/>
  <c r="E50"/>
  <c r="BT49"/>
  <c r="BS49"/>
  <c r="BR49"/>
  <c r="BQ49"/>
  <c r="BP49"/>
  <c r="BO49"/>
  <c r="BN49"/>
  <c r="BM49"/>
  <c r="BL49"/>
  <c r="BK49"/>
  <c r="BJ49"/>
  <c r="BI49"/>
  <c r="BH49"/>
  <c r="BG49"/>
  <c r="BF49"/>
  <c r="BE49"/>
  <c r="BD49"/>
  <c r="BC49"/>
  <c r="BB49"/>
  <c r="BA49"/>
  <c r="AZ49"/>
  <c r="AY49"/>
  <c r="AX49"/>
  <c r="AW49"/>
  <c r="AV49"/>
  <c r="AC49"/>
  <c r="H49"/>
  <c r="G49"/>
  <c r="E49"/>
  <c r="BT48"/>
  <c r="BS48"/>
  <c r="BR48"/>
  <c r="BQ48"/>
  <c r="BP48"/>
  <c r="BO48"/>
  <c r="BN48"/>
  <c r="BM48"/>
  <c r="BL48"/>
  <c r="BK48"/>
  <c r="BJ48"/>
  <c r="BI48"/>
  <c r="BH48"/>
  <c r="BG48"/>
  <c r="BF48"/>
  <c r="BE48"/>
  <c r="BD48"/>
  <c r="BC48"/>
  <c r="BB48"/>
  <c r="BA48"/>
  <c r="AZ48"/>
  <c r="AY48"/>
  <c r="AX48"/>
  <c r="AW48"/>
  <c r="AV48"/>
  <c r="AC48"/>
  <c r="H48"/>
  <c r="G48"/>
  <c r="E48"/>
  <c r="BT47"/>
  <c r="BS47"/>
  <c r="BR47"/>
  <c r="BQ47"/>
  <c r="BP47"/>
  <c r="BO47"/>
  <c r="BN47"/>
  <c r="BM47"/>
  <c r="BL47"/>
  <c r="BK47"/>
  <c r="BJ47"/>
  <c r="BI47"/>
  <c r="BH47"/>
  <c r="BG47"/>
  <c r="BF47"/>
  <c r="BE47"/>
  <c r="BD47"/>
  <c r="BC47"/>
  <c r="BB47"/>
  <c r="BA47"/>
  <c r="AZ47"/>
  <c r="AY47"/>
  <c r="AX47"/>
  <c r="AW47"/>
  <c r="AV47"/>
  <c r="AC47"/>
  <c r="H47"/>
  <c r="G47"/>
  <c r="E47"/>
  <c r="BT46"/>
  <c r="BS46"/>
  <c r="BR46"/>
  <c r="BQ46"/>
  <c r="BP46"/>
  <c r="BO46"/>
  <c r="BN46"/>
  <c r="BM46"/>
  <c r="BL46"/>
  <c r="BK46"/>
  <c r="BJ46"/>
  <c r="BI46"/>
  <c r="BH46"/>
  <c r="BG46"/>
  <c r="BF46"/>
  <c r="BE46"/>
  <c r="BD46"/>
  <c r="BC46"/>
  <c r="BB46"/>
  <c r="BA46"/>
  <c r="AZ46"/>
  <c r="AY46"/>
  <c r="AX46"/>
  <c r="AW46"/>
  <c r="AV46"/>
  <c r="AC46"/>
  <c r="H46"/>
  <c r="G46"/>
  <c r="E46"/>
  <c r="BT45"/>
  <c r="BS45"/>
  <c r="BR45"/>
  <c r="BQ45"/>
  <c r="BP45"/>
  <c r="BO45"/>
  <c r="BN45"/>
  <c r="BM45"/>
  <c r="BL45"/>
  <c r="BK45"/>
  <c r="BJ45"/>
  <c r="BI45"/>
  <c r="BH45"/>
  <c r="BG45"/>
  <c r="BF45"/>
  <c r="BE45"/>
  <c r="BD45"/>
  <c r="BC45"/>
  <c r="BB45"/>
  <c r="BA45"/>
  <c r="AZ45"/>
  <c r="AY45"/>
  <c r="AX45"/>
  <c r="AW45"/>
  <c r="AV45"/>
  <c r="AC45"/>
  <c r="H45"/>
  <c r="G45"/>
  <c r="E45"/>
  <c r="BT44"/>
  <c r="BS44"/>
  <c r="BR44"/>
  <c r="BQ44"/>
  <c r="BP44"/>
  <c r="BO44"/>
  <c r="BN44"/>
  <c r="BM44"/>
  <c r="BL44"/>
  <c r="BK44"/>
  <c r="BJ44"/>
  <c r="BI44"/>
  <c r="BH44"/>
  <c r="BG44"/>
  <c r="BF44"/>
  <c r="BE44"/>
  <c r="BD44"/>
  <c r="BC44"/>
  <c r="BB44"/>
  <c r="BA44"/>
  <c r="AZ44"/>
  <c r="AY44"/>
  <c r="AX44"/>
  <c r="AW44"/>
  <c r="AV44"/>
  <c r="AC44"/>
  <c r="H44"/>
  <c r="G44"/>
  <c r="E44"/>
  <c r="BT43"/>
  <c r="BS43"/>
  <c r="BR43"/>
  <c r="BQ43"/>
  <c r="BP43"/>
  <c r="BO43"/>
  <c r="BN43"/>
  <c r="BM43"/>
  <c r="BL43"/>
  <c r="BK43"/>
  <c r="BJ43"/>
  <c r="BI43"/>
  <c r="BH43"/>
  <c r="BG43"/>
  <c r="BF43"/>
  <c r="BE43"/>
  <c r="BD43"/>
  <c r="BC43"/>
  <c r="BB43"/>
  <c r="BA43"/>
  <c r="AZ43"/>
  <c r="AY43"/>
  <c r="AX43"/>
  <c r="AW43"/>
  <c r="AV43"/>
  <c r="AC43"/>
  <c r="H43"/>
  <c r="G43"/>
  <c r="E43"/>
  <c r="BT42"/>
  <c r="BS42"/>
  <c r="BR42"/>
  <c r="BQ42"/>
  <c r="BP42"/>
  <c r="BO42"/>
  <c r="BN42"/>
  <c r="BM42"/>
  <c r="BL42"/>
  <c r="BK42"/>
  <c r="BJ42"/>
  <c r="BI42"/>
  <c r="BH42"/>
  <c r="BG42"/>
  <c r="BF42"/>
  <c r="BE42"/>
  <c r="BD42"/>
  <c r="BC42"/>
  <c r="BB42"/>
  <c r="BA42"/>
  <c r="AZ42"/>
  <c r="AY42"/>
  <c r="AX42"/>
  <c r="AW42"/>
  <c r="AV42"/>
  <c r="AC42"/>
  <c r="H42"/>
  <c r="G42"/>
  <c r="E42"/>
  <c r="BT41"/>
  <c r="BS41"/>
  <c r="BR41"/>
  <c r="BQ41"/>
  <c r="BP41"/>
  <c r="BO41"/>
  <c r="BN41"/>
  <c r="BM41"/>
  <c r="BL41"/>
  <c r="BK41"/>
  <c r="BJ41"/>
  <c r="BI41"/>
  <c r="BH41"/>
  <c r="BG41"/>
  <c r="BF41"/>
  <c r="BE41"/>
  <c r="BD41"/>
  <c r="BC41"/>
  <c r="BB41"/>
  <c r="BA41"/>
  <c r="AZ41"/>
  <c r="AY41"/>
  <c r="AX41"/>
  <c r="AW41"/>
  <c r="AV41"/>
  <c r="AC41"/>
  <c r="H41"/>
  <c r="G41"/>
  <c r="E41"/>
  <c r="BT40"/>
  <c r="BS40"/>
  <c r="BR40"/>
  <c r="BQ40"/>
  <c r="BP40"/>
  <c r="BO40"/>
  <c r="BN40"/>
  <c r="BM40"/>
  <c r="BL40"/>
  <c r="BK40"/>
  <c r="BJ40"/>
  <c r="BI40"/>
  <c r="BH40"/>
  <c r="BG40"/>
  <c r="BF40"/>
  <c r="BE40"/>
  <c r="BD40"/>
  <c r="BC40"/>
  <c r="BB40"/>
  <c r="BA40"/>
  <c r="AZ40"/>
  <c r="AY40"/>
  <c r="AX40"/>
  <c r="AW40"/>
  <c r="AV40"/>
  <c r="AC40"/>
  <c r="H40"/>
  <c r="G40"/>
  <c r="E40"/>
  <c r="BT39"/>
  <c r="BS39"/>
  <c r="BR39"/>
  <c r="BQ39"/>
  <c r="BP39"/>
  <c r="BO39"/>
  <c r="BN39"/>
  <c r="BM39"/>
  <c r="BL39"/>
  <c r="BK39"/>
  <c r="BJ39"/>
  <c r="BI39"/>
  <c r="BH39"/>
  <c r="BG39"/>
  <c r="BF39"/>
  <c r="BE39"/>
  <c r="BD39"/>
  <c r="BC39"/>
  <c r="BB39"/>
  <c r="BA39"/>
  <c r="AZ39"/>
  <c r="AY39"/>
  <c r="AX39"/>
  <c r="AW39"/>
  <c r="AV39"/>
  <c r="AC39"/>
  <c r="H39"/>
  <c r="G39"/>
  <c r="E39"/>
  <c r="BT38"/>
  <c r="BS38"/>
  <c r="BR38"/>
  <c r="BQ38"/>
  <c r="BP38"/>
  <c r="BO38"/>
  <c r="BN38"/>
  <c r="BM38"/>
  <c r="BL38"/>
  <c r="BK38"/>
  <c r="BJ38"/>
  <c r="BI38"/>
  <c r="BH38"/>
  <c r="BG38"/>
  <c r="BF38"/>
  <c r="BE38"/>
  <c r="BD38"/>
  <c r="BC38"/>
  <c r="BB38"/>
  <c r="BA38"/>
  <c r="AZ38"/>
  <c r="AY38"/>
  <c r="AX38"/>
  <c r="AW38"/>
  <c r="AV38"/>
  <c r="AC38"/>
  <c r="H38"/>
  <c r="G38"/>
  <c r="E38"/>
  <c r="BT37"/>
  <c r="BS37"/>
  <c r="BR37"/>
  <c r="BQ37"/>
  <c r="BP37"/>
  <c r="BO37"/>
  <c r="BN37"/>
  <c r="BM37"/>
  <c r="BL37"/>
  <c r="BK37"/>
  <c r="BJ37"/>
  <c r="BI37"/>
  <c r="BH37"/>
  <c r="BG37"/>
  <c r="BF37"/>
  <c r="BE37"/>
  <c r="BD37"/>
  <c r="BC37"/>
  <c r="BB37"/>
  <c r="BA37"/>
  <c r="AZ37"/>
  <c r="AY37"/>
  <c r="AX37"/>
  <c r="AW37"/>
  <c r="AV37"/>
  <c r="AC37"/>
  <c r="H37"/>
  <c r="G37"/>
  <c r="E37"/>
  <c r="BT36"/>
  <c r="BS36"/>
  <c r="BR36"/>
  <c r="BQ36"/>
  <c r="BP36"/>
  <c r="BO36"/>
  <c r="BN36"/>
  <c r="BM36"/>
  <c r="BL36"/>
  <c r="BK36"/>
  <c r="BJ36"/>
  <c r="BI36"/>
  <c r="BH36"/>
  <c r="BG36"/>
  <c r="BF36"/>
  <c r="BE36"/>
  <c r="BD36"/>
  <c r="BC36"/>
  <c r="BB36"/>
  <c r="BA36"/>
  <c r="AZ36"/>
  <c r="AY36"/>
  <c r="AX36"/>
  <c r="AW36"/>
  <c r="AV36"/>
  <c r="AC36"/>
  <c r="H36"/>
  <c r="G36"/>
  <c r="E36"/>
  <c r="BT35"/>
  <c r="BS35"/>
  <c r="BR35"/>
  <c r="BQ35"/>
  <c r="BP35"/>
  <c r="BO35"/>
  <c r="BN35"/>
  <c r="BM35"/>
  <c r="BL35"/>
  <c r="BK35"/>
  <c r="BJ35"/>
  <c r="BI35"/>
  <c r="BH35"/>
  <c r="BG35"/>
  <c r="BF35"/>
  <c r="BE35"/>
  <c r="BD35"/>
  <c r="BC35"/>
  <c r="BB35"/>
  <c r="BA35"/>
  <c r="AZ35"/>
  <c r="AY35"/>
  <c r="AX35"/>
  <c r="AW35"/>
  <c r="AV35"/>
  <c r="AC35"/>
  <c r="H35"/>
  <c r="G35"/>
  <c r="E35"/>
  <c r="BT34"/>
  <c r="BS34"/>
  <c r="BR34"/>
  <c r="BQ34"/>
  <c r="BP34"/>
  <c r="BO34"/>
  <c r="BN34"/>
  <c r="BM34"/>
  <c r="BL34"/>
  <c r="BK34"/>
  <c r="BJ34"/>
  <c r="BI34"/>
  <c r="BH34"/>
  <c r="BG34"/>
  <c r="BF34"/>
  <c r="BE34"/>
  <c r="BD34"/>
  <c r="BC34"/>
  <c r="BB34"/>
  <c r="BA34"/>
  <c r="AZ34"/>
  <c r="AY34"/>
  <c r="AX34"/>
  <c r="AW34"/>
  <c r="AV34"/>
  <c r="AC34"/>
  <c r="H34"/>
  <c r="G34"/>
  <c r="E34"/>
  <c r="BT33"/>
  <c r="BS33"/>
  <c r="BR33"/>
  <c r="BQ33"/>
  <c r="BP33"/>
  <c r="BO33"/>
  <c r="BN33"/>
  <c r="BM33"/>
  <c r="BL33"/>
  <c r="BK33"/>
  <c r="BJ33"/>
  <c r="BI33"/>
  <c r="BH33"/>
  <c r="BG33"/>
  <c r="BF33"/>
  <c r="BE33"/>
  <c r="BD33"/>
  <c r="BC33"/>
  <c r="BB33"/>
  <c r="BA33"/>
  <c r="AZ33"/>
  <c r="AY33"/>
  <c r="AX33"/>
  <c r="AW33"/>
  <c r="AV33"/>
  <c r="AC33"/>
  <c r="H33"/>
  <c r="G33"/>
  <c r="E33"/>
  <c r="BT32"/>
  <c r="BS32"/>
  <c r="BR32"/>
  <c r="BQ32"/>
  <c r="BP32"/>
  <c r="BO32"/>
  <c r="BN32"/>
  <c r="BM32"/>
  <c r="BL32"/>
  <c r="BK32"/>
  <c r="BJ32"/>
  <c r="BI32"/>
  <c r="BH32"/>
  <c r="BG32"/>
  <c r="BF32"/>
  <c r="BE32"/>
  <c r="BD32"/>
  <c r="BC32"/>
  <c r="BB32"/>
  <c r="BA32"/>
  <c r="AZ32"/>
  <c r="AY32"/>
  <c r="AX32"/>
  <c r="AW32"/>
  <c r="AV32"/>
  <c r="AC32"/>
  <c r="H32"/>
  <c r="G32"/>
  <c r="E32"/>
  <c r="BT31"/>
  <c r="BS31"/>
  <c r="BR31"/>
  <c r="BQ31"/>
  <c r="BP31"/>
  <c r="BO31"/>
  <c r="BN31"/>
  <c r="BM31"/>
  <c r="BL31"/>
  <c r="BK31"/>
  <c r="BJ31"/>
  <c r="BI31"/>
  <c r="BH31"/>
  <c r="BG31"/>
  <c r="BF31"/>
  <c r="BE31"/>
  <c r="BD31"/>
  <c r="BC31"/>
  <c r="BB31"/>
  <c r="BA31"/>
  <c r="AZ31"/>
  <c r="AY31"/>
  <c r="AX31"/>
  <c r="AW31"/>
  <c r="AV31"/>
  <c r="AC31"/>
  <c r="H31"/>
  <c r="G31"/>
  <c r="E31"/>
  <c r="BT30"/>
  <c r="BS30"/>
  <c r="BR30"/>
  <c r="BQ30"/>
  <c r="BP30"/>
  <c r="BO30"/>
  <c r="BN30"/>
  <c r="BM30"/>
  <c r="BL30"/>
  <c r="BK30"/>
  <c r="BJ30"/>
  <c r="BI30"/>
  <c r="BH30"/>
  <c r="BG30"/>
  <c r="BF30"/>
  <c r="BE30"/>
  <c r="BD30"/>
  <c r="BC30"/>
  <c r="BB30"/>
  <c r="BA30"/>
  <c r="AZ30"/>
  <c r="AY30"/>
  <c r="AX30"/>
  <c r="AW30"/>
  <c r="AV30"/>
  <c r="AC30"/>
  <c r="H30"/>
  <c r="G30"/>
  <c r="E30"/>
  <c r="BT29"/>
  <c r="BS29"/>
  <c r="BR29"/>
  <c r="BQ29"/>
  <c r="BP29"/>
  <c r="BO29"/>
  <c r="BN29"/>
  <c r="BM29"/>
  <c r="BL29"/>
  <c r="BK29"/>
  <c r="BJ29"/>
  <c r="BI29"/>
  <c r="BH29"/>
  <c r="BG29"/>
  <c r="BF29"/>
  <c r="BE29"/>
  <c r="BD29"/>
  <c r="BC29"/>
  <c r="BB29"/>
  <c r="BA29"/>
  <c r="AZ29"/>
  <c r="AY29"/>
  <c r="AX29"/>
  <c r="AW29"/>
  <c r="AV29"/>
  <c r="AC29"/>
  <c r="H29"/>
  <c r="G29"/>
  <c r="E29"/>
  <c r="BT28"/>
  <c r="BS28"/>
  <c r="BR28"/>
  <c r="BQ28"/>
  <c r="BP28"/>
  <c r="BO28"/>
  <c r="BN28"/>
  <c r="BM28"/>
  <c r="BL28"/>
  <c r="BK28"/>
  <c r="BJ28"/>
  <c r="BI28"/>
  <c r="BH28"/>
  <c r="BG28"/>
  <c r="BF28"/>
  <c r="BE28"/>
  <c r="BD28"/>
  <c r="BC28"/>
  <c r="BB28"/>
  <c r="BA28"/>
  <c r="AZ28"/>
  <c r="AY28"/>
  <c r="AX28"/>
  <c r="AW28"/>
  <c r="AV28"/>
  <c r="AC28"/>
  <c r="H28"/>
  <c r="G28"/>
  <c r="E28"/>
  <c r="BT27"/>
  <c r="BS27"/>
  <c r="BR27"/>
  <c r="BQ27"/>
  <c r="BP27"/>
  <c r="BO27"/>
  <c r="BN27"/>
  <c r="BM27"/>
  <c r="BL27"/>
  <c r="BK27"/>
  <c r="BJ27"/>
  <c r="BI27"/>
  <c r="BH27"/>
  <c r="BG27"/>
  <c r="BF27"/>
  <c r="BE27"/>
  <c r="BD27"/>
  <c r="BC27"/>
  <c r="BB27"/>
  <c r="BA27"/>
  <c r="AZ27"/>
  <c r="AY27"/>
  <c r="AX27"/>
  <c r="AW27"/>
  <c r="AV27"/>
  <c r="AC27"/>
  <c r="H27"/>
  <c r="G27"/>
  <c r="E27"/>
  <c r="BT26"/>
  <c r="BS26"/>
  <c r="BR26"/>
  <c r="BQ26"/>
  <c r="BP26"/>
  <c r="BO26"/>
  <c r="BN26"/>
  <c r="BM26"/>
  <c r="BL26"/>
  <c r="BK26"/>
  <c r="BJ26"/>
  <c r="BI26"/>
  <c r="BH26"/>
  <c r="BG26"/>
  <c r="BF26"/>
  <c r="BE26"/>
  <c r="BD26"/>
  <c r="BC26"/>
  <c r="BB26"/>
  <c r="BA26"/>
  <c r="AZ26"/>
  <c r="AY26"/>
  <c r="AX26"/>
  <c r="AW26"/>
  <c r="AV26"/>
  <c r="AC26"/>
  <c r="H26"/>
  <c r="G26"/>
  <c r="E26"/>
  <c r="BT25"/>
  <c r="BS25"/>
  <c r="BR25"/>
  <c r="BQ25"/>
  <c r="BP25"/>
  <c r="BO25"/>
  <c r="BN25"/>
  <c r="BM25"/>
  <c r="BL25"/>
  <c r="BK25"/>
  <c r="BJ25"/>
  <c r="BI25"/>
  <c r="BH25"/>
  <c r="BG25"/>
  <c r="BF25"/>
  <c r="BE25"/>
  <c r="BD25"/>
  <c r="BC25"/>
  <c r="BB25"/>
  <c r="BA25"/>
  <c r="AZ25"/>
  <c r="AY25"/>
  <c r="AX25"/>
  <c r="AW25"/>
  <c r="AV25"/>
  <c r="AC25"/>
  <c r="H25"/>
  <c r="G25"/>
  <c r="E25"/>
  <c r="BT24"/>
  <c r="BS24"/>
  <c r="BR24"/>
  <c r="BQ24"/>
  <c r="BP24"/>
  <c r="BO24"/>
  <c r="BN24"/>
  <c r="BM24"/>
  <c r="BL24"/>
  <c r="BK24"/>
  <c r="BJ24"/>
  <c r="BI24"/>
  <c r="BH24"/>
  <c r="BG24"/>
  <c r="BF24"/>
  <c r="BE24"/>
  <c r="BD24"/>
  <c r="BC24"/>
  <c r="BB24"/>
  <c r="BA24"/>
  <c r="AZ24"/>
  <c r="AY24"/>
  <c r="AX24"/>
  <c r="AW24"/>
  <c r="AV24"/>
  <c r="AC24"/>
  <c r="H24"/>
  <c r="G24"/>
  <c r="E24"/>
  <c r="BT23"/>
  <c r="BS23"/>
  <c r="BR23"/>
  <c r="BQ23"/>
  <c r="BP23"/>
  <c r="BO23"/>
  <c r="BN23"/>
  <c r="BM23"/>
  <c r="BL23"/>
  <c r="BK23"/>
  <c r="BJ23"/>
  <c r="BI23"/>
  <c r="BH23"/>
  <c r="BG23"/>
  <c r="BF23"/>
  <c r="BE23"/>
  <c r="BD23"/>
  <c r="BC23"/>
  <c r="BB23"/>
  <c r="BA23"/>
  <c r="AZ23"/>
  <c r="AY23"/>
  <c r="AX23"/>
  <c r="AW23"/>
  <c r="AV23"/>
  <c r="AC23"/>
  <c r="H23"/>
  <c r="G23"/>
  <c r="E23"/>
  <c r="BT22"/>
  <c r="BS22"/>
  <c r="BR22"/>
  <c r="BQ22"/>
  <c r="BP22"/>
  <c r="BO22"/>
  <c r="BN22"/>
  <c r="BM22"/>
  <c r="BL22"/>
  <c r="BK22"/>
  <c r="BJ22"/>
  <c r="BI22"/>
  <c r="BH22"/>
  <c r="BG22"/>
  <c r="BF22"/>
  <c r="BE22"/>
  <c r="BD22"/>
  <c r="BC22"/>
  <c r="BB22"/>
  <c r="BA22"/>
  <c r="AZ22"/>
  <c r="AY22"/>
  <c r="AX22"/>
  <c r="AW22"/>
  <c r="AV22"/>
  <c r="AC22"/>
  <c r="H22"/>
  <c r="G22"/>
  <c r="E22"/>
  <c r="BT21"/>
  <c r="BS21"/>
  <c r="BR21"/>
  <c r="BQ21"/>
  <c r="BP21"/>
  <c r="BO21"/>
  <c r="BN21"/>
  <c r="BM21"/>
  <c r="BL21"/>
  <c r="BK21"/>
  <c r="BJ21"/>
  <c r="BI21"/>
  <c r="BH21"/>
  <c r="BG21"/>
  <c r="BF21"/>
  <c r="BE21"/>
  <c r="BD21"/>
  <c r="BC21"/>
  <c r="BB21"/>
  <c r="BA21"/>
  <c r="AZ21"/>
  <c r="AY21"/>
  <c r="AX21"/>
  <c r="AW21"/>
  <c r="AV21"/>
  <c r="AC21"/>
  <c r="H21"/>
  <c r="G21"/>
  <c r="E21"/>
  <c r="BT20"/>
  <c r="BS20"/>
  <c r="BR20"/>
  <c r="BQ20"/>
  <c r="BP20"/>
  <c r="BO20"/>
  <c r="BN20"/>
  <c r="BM20"/>
  <c r="BL20"/>
  <c r="BK20"/>
  <c r="BJ20"/>
  <c r="BI20"/>
  <c r="BH20"/>
  <c r="BG20"/>
  <c r="BF20"/>
  <c r="BE20"/>
  <c r="BD20"/>
  <c r="BC20"/>
  <c r="BB20"/>
  <c r="BA20"/>
  <c r="AZ20"/>
  <c r="AY20"/>
  <c r="AX20"/>
  <c r="AW20"/>
  <c r="AV20"/>
  <c r="AC20"/>
  <c r="H20"/>
  <c r="G20"/>
  <c r="E20"/>
  <c r="BT19"/>
  <c r="BS19"/>
  <c r="BR19"/>
  <c r="BQ19"/>
  <c r="BP19"/>
  <c r="BO19"/>
  <c r="BN19"/>
  <c r="BM19"/>
  <c r="BL19"/>
  <c r="BK19"/>
  <c r="BJ19"/>
  <c r="BI19"/>
  <c r="BH19"/>
  <c r="BG19"/>
  <c r="BF19"/>
  <c r="BE19"/>
  <c r="BD19"/>
  <c r="BC19"/>
  <c r="BB19"/>
  <c r="BA19"/>
  <c r="AZ19"/>
  <c r="AY19"/>
  <c r="AX19"/>
  <c r="AW19"/>
  <c r="AV19"/>
  <c r="AC19"/>
  <c r="H19"/>
  <c r="G19"/>
  <c r="E19"/>
  <c r="BT18"/>
  <c r="BS18"/>
  <c r="BR18"/>
  <c r="BQ18"/>
  <c r="BP18"/>
  <c r="BO18"/>
  <c r="BN18"/>
  <c r="BM18"/>
  <c r="BL18"/>
  <c r="BK18"/>
  <c r="BJ18"/>
  <c r="BI18"/>
  <c r="BH18"/>
  <c r="BG18"/>
  <c r="BF18"/>
  <c r="BE18"/>
  <c r="BD18"/>
  <c r="BC18"/>
  <c r="BB18"/>
  <c r="BA18"/>
  <c r="AZ18"/>
  <c r="AY18"/>
  <c r="AX18"/>
  <c r="AW18"/>
  <c r="AV18"/>
  <c r="AC18"/>
  <c r="H18"/>
  <c r="G18"/>
  <c r="E18"/>
  <c r="BT17"/>
  <c r="BS17"/>
  <c r="BR17"/>
  <c r="BQ17"/>
  <c r="BP17"/>
  <c r="BO17"/>
  <c r="BN17"/>
  <c r="BM17"/>
  <c r="BL17"/>
  <c r="BK17"/>
  <c r="BJ17"/>
  <c r="BI17"/>
  <c r="BH17"/>
  <c r="BG17"/>
  <c r="BF17"/>
  <c r="BE17"/>
  <c r="BD17"/>
  <c r="BC17"/>
  <c r="BB17"/>
  <c r="BA17"/>
  <c r="AZ17"/>
  <c r="AY17"/>
  <c r="AX17"/>
  <c r="AW17"/>
  <c r="AV17"/>
  <c r="AC17"/>
  <c r="H17"/>
  <c r="G17"/>
  <c r="E17"/>
  <c r="BT16"/>
  <c r="BS16"/>
  <c r="BR16"/>
  <c r="BQ16"/>
  <c r="BP16"/>
  <c r="BO16"/>
  <c r="BN16"/>
  <c r="BM16"/>
  <c r="BL16"/>
  <c r="BK16"/>
  <c r="BJ16"/>
  <c r="BI16"/>
  <c r="BH16"/>
  <c r="BG16"/>
  <c r="BF16"/>
  <c r="BE16"/>
  <c r="BD16"/>
  <c r="BC16"/>
  <c r="BB16"/>
  <c r="BA16"/>
  <c r="AZ16"/>
  <c r="AY16"/>
  <c r="AX16"/>
  <c r="AW16"/>
  <c r="AV16"/>
  <c r="AC16"/>
  <c r="H16"/>
  <c r="G16"/>
  <c r="E16"/>
  <c r="BT15"/>
  <c r="BS15"/>
  <c r="BR15"/>
  <c r="BQ15"/>
  <c r="BP15"/>
  <c r="BO15"/>
  <c r="BN15"/>
  <c r="BM15"/>
  <c r="BL15"/>
  <c r="BK15"/>
  <c r="BJ15"/>
  <c r="BI15"/>
  <c r="BH15"/>
  <c r="BG15"/>
  <c r="BF15"/>
  <c r="BE15"/>
  <c r="BD15"/>
  <c r="BC15"/>
  <c r="BB15"/>
  <c r="BA15"/>
  <c r="AZ15"/>
  <c r="AY15"/>
  <c r="AX15"/>
  <c r="AW15"/>
  <c r="AV15"/>
  <c r="AC15"/>
  <c r="H15"/>
  <c r="G15"/>
  <c r="E15"/>
  <c r="BT14"/>
  <c r="BS14"/>
  <c r="BR14"/>
  <c r="BQ14"/>
  <c r="BP14"/>
  <c r="BO14"/>
  <c r="BN14"/>
  <c r="BM14"/>
  <c r="BL14"/>
  <c r="BK14"/>
  <c r="BJ14"/>
  <c r="BI14"/>
  <c r="BH14"/>
  <c r="BG14"/>
  <c r="BF14"/>
  <c r="BE14"/>
  <c r="BD14"/>
  <c r="BC14"/>
  <c r="BB14"/>
  <c r="BA14"/>
  <c r="AZ14"/>
  <c r="AY14"/>
  <c r="AX14"/>
  <c r="AW14"/>
  <c r="AV14"/>
  <c r="AC14"/>
  <c r="H14"/>
  <c r="G14"/>
  <c r="E14"/>
  <c r="BT13"/>
  <c r="BS13"/>
  <c r="BR13"/>
  <c r="BQ13"/>
  <c r="BP13"/>
  <c r="BO13"/>
  <c r="BN13"/>
  <c r="BM13"/>
  <c r="BL13"/>
  <c r="BK13"/>
  <c r="BJ13"/>
  <c r="BI13"/>
  <c r="BH13"/>
  <c r="BG13"/>
  <c r="BF13"/>
  <c r="BE13"/>
  <c r="BD13"/>
  <c r="BC13"/>
  <c r="BB13"/>
  <c r="BA13"/>
  <c r="AZ13"/>
  <c r="AY13"/>
  <c r="AX13"/>
  <c r="AW13"/>
  <c r="AV13"/>
  <c r="AC13"/>
  <c r="H13"/>
  <c r="G13"/>
  <c r="E1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T6"/>
  <c r="BS6"/>
  <c r="BR6"/>
  <c r="BQ6"/>
  <c r="BP6"/>
  <c r="BO6"/>
  <c r="BN6"/>
  <c r="BM6"/>
  <c r="BL6"/>
  <c r="BK6"/>
  <c r="BJ6"/>
  <c r="BI6"/>
  <c r="BH6"/>
  <c r="BG6"/>
  <c r="BF6"/>
  <c r="BE6"/>
  <c r="BD6"/>
  <c r="BC6"/>
  <c r="BB6"/>
  <c r="BA6"/>
  <c r="AY6"/>
  <c r="AT6"/>
  <c r="AS6"/>
  <c r="AR6"/>
  <c r="AQ6"/>
  <c r="AP6"/>
  <c r="AO6"/>
  <c r="AN6"/>
  <c r="AM6"/>
  <c r="AL6"/>
  <c r="AK6"/>
  <c r="AJ6"/>
  <c r="AI6"/>
  <c r="AH6"/>
  <c r="AG6"/>
  <c r="AF6"/>
  <c r="AE6"/>
  <c r="AD6"/>
  <c r="AC6"/>
  <c r="AB6"/>
  <c r="AA6"/>
  <c r="Z6"/>
  <c r="Y6"/>
  <c r="X6"/>
  <c r="W6"/>
  <c r="V6"/>
  <c r="U6"/>
  <c r="T6"/>
  <c r="S6"/>
  <c r="R6"/>
  <c r="Q6"/>
  <c r="P6"/>
  <c r="O6"/>
  <c r="N6"/>
  <c r="M6"/>
  <c r="L6"/>
  <c r="K6"/>
  <c r="J6"/>
  <c r="I6"/>
  <c r="H6"/>
  <c r="E6"/>
  <c r="BT5"/>
  <c r="BS5"/>
  <c r="BR5"/>
  <c r="BQ5"/>
  <c r="BP5"/>
  <c r="BO5"/>
  <c r="BN5"/>
  <c r="BM5"/>
  <c r="BL5"/>
  <c r="BK5"/>
  <c r="BJ5"/>
  <c r="BI5"/>
  <c r="BH5"/>
  <c r="BG5"/>
  <c r="BF5"/>
  <c r="BE5"/>
  <c r="BD5"/>
  <c r="BC5"/>
  <c r="BB5"/>
  <c r="BA5"/>
  <c r="AZ5"/>
  <c r="AT5"/>
  <c r="AS5"/>
  <c r="AR5"/>
  <c r="AQ5"/>
  <c r="AP5"/>
  <c r="AO5"/>
  <c r="AN5"/>
  <c r="AM5"/>
  <c r="AL5"/>
  <c r="AK5"/>
  <c r="AJ5"/>
  <c r="AI5"/>
  <c r="AH5"/>
  <c r="AG5"/>
  <c r="AF5"/>
  <c r="AE5"/>
  <c r="AD5"/>
  <c r="AC5"/>
  <c r="AB5"/>
  <c r="AA5"/>
  <c r="Z5"/>
  <c r="Y5"/>
  <c r="X5"/>
  <c r="W5"/>
  <c r="V5"/>
  <c r="U5"/>
  <c r="T5"/>
  <c r="S5"/>
  <c r="R5"/>
  <c r="Q5"/>
  <c r="P5"/>
  <c r="O5"/>
  <c r="N5"/>
  <c r="M5"/>
  <c r="L5"/>
  <c r="K5"/>
  <c r="J5"/>
  <c r="I5"/>
  <c r="H5"/>
  <c r="G5"/>
  <c r="F5"/>
  <c r="B3"/>
  <c r="T35" i="4"/>
  <c r="R35"/>
  <c r="Q35"/>
  <c r="P35"/>
  <c r="O35"/>
  <c r="N35"/>
  <c r="M35"/>
  <c r="L35"/>
  <c r="F35"/>
  <c r="T34"/>
  <c r="K34"/>
  <c r="C33"/>
  <c r="C32"/>
  <c r="C31"/>
  <c r="L22"/>
  <c r="L21"/>
  <c r="L20"/>
  <c r="F19"/>
  <c r="C18"/>
  <c r="C17"/>
  <c r="I15"/>
  <c r="H15"/>
  <c r="G15"/>
  <c r="F15"/>
  <c r="E15"/>
  <c r="D15"/>
  <c r="K6"/>
  <c r="K5"/>
  <c r="B2" i="49"/>
  <c r="B13"/>
  <c r="C4" i="4"/>
  <c r="B11" i="49"/>
  <c r="E4" i="4"/>
  <c r="K4"/>
  <c r="I4"/>
  <c r="G4"/>
  <c r="S1"/>
  <c r="B1"/>
  <c r="C53" i="10"/>
  <c r="C51"/>
  <c r="B51"/>
  <c r="E22" i="49"/>
  <c r="B22"/>
  <c r="E21"/>
  <c r="E17"/>
  <c r="E16"/>
  <c r="B16"/>
  <c r="E15"/>
  <c r="B15"/>
  <c r="E14"/>
  <c r="B14"/>
  <c r="E13"/>
  <c r="E11"/>
  <c r="E10"/>
  <c r="B10"/>
  <c r="E9"/>
  <c r="B9"/>
  <c r="E8"/>
  <c r="B8"/>
  <c r="E7"/>
  <c r="B7"/>
  <c r="E6"/>
  <c r="B6"/>
  <c r="E5"/>
  <c r="B5"/>
  <c r="E4"/>
  <c r="B4"/>
  <c r="A21" i="62"/>
  <c r="A20"/>
  <c r="A19"/>
  <c r="A18"/>
  <c r="A15"/>
  <c r="A14"/>
  <c r="A13"/>
  <c r="A12"/>
  <c r="B5"/>
  <c r="A5"/>
  <c r="B4"/>
  <c r="A4"/>
  <c r="D13" i="52"/>
  <c r="D12"/>
  <c r="A12"/>
  <c r="D11"/>
  <c r="D10"/>
  <c r="A10"/>
  <c r="A8"/>
  <c r="D7"/>
  <c r="D6"/>
  <c r="A6"/>
  <c r="C4"/>
  <c r="B4"/>
  <c r="A4"/>
  <c r="H2"/>
  <c r="F2"/>
  <c r="D2"/>
  <c r="A1"/>
  <c r="D21" i="53"/>
  <c r="D19"/>
  <c r="D20"/>
  <c r="B19"/>
  <c r="D18"/>
  <c r="D16"/>
  <c r="D17"/>
  <c r="B16"/>
  <c r="B13"/>
  <c r="D12"/>
  <c r="D11"/>
  <c r="D10"/>
  <c r="D8"/>
  <c r="D9"/>
  <c r="B8"/>
  <c r="A3"/>
  <c r="A2"/>
  <c r="A24" i="51"/>
  <c r="A22"/>
  <c r="A21"/>
  <c r="A20"/>
  <c r="A19"/>
  <c r="A18"/>
  <c r="A15"/>
  <c r="A13"/>
  <c r="A10"/>
  <c r="A7"/>
  <c r="A4"/>
  <c r="A3"/>
  <c r="B49" i="48"/>
  <c r="B47"/>
  <c r="B46"/>
  <c r="B40"/>
  <c r="B37"/>
  <c r="B74" i="72"/>
  <c r="B73"/>
  <c r="B72"/>
  <c r="B71"/>
  <c r="B70"/>
  <c r="B69"/>
  <c r="B68"/>
  <c r="B67"/>
  <c r="B66"/>
  <c r="B65"/>
  <c r="B64"/>
  <c r="B63"/>
  <c r="B62"/>
  <c r="B61"/>
  <c r="B60"/>
  <c r="B59"/>
  <c r="B58"/>
  <c r="B57"/>
  <c r="B56"/>
  <c r="B55"/>
  <c r="B54"/>
  <c r="B50"/>
  <c r="B46"/>
  <c r="B45"/>
  <c r="B44"/>
  <c r="B43"/>
  <c r="B42"/>
  <c r="B41"/>
  <c r="B40"/>
  <c r="B39"/>
  <c r="B38"/>
  <c r="B37"/>
  <c r="B36"/>
  <c r="B35"/>
  <c r="B34"/>
  <c r="B33"/>
  <c r="B29"/>
  <c r="B28"/>
  <c r="B27"/>
  <c r="B26"/>
  <c r="B25"/>
  <c r="B24"/>
  <c r="B23"/>
  <c r="B19"/>
  <c r="B18"/>
  <c r="B17"/>
  <c r="B16"/>
  <c r="B15"/>
  <c r="B14"/>
  <c r="B13"/>
  <c r="B12"/>
  <c r="B11"/>
  <c r="B10"/>
  <c r="B9"/>
  <c r="B8"/>
  <c r="B7"/>
  <c r="B6"/>
  <c r="B5"/>
  <c r="B4"/>
  <c r="B3"/>
  <c r="B2"/>
  <c r="Q16" i="1"/>
  <c r="F27" i="68"/>
  <c r="C28"/>
  <c r="C27"/>
  <c r="C29"/>
  <c r="D27"/>
  <c r="C31"/>
  <c r="C46"/>
  <c r="C45"/>
  <c r="C47"/>
  <c r="D45"/>
  <c r="C49"/>
  <c r="C51"/>
  <c r="C52"/>
  <c r="B2"/>
  <c r="C19" i="9"/>
  <c r="G19"/>
  <c r="C32"/>
  <c r="H118"/>
  <c r="H101"/>
  <c r="D5" i="53"/>
  <c r="B20" i="72"/>
  <c r="I118" i="9"/>
  <c r="H102"/>
  <c r="D7" i="53"/>
  <c r="B21" i="72"/>
  <c r="D6" i="53"/>
  <c r="B22" i="72"/>
  <c r="H107" i="9"/>
  <c r="D13" i="53"/>
  <c r="B30" i="72"/>
  <c r="H108" i="9"/>
  <c r="D15" i="53"/>
  <c r="B31" i="72"/>
  <c r="D14" i="53"/>
  <c r="B32" i="72"/>
  <c r="B3" i="68"/>
  <c r="C57"/>
  <c r="D35" i="9"/>
  <c r="C35"/>
  <c r="C34"/>
  <c r="D118"/>
  <c r="D4" i="52"/>
  <c r="B47" i="72"/>
  <c r="F118" i="9"/>
  <c r="G118"/>
  <c r="E118"/>
  <c r="E4" i="52"/>
  <c r="B48" i="72"/>
  <c r="D119" i="9"/>
  <c r="D5" i="52"/>
  <c r="B49" i="72"/>
  <c r="F4" i="52"/>
  <c r="B51" i="72"/>
  <c r="G4" i="52"/>
  <c r="B52" i="72"/>
  <c r="F119" i="9"/>
  <c r="F5" i="52"/>
  <c r="B53" i="72"/>
  <c r="H4" i="52"/>
  <c r="I4"/>
  <c r="H119" i="9"/>
  <c r="H5" i="52"/>
  <c r="D122" i="9"/>
  <c r="D8" i="52"/>
  <c r="D123" i="9"/>
  <c r="D9" i="52"/>
  <c r="D14" i="74"/>
  <c r="B5"/>
  <c r="C5"/>
  <c r="D5"/>
  <c r="G14"/>
  <c r="B6"/>
  <c r="C6"/>
  <c r="D6"/>
  <c r="E14"/>
  <c r="F14"/>
  <c r="J19" i="9"/>
  <c r="C20"/>
  <c r="G20"/>
  <c r="C21"/>
  <c r="G21"/>
  <c r="D22"/>
  <c r="C56" i="68"/>
  <c r="D34" i="9"/>
  <c r="M48"/>
  <c r="D45"/>
  <c r="D52"/>
  <c r="D53"/>
  <c r="C64"/>
  <c r="C63"/>
  <c r="C67"/>
  <c r="C68"/>
  <c r="D54"/>
  <c r="D55"/>
  <c r="M53"/>
  <c r="C85"/>
  <c r="C93"/>
  <c r="C86"/>
  <c r="C95"/>
  <c r="C96"/>
  <c r="C97"/>
  <c r="D58"/>
  <c r="D56"/>
  <c r="M54"/>
  <c r="N57"/>
  <c r="M49"/>
  <c r="P57"/>
  <c r="N58"/>
  <c r="N59"/>
  <c r="N60"/>
  <c r="N61"/>
  <c r="L63"/>
  <c r="M63"/>
  <c r="L64"/>
  <c r="M64"/>
  <c r="L65"/>
  <c r="M65"/>
  <c r="L66"/>
  <c r="M66"/>
  <c r="L67"/>
  <c r="M67"/>
  <c r="L68"/>
  <c r="M68"/>
  <c r="M69"/>
  <c r="N69"/>
  <c r="C72"/>
  <c r="C78"/>
  <c r="C73"/>
  <c r="C79"/>
  <c r="C80"/>
  <c r="C81"/>
  <c r="E80"/>
  <c r="E81"/>
  <c r="E96"/>
  <c r="E97"/>
  <c r="C102"/>
  <c r="C103"/>
  <c r="C104"/>
  <c r="C105"/>
  <c r="J118"/>
  <c r="J121"/>
  <c r="F27" i="69"/>
  <c r="C28"/>
  <c r="C27"/>
  <c r="C29"/>
  <c r="D27"/>
  <c r="C31"/>
  <c r="C46"/>
  <c r="C45"/>
  <c r="C47"/>
  <c r="D45"/>
  <c r="C49"/>
  <c r="C51"/>
  <c r="C52"/>
  <c r="B2"/>
  <c r="B3"/>
  <c r="C57"/>
  <c r="C56"/>
  <c r="F28" i="12"/>
  <c r="C30"/>
  <c r="C28"/>
  <c r="C29"/>
  <c r="D28"/>
  <c r="C32"/>
  <c r="B2"/>
  <c r="B3"/>
  <c r="C23" i="43"/>
  <c r="E6" i="76"/>
  <c r="E2"/>
  <c r="B3"/>
  <c r="F27" i="11"/>
  <c r="C28"/>
  <c r="C27"/>
  <c r="C29"/>
  <c r="D27"/>
  <c r="C31"/>
  <c r="C46"/>
  <c r="C45"/>
  <c r="C47"/>
  <c r="D45"/>
  <c r="C49"/>
  <c r="C51"/>
  <c r="C52"/>
  <c r="B2"/>
  <c r="B3"/>
  <c r="C56"/>
  <c r="C57"/>
  <c r="E3"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<sst xmlns="http://schemas.openxmlformats.org/spreadsheetml/2006/main" count="7331" uniqueCount="3111">
  <si>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</si>
  <si>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</si>
  <si>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</si>
  <si>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</si>
  <si>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</si>
  <si>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</si>
  <si>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</si>
  <si>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</si>
  <si>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</si>
  <si>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</si>
  <si>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</si>
  <si>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</si>
  <si>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</si>
  <si>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</si>
  <si>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</si>
  <si>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</si>
  <si>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</si>
  <si>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</si>
  <si>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</si>
  <si>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</si>
  <si>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</si>
  <si>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</si>
  <si>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</si>
  <si>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</si>
  <si>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</si>
  <si>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</si>
  <si>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</si>
  <si>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</si>
  <si>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</si>
  <si>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</si>
  <si>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</si>
  <si>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</si>
  <si>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</si>
  <si>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</si>
  <si>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</si>
  <si>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</si>
  <si>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</si>
  <si>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</si>
  <si>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</si>
  <si>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</si>
  <si>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</si>
  <si>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</si>
  <si>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</si>
  <si>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</si>
  <si>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</si>
  <si>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</si>
  <si>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</si>
  <si>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</si>
  <si>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</si>
  <si>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</si>
  <si>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</si>
  <si>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</si>
  <si>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</si>
  <si>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</si>
  <si>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</si>
  <si>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</si>
  <si>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</si>
  <si>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</si>
  <si>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</si>
  <si>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</si>
  <si>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</si>
  <si>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</si>
  <si>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</si>
  <si>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</si>
  <si>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</si>
  <si>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</si>
  <si>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</si>
  <si>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</si>
  <si>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</si>
  <si>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</si>
  <si>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</si>
  <si>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</si>
  <si>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</si>
  <si>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</si>
  <si>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</si>
  <si>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</si>
  <si>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</si>
  <si>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</si>
  <si>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</si>
  <si>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</si>
  <si>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</si>
  <si>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</si>
  <si>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</si>
  <si>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</si>
  <si>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</si>
  <si>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</si>
  <si>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</si>
  <si>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</si>
  <si>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</si>
  <si>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</si>
  <si>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</si>
  <si>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</si>
  <si>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</si>
  <si>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</si>
  <si>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</si>
  <si>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</si>
  <si>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</si>
  <si>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</si>
  <si>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</si>
  <si>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</si>
  <si>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</si>
  <si>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</si>
  <si>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</si>
  <si>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</si>
  <si>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</si>
  <si>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</si>
  <si>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</si>
  <si>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</si>
  <si>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</si>
  <si>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</si>
  <si>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</si>
  <si>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</si>
  <si>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</si>
  <si>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</si>
  <si>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</si>
  <si>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</si>
  <si>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</si>
  <si>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</si>
  <si>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</si>
  <si>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</si>
  <si>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</si>
  <si>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</si>
  <si>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</si>
  <si>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</si>
  <si>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</si>
  <si>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</si>
  <si>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</si>
  <si>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</si>
  <si>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</si>
  <si>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</si>
  <si>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</si>
  <si>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</si>
  <si>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</si>
  <si>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</si>
  <si>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</si>
  <si>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</si>
  <si>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</si>
  <si>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</si>
  <si>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</si>
  <si>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</si>
  <si>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</si>
  <si>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</si>
  <si>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</si>
  <si>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</si>
  <si>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</si>
  <si>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</si>
  <si>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</si>
  <si>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</si>
  <si>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</si>
  <si>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</si>
  <si>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</si>
  <si>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</si>
  <si>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</si>
  <si>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</si>
  <si>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</si>
  <si>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</si>
  <si>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</si>
  <si>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</si>
  <si>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</si>
  <si>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</si>
  <si>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</si>
  <si>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</si>
  <si>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</si>
  <si>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</si>
  <si>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</si>
  <si>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</si>
  <si>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</si>
  <si>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</si>
  <si>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</si>
  <si>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</si>
  <si>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</si>
  <si>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</si>
  <si>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</si>
  <si>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</si>
  <si>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</si>
  <si>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</si>
  <si>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</si>
  <si>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</si>
  <si>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</si>
  <si>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</si>
  <si>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</si>
  <si>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</si>
  <si>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</si>
  <si>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</si>
  <si>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</si>
  <si>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</si>
  <si>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</si>
  <si>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</si>
  <si>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</si>
  <si>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</si>
  <si>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</si>
  <si>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</si>
  <si>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</si>
  <si>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</si>
  <si>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</si>
  <si>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</si>
  <si>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</si>
  <si>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</si>
  <si>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</si>
  <si>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</si>
  <si>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</si>
  <si>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</si>
  <si>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</si>
  <si>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</si>
  <si>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</si>
  <si>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</si>
  <si>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</si>
  <si>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</si>
  <si>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</si>
  <si>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</si>
  <si>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</si>
  <si>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</si>
  <si>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</si>
  <si>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</si>
  <si>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</si>
  <si>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</si>
  <si>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</si>
  <si>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</si>
  <si>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</si>
  <si>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</si>
  <si>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</si>
  <si>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</si>
  <si>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</si>
  <si>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</si>
  <si>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</si>
  <si>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</si>
  <si>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</si>
  <si>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</si>
  <si>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</si>
  <si>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</si>
  <si>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</si>
  <si>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</si>
  <si>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</si>
  <si>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</si>
  <si>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</si>
  <si>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</si>
  <si>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</si>
  <si>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</si>
  <si>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</si>
  <si>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</si>
  <si>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</si>
  <si>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</si>
  <si>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</si>
  <si>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</si>
  <si>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</si>
  <si>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</si>
  <si>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</si>
  <si>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</si>
  <si>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</si>
  <si>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</si>
  <si>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</si>
  <si>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</si>
  <si>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</si>
  <si>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</si>
  <si>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</si>
  <si>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</si>
  <si>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</si>
  <si>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</si>
  <si>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</si>
  <si>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</si>
  <si>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</si>
  <si>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</si>
  <si>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</si>
  <si>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</si>
  <si>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</si>
  <si>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</si>
  <si>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</si>
  <si>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</si>
  <si>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</si>
  <si>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</si>
  <si>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</si>
  <si>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</si>
  <si>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</si>
  <si>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</si>
  <si>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</si>
  <si>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</si>
  <si>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</si>
  <si>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</si>
  <si>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</si>
  <si>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</si>
  <si>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</si>
  <si>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</si>
  <si>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</si>
  <si>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</si>
  <si>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</si>
  <si>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</si>
  <si>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</si>
  <si>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</si>
  <si>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</si>
  <si>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</si>
  <si>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</si>
  <si>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</si>
  <si>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</si>
  <si>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</si>
  <si>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</si>
  <si>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</si>
  <si>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</si>
  <si>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</si>
  <si>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</si>
  <si>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</si>
  <si>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</si>
  <si>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</si>
  <si>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</si>
  <si>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</si>
  <si>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</si>
  <si>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</si>
  <si>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</si>
  <si>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</si>
  <si>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</si>
  <si>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</si>
  <si>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</si>
  <si>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</si>
  <si>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</si>
  <si>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</si>
  <si>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</si>
  <si>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</si>
  <si>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</si>
  <si>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</si>
  <si>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</si>
  <si>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</si>
  <si>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</si>
  <si>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</si>
  <si>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</si>
  <si>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</si>
  <si>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</si>
  <si>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</si>
  <si>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</si>
  <si>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</si>
  <si>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</si>
  <si>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</si>
  <si>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</si>
  <si>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</si>
  <si>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</si>
  <si>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</si>
  <si>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</si>
  <si>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</si>
  <si>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</si>
  <si>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</si>
  <si>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</si>
  <si>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</si>
  <si>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</si>
  <si>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</si>
  <si>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</si>
  <si>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</si>
  <si>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</si>
  <si>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</si>
  <si>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</si>
  <si>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</si>
  <si>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</si>
  <si>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</si>
  <si>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</si>
  <si>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</si>
  <si>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</si>
  <si>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</si>
  <si>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</si>
  <si>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</si>
  <si>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</si>
  <si>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</si>
  <si>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</si>
  <si>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</si>
  <si>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</si>
  <si>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</si>
  <si>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</si>
  <si>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</si>
  <si>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</si>
  <si>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</si>
  <si>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</si>
  <si>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</si>
  <si>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</si>
  <si>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</si>
  <si>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</si>
  <si>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</si>
  <si>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</si>
  <si>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</si>
  <si>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</si>
  <si>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</si>
  <si>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</si>
  <si>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</si>
  <si>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</si>
  <si>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</si>
  <si>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</si>
  <si>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</si>
  <si>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</si>
  <si>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</si>
  <si>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</si>
  <si>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</si>
  <si>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</si>
  <si>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</si>
  <si>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</si>
  <si>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</si>
  <si>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</si>
  <si>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</si>
  <si>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</si>
  <si>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</si>
  <si>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</si>
  <si>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</si>
  <si>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</si>
  <si>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</si>
  <si>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</si>
  <si>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</si>
  <si>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</si>
  <si>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</si>
  <si>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</si>
  <si>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</si>
  <si>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</si>
  <si>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</si>
  <si>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</si>
  <si>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</si>
  <si>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</si>
  <si>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</si>
  <si>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</si>
  <si>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</si>
  <si>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</si>
  <si>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</si>
  <si>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</si>
  <si>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</si>
  <si>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</si>
  <si>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</si>
  <si>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</si>
  <si>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</si>
  <si>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</si>
  <si>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</si>
  <si>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</si>
  <si>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</si>
  <si>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</si>
  <si>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</si>
  <si>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</si>
  <si>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</si>
  <si>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</si>
  <si>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</si>
  <si>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</si>
  <si>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</si>
  <si>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</si>
  <si>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</si>
  <si>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</si>
  <si>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</si>
  <si>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</si>
  <si>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</si>
  <si>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</si>
  <si>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</si>
  <si>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</si>
  <si>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</si>
  <si>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</si>
  <si>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</si>
  <si>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</si>
  <si>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</si>
  <si>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</si>
  <si>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</si>
  <si>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</si>
  <si>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</si>
  <si>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</si>
  <si>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</si>
  <si>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</si>
  <si>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</si>
  <si>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</si>
  <si>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</si>
  <si>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</si>
  <si>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</si>
  <si>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</si>
  <si>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</si>
  <si>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</si>
  <si>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</si>
  <si>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</si>
  <si>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</si>
  <si>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</si>
  <si>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</si>
  <si>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</si>
  <si>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</si>
  <si>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</si>
  <si>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</si>
  <si>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</si>
  <si>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</si>
  <si>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</si>
  <si>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</si>
  <si>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</si>
  <si>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</si>
  <si>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</si>
  <si>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</si>
  <si>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</si>
  <si>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</si>
  <si>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</si>
  <si>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</si>
  <si>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</si>
  <si>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</si>
  <si>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</si>
  <si>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</si>
  <si>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</si>
  <si>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</si>
  <si>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</si>
  <si>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</si>
  <si>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</si>
  <si>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</si>
  <si>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</si>
  <si>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</si>
  <si>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</si>
  <si>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</si>
  <si>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</si>
  <si>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</si>
  <si>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</si>
  <si>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</si>
  <si>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</si>
  <si>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</si>
  <si>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</si>
  <si>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</si>
  <si>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</si>
  <si>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</si>
  <si>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</si>
  <si>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</si>
  <si>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</si>
  <si>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</si>
  <si>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</si>
  <si>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</si>
  <si>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</si>
  <si>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</si>
  <si>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</si>
  <si>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</si>
  <si>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</si>
  <si>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</si>
  <si>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</si>
  <si>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</si>
  <si>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</si>
  <si>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</si>
  <si>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</si>
  <si>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</si>
  <si>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</si>
  <si>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</si>
  <si>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</si>
  <si>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</si>
  <si>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</si>
  <si>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</si>
  <si>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</si>
  <si>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</si>
  <si>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</si>
  <si>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</si>
  <si>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</si>
  <si>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</si>
  <si>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</si>
  <si>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</si>
  <si>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</si>
  <si>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</si>
  <si>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</si>
  <si>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</si>
  <si>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</si>
  <si>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</si>
  <si>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</si>
  <si>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</si>
  <si>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</si>
  <si>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</si>
  <si>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</si>
  <si>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</si>
  <si>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</si>
  <si>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</si>
  <si>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</si>
  <si>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</si>
  <si>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</si>
  <si>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</si>
  <si>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</si>
  <si>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</si>
  <si>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</si>
  <si>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</si>
  <si>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</si>
  <si>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</si>
  <si>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</si>
  <si>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</si>
  <si>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</si>
  <si>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</si>
  <si>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</si>
  <si>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</si>
  <si>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</si>
  <si>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</si>
  <si>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</si>
  <si>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</si>
  <si>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</si>
  <si>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</si>
  <si>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</si>
  <si>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</si>
  <si>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</si>
  <si>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</si>
  <si>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</si>
  <si>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</si>
  <si>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</si>
  <si>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</si>
  <si>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</si>
  <si>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</si>
  <si>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</si>
  <si>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</si>
  <si>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</si>
  <si>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</si>
  <si>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</si>
  <si>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</si>
  <si>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</si>
  <si>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</si>
  <si>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</si>
  <si>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</si>
  <si>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</si>
  <si>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</si>
  <si>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</si>
  <si>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</si>
  <si>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</si>
  <si>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</si>
  <si>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</si>
  <si>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</si>
  <si>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</si>
  <si>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</si>
  <si>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</si>
  <si>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</si>
  <si>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</si>
  <si>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</si>
  <si>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</si>
  <si>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</si>
  <si>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</si>
  <si>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</si>
  <si>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</si>
  <si>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</si>
  <si>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</si>
  <si>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</si>
  <si>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</si>
  <si>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</si>
  <si>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</si>
  <si>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</si>
  <si>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</si>
  <si>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</si>
  <si>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</si>
  <si>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</si>
  <si>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</si>
  <si>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</si>
  <si>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</si>
  <si>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</si>
  <si>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</si>
  <si>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</si>
  <si>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</si>
  <si>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</si>
  <si>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</si>
  <si>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</si>
  <si>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</si>
  <si>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</si>
  <si>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</si>
  <si>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</si>
  <si>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</si>
  <si>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</si>
  <si>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</si>
  <si>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</si>
  <si>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</si>
  <si>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</si>
  <si>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</si>
  <si>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</si>
  <si>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</si>
  <si>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</si>
  <si>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</si>
  <si>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</si>
  <si>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</si>
  <si>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</si>
  <si>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</si>
  <si>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</si>
  <si>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</si>
  <si>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</si>
  <si>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</si>
  <si>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</si>
  <si>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</si>
  <si>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</si>
  <si>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</si>
  <si>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</si>
  <si>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</si>
  <si>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</si>
  <si>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</si>
  <si>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</si>
  <si>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</si>
  <si>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</si>
  <si>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</si>
  <si>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</si>
  <si>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</si>
  <si>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</si>
  <si>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</si>
  <si>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</si>
  <si>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</si>
  <si>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</si>
  <si>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</si>
  <si>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</si>
  <si>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</si>
  <si>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</si>
  <si>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</si>
  <si>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</si>
  <si>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</si>
  <si>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</si>
  <si>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</si>
  <si>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</si>
  <si>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</si>
  <si>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</si>
  <si>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</si>
  <si>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</si>
  <si>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</si>
  <si>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</si>
  <si>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</si>
  <si>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</si>
  <si>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</si>
  <si>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</si>
  <si>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</si>
  <si>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</si>
  <si>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</si>
  <si>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</si>
  <si>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</si>
  <si>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</si>
  <si>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</si>
  <si>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</si>
  <si>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</si>
  <si>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</si>
  <si>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</si>
  <si>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</si>
  <si>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</si>
  <si>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</si>
  <si>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</si>
  <si>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</si>
  <si>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</si>
  <si>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</si>
  <si>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</si>
  <si>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</si>
  <si>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</si>
  <si>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</si>
  <si>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</si>
  <si>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</si>
  <si>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</si>
  <si>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</si>
  <si>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</si>
  <si>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</si>
  <si>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</si>
  <si>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</si>
  <si>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</si>
  <si>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</si>
  <si>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</si>
  <si>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</si>
  <si>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</si>
  <si>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</si>
  <si>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</si>
  <si>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</si>
  <si>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</si>
  <si>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</si>
  <si>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</si>
  <si>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</si>
  <si>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</si>
  <si>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</si>
  <si>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</si>
  <si>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</si>
  <si>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</si>
  <si>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</si>
  <si>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</si>
  <si>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</si>
  <si>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</si>
  <si>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</si>
  <si>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</si>
  <si>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</si>
  <si>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</si>
  <si>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</si>
  <si>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</si>
  <si>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</si>
  <si>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</si>
  <si>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</si>
  <si>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</si>
  <si>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</si>
  <si>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</si>
  <si>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</si>
  <si>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</si>
  <si>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</si>
  <si>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</si>
  <si>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</si>
  <si>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</si>
  <si>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</si>
  <si>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</si>
  <si>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</si>
  <si>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</si>
  <si>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</si>
  <si>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</si>
  <si>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</si>
  <si>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</si>
  <si>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</si>
  <si>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</si>
  <si>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</si>
  <si>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</si>
  <si>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</si>
  <si>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</si>
  <si>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</si>
  <si>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</si>
  <si>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</si>
  <si>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</si>
  <si>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</si>
  <si>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</si>
  <si>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</si>
  <si>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</si>
  <si>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</si>
  <si>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</si>
  <si>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</si>
  <si>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</si>
  <si>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</si>
  <si>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</si>
  <si>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</si>
  <si>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</si>
  <si>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</si>
  <si>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</si>
  <si>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</si>
  <si>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</si>
  <si>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</si>
  <si>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</si>
  <si>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</si>
  <si>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</si>
  <si>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</si>
  <si>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</si>
  <si>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</si>
  <si>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</si>
  <si>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</si>
  <si>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</si>
  <si>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</si>
  <si>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</si>
  <si>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</si>
  <si>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</si>
  <si>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</si>
  <si>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</si>
  <si>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</si>
  <si>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</si>
  <si>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</si>
  <si>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</si>
  <si>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</si>
  <si>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</si>
  <si>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</si>
  <si>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</si>
  <si>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</si>
  <si>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</si>
  <si>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</si>
  <si>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</si>
  <si>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</si>
  <si>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</si>
  <si>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</si>
  <si>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</si>
  <si>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</si>
  <si>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</si>
  <si>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</si>
  <si>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</si>
  <si>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</si>
  <si>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</si>
  <si>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</si>
  <si>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</si>
  <si>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</si>
  <si>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</si>
  <si>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</si>
  <si>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</si>
  <si>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</si>
  <si>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</si>
  <si>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</si>
  <si>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</si>
  <si>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</si>
  <si>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</si>
  <si>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</si>
  <si>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</si>
  <si>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</si>
  <si>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</si>
  <si>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</si>
  <si>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</si>
  <si>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</si>
  <si>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</si>
  <si>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</si>
  <si>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</si>
  <si>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</si>
  <si>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</si>
  <si>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</si>
  <si>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</si>
  <si>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</si>
  <si>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</si>
  <si>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</si>
  <si>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</si>
  <si>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</si>
  <si>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</si>
  <si>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</si>
  <si>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</si>
  <si>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</si>
  <si>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</si>
  <si>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</si>
  <si>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</si>
  <si>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</si>
  <si>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</si>
  <si>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</si>
  <si>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</si>
  <si>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</si>
  <si>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</si>
  <si>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</si>
  <si>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</si>
  <si>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</si>
  <si>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</si>
  <si>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</si>
  <si>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</si>
  <si>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</si>
  <si>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</si>
  <si>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</si>
  <si>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</si>
  <si>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</si>
  <si>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</si>
  <si>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</si>
  <si>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</si>
  <si>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</si>
  <si>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</si>
  <si>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</si>
  <si>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</si>
  <si>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</si>
  <si>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</si>
  <si>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</si>
  <si>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</si>
  <si>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</si>
  <si>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</si>
  <si>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</si>
  <si>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</si>
  <si>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</si>
  <si>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</si>
  <si>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</si>
  <si>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</si>
  <si>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</si>
  <si>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</si>
  <si>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</si>
  <si>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</si>
  <si>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</si>
  <si>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</si>
  <si>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</si>
  <si>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</si>
  <si>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</si>
  <si>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</si>
  <si>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</si>
  <si>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</si>
  <si>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</si>
  <si>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</si>
  <si>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</si>
  <si>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</si>
  <si>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</si>
  <si>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</si>
  <si>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</si>
  <si>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</si>
  <si>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</si>
  <si>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</si>
  <si>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</si>
  <si>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</si>
  <si>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</si>
  <si>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</si>
  <si>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</si>
  <si>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</si>
  <si>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</si>
  <si>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</si>
  <si>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</si>
  <si>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</si>
  <si>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</si>
  <si>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</si>
  <si>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</si>
  <si>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</si>
  <si>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</si>
  <si>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</si>
  <si>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</si>
  <si>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</si>
  <si>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</si>
  <si>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</si>
  <si>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</si>
  <si>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</si>
  <si>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</si>
  <si>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</si>
  <si>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</si>
  <si>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</si>
  <si>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</si>
  <si>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</si>
  <si>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</si>
  <si>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</si>
  <si>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</si>
  <si>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</si>
  <si>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</si>
  <si>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</si>
  <si>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</si>
  <si>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</si>
  <si>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</si>
  <si>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</si>
  <si>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</si>
  <si>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</si>
  <si>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</si>
  <si>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</si>
  <si>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</si>
  <si>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</si>
  <si>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</si>
  <si>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</si>
  <si>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</si>
  <si>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</si>
  <si>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</si>
  <si>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</si>
  <si>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</si>
  <si>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</si>
  <si>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</si>
  <si>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</si>
  <si>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</si>
  <si>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</si>
  <si>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</si>
  <si>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</si>
  <si>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</si>
  <si>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</si>
  <si>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</si>
  <si>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</si>
  <si>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</si>
  <si>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</si>
  <si>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</si>
  <si>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</si>
  <si>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</si>
  <si>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</si>
  <si>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</si>
  <si>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</si>
  <si>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</si>
  <si>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</si>
  <si>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</si>
  <si>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</si>
  <si>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</si>
  <si>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</si>
  <si>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</si>
  <si>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</si>
  <si>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</si>
  <si>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</si>
  <si>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</si>
  <si>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</si>
  <si>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</si>
  <si>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</si>
  <si>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</si>
  <si>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</si>
  <si>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</si>
  <si>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</si>
  <si>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</si>
  <si>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</si>
  <si>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</si>
  <si>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</si>
  <si>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</si>
  <si>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</si>
  <si>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</si>
  <si>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</si>
  <si>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</si>
  <si>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</si>
  <si>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</si>
  <si>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</si>
  <si>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</si>
  <si>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</si>
  <si>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</si>
  <si>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</si>
  <si>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</si>
  <si>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</si>
  <si>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</si>
  <si>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</si>
  <si>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</si>
  <si>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</si>
  <si>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</si>
  <si>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</si>
  <si>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</si>
  <si>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</si>
  <si>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</si>
  <si>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</si>
  <si>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</si>
  <si>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</si>
  <si>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</si>
  <si>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</si>
  <si>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</si>
  <si>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</si>
  <si>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</si>
  <si>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</si>
  <si>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</si>
  <si>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</si>
  <si>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</si>
  <si>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</si>
  <si>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</si>
  <si>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</si>
  <si>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</si>
  <si>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</si>
  <si>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</si>
  <si>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</si>
  <si>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</si>
  <si>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</si>
  <si>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</si>
  <si>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</si>
  <si>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</si>
  <si>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</si>
  <si>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</si>
  <si>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</si>
  <si>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</si>
  <si>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</si>
  <si>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</si>
  <si>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</si>
  <si>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</si>
  <si>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</si>
  <si>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</si>
  <si>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</si>
  <si>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</si>
  <si>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</si>
  <si>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</si>
  <si>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</si>
  <si>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</si>
  <si>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</si>
  <si>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</si>
  <si>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</si>
  <si>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</si>
  <si>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</si>
  <si>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</si>
  <si>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</si>
  <si>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</si>
  <si>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</si>
  <si>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</si>
  <si>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</si>
  <si>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</si>
  <si>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</si>
  <si>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</si>
  <si>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</si>
  <si>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</si>
  <si>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</si>
  <si>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</si>
  <si>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</si>
  <si>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</si>
  <si>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</si>
  <si>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</si>
  <si>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</si>
  <si>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</si>
  <si>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</si>
  <si>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</si>
  <si>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</si>
  <si>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</si>
  <si>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</si>
  <si>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</si>
  <si>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</si>
  <si>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</si>
  <si>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</si>
  <si>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</si>
  <si>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</si>
  <si>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</si>
  <si>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</si>
  <si>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</si>
  <si>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</si>
  <si>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</si>
  <si>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</si>
  <si>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</si>
  <si>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</si>
  <si>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</si>
  <si>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</si>
  <si>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</si>
  <si>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</si>
  <si>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</si>
  <si>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</si>
  <si>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</si>
  <si>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</si>
  <si>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</si>
  <si>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</si>
  <si>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</si>
  <si>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</si>
  <si>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</si>
  <si>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</si>
  <si>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</si>
  <si>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</si>
  <si>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</si>
  <si>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</si>
  <si>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</si>
  <si>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</si>
  <si>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</si>
  <si>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</si>
  <si>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</si>
  <si>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</si>
  <si>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</si>
  <si>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</si>
  <si>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</si>
  <si>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</si>
  <si>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</si>
  <si>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</si>
  <si>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</si>
  <si>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</si>
  <si>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</si>
  <si>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</si>
  <si>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</si>
  <si>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</si>
  <si>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</si>
  <si>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</si>
  <si>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</si>
  <si>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</si>
  <si>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</si>
  <si>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</si>
  <si>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</si>
  <si>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</si>
  <si>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</si>
  <si>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</si>
  <si>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</si>
  <si>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</si>
  <si>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</si>
  <si>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</si>
  <si>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</si>
  <si>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</si>
  <si>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</si>
  <si>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</si>
  <si>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</si>
  <si>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</si>
  <si>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</si>
  <si>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</si>
  <si>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</si>
  <si>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</si>
  <si>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</si>
  <si>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</si>
  <si>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</si>
  <si>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</si>
  <si>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</si>
  <si>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</si>
  <si>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</si>
  <si>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</si>
  <si>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</si>
  <si>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</si>
  <si>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</si>
  <si>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</si>
  <si>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</si>
  <si>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</si>
  <si>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</si>
  <si>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</si>
  <si>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</si>
  <si>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</si>
  <si>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</si>
  <si>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</si>
  <si>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</si>
  <si>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</si>
  <si>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</si>
  <si>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</si>
  <si>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</si>
  <si>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</si>
  <si>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</si>
  <si>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</si>
  <si>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</si>
  <si>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</si>
  <si>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</si>
  <si>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</si>
  <si>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</si>
  <si>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</si>
  <si>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</si>
  <si>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</si>
  <si>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</si>
  <si>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</si>
  <si>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</si>
  <si>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</si>
  <si>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</si>
  <si>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</si>
  <si>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</si>
  <si>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</si>
  <si>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</si>
  <si>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</si>
  <si>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</si>
  <si>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</si>
  <si>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</si>
  <si>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</si>
  <si>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</si>
  <si>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</si>
  <si>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</si>
  <si>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</si>
  <si>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</si>
  <si>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</si>
  <si>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</si>
  <si>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</si>
  <si>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</si>
  <si>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</si>
  <si>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</si>
  <si>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</si>
  <si>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</si>
  <si>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</si>
  <si>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</si>
  <si>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</si>
  <si>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</si>
  <si>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</si>
  <si>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</si>
  <si>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</si>
  <si>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</si>
  <si>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</si>
  <si>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</si>
  <si>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</si>
  <si>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</si>
  <si>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</si>
  <si>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</si>
  <si>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</si>
  <si>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</si>
  <si>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</si>
  <si>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</si>
  <si>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</si>
  <si>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</si>
  <si>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</si>
  <si>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</si>
  <si>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</si>
  <si>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</si>
  <si>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</si>
  <si>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</si>
  <si>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</si>
  <si>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</si>
  <si>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</si>
  <si>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</si>
  <si>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</si>
  <si>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</si>
  <si>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</si>
  <si>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</si>
  <si>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</si>
  <si>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</si>
  <si>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</si>
  <si>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</si>
  <si>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</si>
  <si>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</si>
  <si>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</si>
  <si>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</si>
  <si>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</si>
  <si>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</si>
  <si>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</si>
  <si>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</si>
  <si>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</si>
  <si>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</si>
  <si>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</si>
  <si>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</si>
  <si>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</si>
  <si>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</si>
  <si>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</si>
  <si>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</si>
  <si>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</si>
  <si>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</si>
  <si>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</si>
  <si>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</si>
  <si>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</si>
  <si>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</si>
  <si>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</si>
  <si>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</si>
  <si>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</si>
  <si>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</si>
  <si>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</si>
  <si>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</si>
  <si>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</si>
  <si>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</si>
  <si>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</si>
  <si>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</si>
  <si>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</si>
  <si>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</si>
  <si>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</si>
  <si>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</si>
  <si>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</si>
  <si>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</si>
  <si>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</si>
  <si>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</si>
  <si>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</si>
  <si>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</si>
  <si>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</si>
  <si>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</si>
  <si>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</si>
  <si>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</si>
  <si>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</si>
  <si>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</si>
  <si>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</si>
  <si>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</si>
  <si>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</si>
  <si>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</si>
  <si>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</si>
  <si>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</si>
  <si>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</si>
  <si>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</si>
  <si>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</si>
  <si>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</si>
  <si>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</si>
  <si>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</si>
  <si>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</si>
  <si>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</si>
  <si>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</si>
  <si>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</si>
  <si>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</si>
  <si>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</si>
  <si>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</si>
  <si>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</si>
  <si>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</si>
  <si>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</si>
  <si>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</si>
  <si>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</si>
  <si>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</si>
  <si>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</si>
  <si>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</si>
  <si>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</si>
  <si>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</si>
  <si>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</si>
  <si>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</si>
  <si>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</si>
  <si>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</si>
  <si>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</si>
  <si>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</si>
  <si>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</si>
  <si>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</si>
  <si>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</si>
  <si>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</si>
  <si>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</si>
  <si>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</si>
  <si>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</si>
  <si>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</si>
  <si>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</si>
  <si>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</si>
  <si>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</si>
  <si>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</si>
  <si>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</si>
  <si>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</si>
  <si>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</si>
  <si>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</si>
  <si>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</si>
  <si>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</si>
  <si>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</si>
  <si>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</si>
  <si>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</si>
  <si>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</si>
  <si>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</si>
  <si>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</si>
  <si>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</si>
  <si>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</si>
  <si>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</si>
  <si>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</si>
  <si>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</si>
  <si>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</si>
  <si>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</si>
  <si>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</si>
  <si>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</si>
  <si>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</si>
  <si>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</si>
  <si>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</si>
  <si>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</si>
  <si>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</si>
  <si>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</si>
  <si>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</si>
  <si>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</si>
  <si>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</si>
  <si>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</si>
  <si>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</si>
  <si>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</si>
  <si>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</si>
  <si>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</si>
  <si>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</si>
  <si>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</si>
  <si>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</si>
  <si>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</si>
  <si>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</si>
  <si>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</si>
  <si>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</si>
  <si>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</si>
  <si>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</si>
  <si>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</si>
  <si>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</si>
  <si>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</si>
  <si>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</si>
  <si>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</si>
  <si>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</si>
  <si>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</si>
  <si>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</si>
  <si>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</si>
  <si>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</si>
  <si>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</si>
  <si>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</si>
  <si>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</si>
  <si>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</si>
  <si>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</si>
  <si>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</si>
  <si>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</si>
  <si>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</si>
  <si>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</si>
  <si>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</si>
  <si>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</si>
  <si>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</si>
  <si>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</si>
  <si>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</si>
  <si>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</si>
  <si>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</si>
  <si>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</si>
  <si>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</si>
  <si>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</si>
  <si>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</si>
  <si>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</si>
  <si>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</si>
  <si>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</si>
  <si>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</si>
  <si>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</si>
  <si>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</si>
  <si>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</si>
  <si>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</si>
  <si>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</si>
  <si>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</si>
  <si>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</si>
  <si>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</si>
  <si>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</si>
  <si>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</si>
  <si>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</si>
  <si>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</si>
  <si>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</si>
  <si>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</si>
  <si>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</si>
  <si>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</si>
  <si>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</si>
  <si>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</si>
  <si>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</si>
  <si>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</si>
  <si>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</si>
  <si>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</si>
  <si>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</si>
  <si>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</si>
  <si>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</si>
  <si>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</si>
  <si>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</si>
  <si>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</si>
  <si>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</si>
  <si>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</si>
  <si>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</si>
  <si>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</si>
  <si>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</si>
  <si>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</si>
  <si>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</si>
  <si>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</si>
  <si>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</si>
  <si>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</si>
  <si>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</si>
  <si>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</si>
  <si>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</si>
  <si>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</si>
  <si>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</si>
  <si>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</si>
  <si>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</si>
  <si>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</si>
  <si>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</si>
  <si>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</si>
  <si>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</si>
  <si>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</si>
  <si>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</si>
  <si>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</si>
  <si>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</si>
  <si>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</si>
  <si>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</si>
  <si>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</si>
  <si>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</si>
  <si>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</si>
  <si>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</si>
  <si>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</si>
  <si>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</si>
  <si>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</si>
  <si>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</si>
  <si>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</si>
  <si>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</si>
  <si>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</si>
  <si>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</si>
  <si>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</si>
  <si>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</si>
  <si>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</si>
  <si>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</si>
  <si>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</si>
  <si>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</si>
  <si>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</si>
  <si>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</si>
  <si>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</si>
  <si>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</si>
  <si>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</si>
  <si>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</si>
  <si>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</si>
  <si>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</si>
  <si>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</si>
  <si>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</si>
  <si>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</si>
  <si>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</si>
  <si>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</si>
  <si>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</si>
  <si>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</si>
  <si>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</si>
  <si>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</si>
  <si>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</si>
  <si>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</si>
  <si>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</si>
  <si>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</si>
  <si>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</si>
  <si>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</si>
  <si>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</si>
  <si>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</si>
  <si>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</si>
  <si>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</si>
  <si>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</si>
  <si>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</si>
  <si>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</si>
  <si>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</si>
  <si>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</si>
  <si>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</si>
  <si>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</si>
  <si>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</si>
  <si>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</si>
  <si>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</si>
  <si>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</si>
  <si>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</si>
  <si>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</si>
  <si>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</si>
  <si>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</si>
  <si>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</si>
  <si>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</si>
  <si>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</si>
  <si>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</si>
  <si>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</si>
  <si>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</si>
  <si>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</si>
  <si>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</si>
  <si>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</si>
  <si>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</si>
  <si>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</si>
  <si>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</si>
  <si>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</si>
  <si>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</si>
  <si>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</si>
  <si>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</si>
  <si>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</si>
  <si>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</si>
  <si>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</si>
  <si>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</si>
  <si>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</si>
  <si>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</si>
  <si>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</si>
  <si>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</si>
  <si>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</si>
  <si>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</si>
  <si>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</si>
  <si>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</si>
  <si>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</si>
  <si>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</si>
  <si>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</si>
  <si>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</si>
  <si>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</si>
  <si>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</si>
  <si>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</si>
  <si>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</si>
  <si>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</si>
  <si>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</si>
  <si>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</si>
  <si>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</si>
  <si>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</si>
  <si>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</si>
  <si>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</si>
  <si>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</si>
  <si>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</si>
  <si>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</si>
  <si>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</si>
  <si>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</si>
  <si>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</si>
  <si>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</si>
  <si>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</si>
  <si>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</si>
  <si>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</si>
  <si>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</si>
  <si>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</si>
  <si>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</si>
  <si>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</si>
  <si>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</si>
  <si>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</si>
  <si>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</si>
  <si>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</si>
  <si>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</si>
  <si>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</si>
  <si>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</si>
  <si>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</si>
  <si>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</si>
  <si>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</si>
  <si>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</si>
  <si>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</si>
  <si>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</si>
  <si>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</si>
  <si>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</si>
  <si>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</si>
  <si>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</si>
  <si>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</si>
  <si>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</si>
  <si>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</si>
  <si>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</si>
  <si>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</si>
  <si>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</si>
  <si>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</si>
  <si>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</si>
  <si>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</si>
  <si>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</si>
  <si>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</si>
  <si>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</si>
  <si>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</si>
  <si>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</si>
  <si>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</si>
  <si>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</si>
  <si>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</si>
  <si>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</si>
  <si>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</si>
  <si>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</si>
  <si>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</si>
  <si>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</si>
  <si>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</si>
  <si>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</si>
  <si>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</si>
  <si>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</si>
  <si>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</si>
  <si>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</si>
  <si>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</si>
  <si>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</si>
  <si>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</si>
  <si>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</si>
  <si>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</si>
  <si>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</si>
  <si>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</si>
  <si>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</si>
  <si>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</si>
  <si>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</si>
  <si>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</si>
  <si>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</si>
  <si>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</si>
  <si>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</si>
  <si>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</si>
  <si>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</si>
  <si>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</si>
  <si>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</si>
  <si>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</si>
  <si>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</si>
  <si>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</si>
  <si>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</si>
  <si>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</si>
  <si>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</si>
  <si>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</si>
  <si>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</si>
  <si>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</si>
  <si>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</si>
  <si>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</si>
  <si>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</si>
  <si>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</si>
  <si>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</si>
  <si>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</si>
  <si>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</si>
  <si>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</si>
  <si>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</si>
  <si>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</si>
  <si>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</si>
  <si>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</si>
  <si>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</si>
  <si>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</si>
  <si>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</si>
  <si>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</si>
  <si>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</si>
  <si>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</si>
  <si>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</si>
  <si>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</si>
  <si>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</si>
  <si>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</si>
  <si>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</si>
  <si>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</si>
  <si>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</si>
  <si>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</si>
  <si>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</si>
  <si>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</si>
  <si>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</si>
  <si>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</si>
  <si>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</si>
  <si>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</si>
  <si>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</si>
  <si>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</si>
  <si>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</si>
  <si>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</si>
  <si>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</si>
  <si>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</si>
  <si>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</si>
  <si>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</si>
  <si>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</si>
  <si>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</si>
  <si>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</si>
  <si>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</si>
  <si>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</si>
  <si>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</si>
  <si>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</si>
  <si>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</si>
  <si>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</si>
  <si>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</si>
  <si>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</si>
  <si>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</si>
  <si>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</si>
  <si>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</si>
  <si>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</si>
  <si>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</si>
  <si>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</si>
  <si>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</si>
  <si>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</si>
  <si>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</si>
  <si>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</si>
  <si>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</si>
  <si>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</si>
  <si>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</si>
  <si>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</si>
  <si>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</si>
  <si>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</si>
  <si>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</si>
  <si>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</si>
  <si>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</si>
  <si>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</si>
  <si>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</si>
  <si>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</si>
  <si>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</si>
  <si>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</si>
  <si>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</si>
  <si>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</si>
  <si>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</si>
  <si>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</si>
  <si>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</si>
  <si>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</si>
  <si>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</si>
  <si>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</si>
  <si>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</si>
  <si>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</si>
  <si>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</si>
  <si>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</si>
  <si>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</si>
  <si>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</si>
  <si>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</si>
  <si>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</si>
  <si>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</si>
  <si>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</si>
  <si>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</si>
  <si>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</si>
  <si>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</si>
  <si>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</si>
  <si>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</si>
  <si>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</si>
  <si>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</si>
  <si>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</si>
  <si>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</si>
  <si>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</si>
  <si>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</si>
  <si>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</si>
  <si>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</si>
  <si>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</si>
  <si>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</si>
  <si>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</si>
  <si>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</si>
  <si>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</si>
  <si>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</si>
  <si>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</si>
  <si>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</si>
  <si>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</si>
  <si>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</si>
  <si>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</si>
  <si>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</si>
  <si>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</si>
  <si>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</si>
  <si>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</si>
  <si>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</si>
  <si>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</si>
  <si>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</si>
  <si>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</si>
  <si>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</si>
  <si>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</si>
  <si>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</si>
  <si>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</si>
  <si>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</si>
  <si>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</si>
  <si>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</si>
  <si>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</si>
  <si>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</si>
  <si>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</si>
  <si>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</si>
  <si>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</si>
  <si>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</si>
  <si>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</si>
  <si>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</si>
  <si>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</si>
  <si>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</si>
  <si>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</si>
  <si>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</si>
  <si>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</si>
  <si>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</si>
  <si>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</si>
  <si>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</si>
  <si>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</si>
  <si>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</si>
  <si>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</si>
  <si>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</si>
  <si>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</si>
  <si>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</si>
  <si>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</si>
  <si>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</si>
  <si>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</si>
  <si>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</si>
  <si>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</si>
  <si>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</si>
  <si>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</si>
  <si>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</si>
  <si>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</si>
  <si>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</si>
  <si>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</si>
  <si>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</si>
  <si>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</si>
  <si>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</si>
  <si>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</si>
  <si>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</si>
  <si>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</si>
  <si>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</si>
  <si>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</si>
  <si>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</si>
  <si>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</si>
  <si>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</si>
  <si>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</si>
  <si>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</si>
  <si>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</si>
  <si>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</si>
  <si>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</si>
  <si>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</si>
  <si>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</si>
  <si>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</si>
  <si>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</si>
  <si>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</si>
  <si>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</si>
  <si>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</si>
  <si>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</si>
  <si>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</si>
  <si>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</si>
  <si>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</si>
  <si>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</si>
  <si>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</si>
  <si>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</si>
  <si>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</si>
  <si>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</si>
  <si>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</si>
  <si>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</si>
  <si>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</si>
  <si>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</si>
  <si>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</si>
  <si>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</si>
  <si>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</si>
  <si>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</si>
  <si>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</si>
  <si>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</si>
  <si>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</si>
  <si>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</si>
  <si>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</si>
  <si>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</si>
  <si>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</si>
  <si>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</si>
  <si>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</si>
  <si>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</si>
  <si>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</si>
  <si>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</si>
  <si>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</si>
  <si>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</si>
  <si>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</si>
  <si>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</si>
  <si>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</si>
  <si>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</si>
  <si>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</si>
  <si>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</si>
  <si>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</si>
  <si>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</si>
  <si>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</si>
  <si>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</si>
  <si>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</si>
  <si>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</si>
  <si>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</si>
  <si>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</si>
  <si>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</si>
  <si>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</si>
  <si>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</si>
  <si>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</si>
  <si>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</si>
  <si>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</si>
  <si>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</si>
  <si>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</si>
  <si>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</si>
  <si>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</si>
  <si>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</si>
  <si>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</si>
  <si>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</si>
  <si>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</si>
  <si>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</si>
  <si>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</si>
  <si>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</si>
  <si>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</si>
  <si>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</si>
  <si>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</si>
  <si>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</si>
  <si>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</si>
  <si>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</si>
  <si>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</si>
  <si>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</si>
  <si>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</si>
  <si>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</si>
  <si>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</si>
  <si>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</si>
  <si>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</si>
  <si>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</si>
  <si>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</si>
  <si>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</si>
  <si>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</si>
  <si>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</si>
  <si>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</si>
  <si>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</si>
  <si>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</si>
  <si>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</si>
  <si>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</si>
  <si>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</si>
  <si>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</si>
  <si>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</si>
  <si>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</si>
  <si>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</si>
  <si>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</si>
  <si>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</si>
  <si>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</si>
  <si>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</si>
  <si>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</si>
  <si>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</si>
  <si>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</si>
  <si>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</si>
  <si>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</si>
  <si>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</si>
  <si>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</si>
  <si>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</si>
  <si>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</si>
  <si>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</si>
  <si>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</si>
  <si>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</si>
  <si>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</si>
  <si>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</si>
  <si>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</si>
  <si>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</si>
  <si>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</si>
  <si>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</si>
  <si>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</si>
  <si>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</si>
  <si>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</si>
  <si>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</si>
  <si>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</si>
  <si>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</si>
  <si>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</si>
  <si>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</si>
  <si>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</si>
  <si>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</si>
  <si>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</si>
  <si>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</si>
  <si>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</si>
  <si>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</si>
  <si>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</si>
  <si>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</si>
  <si>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</si>
  <si>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</si>
  <si>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</si>
  <si>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</si>
  <si>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</si>
  <si>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</si>
  <si>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</si>
  <si>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</si>
  <si>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</si>
  <si>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</si>
  <si>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</si>
  <si>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</si>
  <si>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</si>
  <si>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</si>
  <si>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</si>
  <si>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</si>
  <si>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</si>
  <si>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</si>
  <si>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</si>
  <si>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</si>
  <si>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</si>
  <si>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</si>
  <si>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</si>
  <si>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</si>
  <si>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</si>
  <si>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</si>
  <si>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</si>
  <si>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</si>
  <si>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</si>
  <si>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</si>
  <si>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</si>
  <si>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</si>
  <si>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</si>
  <si>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</si>
  <si>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</si>
  <si>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</si>
  <si>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</si>
  <si>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</si>
  <si>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</si>
  <si>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</si>
  <si>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</si>
  <si>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</si>
  <si>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</si>
  <si>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</si>
  <si>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</si>
  <si>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</si>
  <si>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</si>
  <si>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</si>
  <si>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</si>
  <si>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</si>
  <si>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</si>
  <si>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</si>
  <si>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</si>
  <si>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</si>
  <si>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</si>
  <si>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</si>
  <si>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</si>
  <si>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</si>
  <si>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</si>
  <si>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</si>
  <si>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</si>
  <si>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</si>
  <si>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</si>
  <si>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</si>
  <si>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</si>
  <si>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</si>
  <si>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</si>
  <si>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</si>
  <si>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</si>
  <si>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</si>
  <si>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</si>
  <si>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</si>
  <si>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</si>
  <si>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</si>
  <si>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</si>
  <si>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</si>
  <si>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</si>
  <si>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</si>
  <si>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</si>
  <si>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</si>
  <si>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</si>
  <si>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</si>
  <si>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</si>
  <si>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</si>
  <si>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</si>
  <si>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</si>
  <si>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</si>
  <si>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</si>
  <si>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</si>
  <si>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</si>
  <si>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</si>
  <si>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</si>
  <si>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</si>
  <si>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</si>
  <si>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</si>
  <si>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</si>
  <si>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</si>
  <si>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</si>
  <si>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</si>
  <si>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</si>
  <si>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</si>
  <si>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</si>
  <si>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</si>
  <si>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</si>
  <si>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</si>
  <si>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</si>
  <si>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</si>
  <si>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</si>
  <si>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</si>
  <si>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</si>
  <si>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</si>
  <si>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</si>
  <si>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</si>
  <si>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</si>
  <si>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</si>
  <si>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</si>
  <si>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</si>
  <si>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</si>
  <si>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</si>
  <si>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</si>
  <si>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</si>
  <si>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</si>
  <si>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</si>
  <si>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</si>
  <si>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</si>
  <si>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</si>
  <si>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</si>
  <si>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</si>
  <si>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</si>
  <si>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</si>
  <si>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</si>
  <si>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</si>
  <si>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</si>
  <si>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</si>
  <si>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</si>
  <si>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</si>
  <si>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</si>
  <si>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</si>
  <si>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</si>
  <si>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</si>
  <si>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</si>
  <si>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</si>
  <si>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</si>
  <si>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</si>
  <si>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</si>
  <si>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</si>
  <si>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</si>
  <si>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</si>
  <si>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</si>
  <si>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</si>
  <si>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</si>
  <si>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</si>
  <si>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</si>
  <si>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</si>
  <si>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</si>
  <si>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</si>
  <si>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</si>
  <si>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</si>
  <si>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</si>
  <si>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</si>
  <si>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</si>
  <si>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</si>
  <si>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</si>
  <si>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</si>
  <si>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</si>
  <si>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</si>
  <si>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</si>
  <si>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</si>
  <si>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</si>
  <si>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</si>
  <si>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</si>
  <si>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</si>
  <si>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</si>
  <si>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</si>
  <si>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</si>
  <si>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</si>
  <si>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</si>
  <si>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</si>
  <si>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</si>
  <si>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</si>
  <si>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</si>
  <si>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</si>
  <si>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</si>
  <si>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</si>
  <si>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</si>
  <si>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</si>
  <si>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</si>
  <si>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</si>
  <si>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</si>
  <si>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</si>
  <si>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</si>
  <si>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</si>
  <si>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</si>
  <si>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</si>
  <si>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</si>
  <si>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</si>
  <si>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</si>
  <si>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</si>
  <si>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</si>
  <si>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</si>
  <si>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</si>
  <si>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</si>
  <si>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</si>
  <si>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</si>
  <si>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</si>
  <si>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</si>
  <si>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</si>
  <si>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</si>
  <si>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</si>
  <si>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</si>
  <si>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</si>
  <si>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</si>
  <si>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</si>
  <si>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</si>
  <si>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</si>
  <si>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</si>
  <si>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</si>
  <si>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</si>
  <si>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</si>
  <si>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</si>
  <si>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</si>
  <si>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</si>
  <si>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</si>
  <si>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</si>
  <si>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</si>
  <si>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</si>
  <si>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</si>
  <si>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</si>
  <si>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</si>
  <si>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</si>
  <si>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</si>
  <si>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</si>
  <si>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</si>
  <si>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</si>
  <si>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</si>
  <si>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</si>
  <si>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</si>
  <si>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</si>
  <si>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</si>
  <si>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</si>
  <si>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</si>
  <si>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</si>
  <si>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</si>
  <si>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</si>
  <si>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</si>
  <si>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</si>
  <si>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</si>
  <si>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</si>
  <si>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</si>
  <si>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</si>
  <si>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</si>
  <si>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</si>
  <si>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</si>
  <si>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</si>
  <si>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</si>
  <si>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</si>
  <si>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</si>
  <si>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</si>
  <si>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</si>
  <si>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</si>
  <si>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</si>
  <si>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</si>
  <si>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</si>
  <si>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</si>
  <si>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</si>
  <si>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</si>
  <si>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</si>
  <si>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</si>
  <si>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</si>
  <si>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</si>
  <si>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</si>
  <si>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</si>
  <si>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</si>
  <si>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</si>
  <si>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</si>
  <si>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</si>
  <si>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</si>
  <si>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</si>
  <si>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</si>
  <si>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</si>
  <si>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</si>
  <si>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</si>
  <si>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</si>
  <si>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</si>
  <si>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</si>
  <si>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</si>
  <si>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</si>
  <si>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</si>
  <si>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</si>
  <si>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</si>
  <si>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</si>
  <si>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</si>
  <si>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</si>
  <si>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</si>
  <si>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</si>
  <si>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</si>
  <si>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</si>
  <si>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</si>
  <si>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</si>
  <si>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</si>
  <si>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</si>
  <si>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</si>
  <si>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</si>
  <si>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</si>
  <si>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</si>
  <si>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</si>
  <si>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</si>
  <si>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</si>
  <si>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</si>
  <si>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</si>
  <si>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</si>
  <si>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</si>
  <si>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</si>
  <si>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</si>
  <si>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</si>
  <si>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</si>
  <si>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</si>
  <si>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</si>
  <si>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</si>
  <si>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</si>
  <si>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</si>
  <si>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</si>
  <si>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</si>
  <si>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</si>
  <si>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</si>
  <si>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</si>
  <si>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</si>
  <si>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</si>
  <si>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</si>
  <si>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</si>
  <si>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</si>
  <si>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</si>
  <si>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</si>
  <si>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</si>
  <si>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</si>
  <si>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</si>
  <si>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</si>
  <si>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</si>
  <si>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</si>
  <si>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</si>
  <si>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</si>
  <si>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</si>
  <si>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</si>
  <si>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</si>
  <si>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</si>
  <si>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</si>
  <si>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</si>
  <si>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</si>
  <si>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</si>
  <si>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</si>
  <si>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</si>
  <si>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</si>
  <si>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</si>
  <si>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</si>
  <si>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</si>
  <si>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</si>
  <si>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</si>
  <si>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</si>
  <si>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</si>
  <si>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</si>
  <si>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</si>
  <si>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</si>
  <si>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</si>
  <si>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</si>
  <si>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</si>
  <si>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</si>
  <si>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</si>
  <si>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</si>
  <si>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</si>
  <si>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</si>
  <si>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</si>
  <si>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</si>
  <si>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</si>
  <si>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</si>
  <si>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</si>
  <si>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</si>
  <si>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</si>
  <si>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</si>
  <si>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</si>
  <si>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</si>
  <si>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</si>
  <si>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</si>
  <si>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</si>
  <si>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</si>
  <si>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</si>
  <si>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</si>
  <si>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</si>
  <si>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</si>
  <si>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</si>
  <si>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</si>
  <si>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</si>
  <si>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</si>
  <si>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</si>
  <si>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</si>
  <si>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</si>
  <si>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</si>
  <si>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</si>
  <si>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</si>
  <si>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</si>
  <si>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</si>
  <si>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</si>
  <si>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</si>
  <si>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</si>
  <si>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</si>
  <si>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</si>
  <si>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</si>
  <si>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</si>
  <si>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</si>
  <si>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</si>
  <si>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</si>
  <si>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</si>
  <si>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</si>
  <si>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</si>
  <si>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</si>
  <si>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</si>
  <si>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</si>
  <si>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</si>
  <si>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</si>
  <si>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</si>
  <si>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</si>
  <si>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</si>
  <si>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</si>
  <si>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</si>
  <si>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</si>
  <si>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</si>
  <si>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</si>
  <si>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</si>
  <si>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</si>
  <si>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</si>
  <si>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</si>
  <si>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</si>
  <si>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</si>
  <si>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</si>
  <si>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</si>
  <si>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</si>
  <si>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</si>
  <si>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</si>
  <si>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</si>
  <si>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</si>
  <si>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</si>
  <si>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</si>
  <si>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</si>
  <si>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</si>
  <si>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</si>
  <si>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</si>
  <si>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</si>
  <si>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</si>
  <si>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</si>
  <si>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</si>
  <si>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</si>
  <si>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</si>
  <si>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</si>
  <si>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</si>
  <si>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</si>
  <si>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</si>
  <si>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</si>
  <si>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</si>
  <si>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</si>
  <si>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</si>
  <si>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</si>
  <si>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</si>
  <si>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</si>
  <si>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</si>
  <si>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</si>
  <si>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</si>
  <si>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</si>
  <si>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</si>
  <si>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</si>
  <si>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</si>
  <si>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</si>
  <si>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</si>
  <si>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</si>
  <si>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</si>
  <si>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</si>
  <si>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</si>
  <si>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</si>
  <si>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</si>
  <si>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</si>
  <si>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</si>
  <si>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</si>
  <si>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</si>
  <si>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</si>
  <si>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</si>
  <si>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</si>
  <si>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</si>
  <si>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</si>
  <si>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</si>
  <si>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</si>
  <si>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</si>
  <si>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</si>
  <si>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</si>
  <si>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</si>
  <si>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</si>
  <si>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</si>
  <si>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</si>
  <si>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</si>
  <si>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</si>
  <si>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</si>
  <si>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</si>
  <si>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</si>
  <si>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</si>
  <si>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</si>
  <si>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</si>
  <si>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</si>
  <si>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</si>
  <si>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</si>
  <si>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</si>
  <si>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</si>
  <si>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</si>
  <si>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</si>
  <si>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</si>
  <si>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</si>
  <si>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</si>
  <si>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</si>
  <si>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</si>
  <si>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</si>
  <si>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</si>
  <si>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</si>
  <si>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</si>
  <si>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</si>
  <si>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</si>
  <si>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</si>
  <si>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</si>
  <si>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</si>
  <si>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</si>
  <si>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</si>
  <si>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</si>
  <si>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</si>
  <si>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</si>
  <si>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</si>
  <si>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</si>
  <si>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</si>
  <si>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</si>
  <si>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</si>
  <si>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</si>
  <si>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</si>
  <si>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</si>
  <si>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</si>
  <si>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</si>
  <si>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</si>
  <si>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</si>
  <si>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</si>
  <si>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</si>
  <si>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</si>
  <si>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</si>
  <si>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</si>
  <si>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</si>
  <si>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</si>
  <si>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</si>
  <si>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</si>
  <si>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</si>
  <si>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</si>
  <si>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</si>
  <si>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</si>
  <si>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</si>
  <si>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</si>
  <si>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</si>
  <si>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</si>
  <si>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</si>
  <si>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</si>
  <si>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</si>
  <si>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</si>
  <si>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</si>
  <si>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</si>
  <si>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</si>
  <si>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</si>
  <si>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</si>
  <si>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</si>
  <si>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</si>
  <si>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</si>
  <si>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</si>
  <si>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</si>
  <si>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</si>
  <si>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</si>
  <si>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</si>
  <si>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</si>
  <si>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</si>
  <si>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</si>
  <si>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</si>
  <si>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</si>
  <si>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</si>
  <si>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</si>
  <si>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</si>
  <si>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</si>
  <si>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</si>
  <si>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</si>
  <si>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</si>
  <si>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</si>
  <si>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</si>
  <si>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</si>
  <si>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</si>
  <si>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</si>
  <si>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</si>
  <si>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</si>
  <si>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</si>
  <si>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</si>
  <si>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</si>
  <si>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</si>
  <si>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</si>
  <si>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</si>
  <si>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</si>
  <si>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</si>
  <si>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</si>
  <si>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</si>
  <si>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</si>
  <si>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</si>
  <si>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</si>
  <si>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</si>
  <si>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</si>
  <si>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</si>
  <si>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</si>
  <si>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</si>
  <si>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</si>
  <si>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</si>
  <si>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</si>
  <si>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</si>
  <si>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</si>
  <si>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</si>
  <si>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</si>
  <si>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</si>
  <si>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</si>
  <si>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</si>
  <si>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</si>
  <si>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</si>
  <si>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</si>
  <si>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</si>
  <si>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</si>
  <si>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</si>
  <si>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</si>
  <si>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</si>
  <si>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</si>
  <si>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</si>
  <si>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</si>
  <si>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</si>
  <si>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</si>
  <si>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</si>
  <si>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</si>
  <si>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</si>
  <si>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</si>
  <si>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</si>
  <si>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</si>
  <si>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</si>
  <si>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</si>
  <si>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</si>
  <si>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</si>
  <si>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</si>
  <si>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</si>
  <si>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</si>
  <si>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</si>
  <si>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</si>
  <si>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</si>
  <si>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</si>
  <si>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</si>
  <si>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</si>
  <si>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</si>
  <si>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</si>
  <si>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</si>
  <si>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</si>
  <si>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</si>
  <si>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</si>
  <si>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</si>
  <si>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</si>
  <si>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</si>
  <si>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</si>
  <si>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</si>
  <si>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</si>
  <si>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</si>
  <si>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</si>
  <si>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</si>
  <si>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</si>
  <si>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</si>
  <si>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</si>
  <si>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</si>
  <si>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</si>
  <si>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</si>
  <si>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</si>
  <si>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</si>
  <si>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</si>
  <si>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</si>
  <si>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</si>
  <si>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</si>
  <si>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</si>
  <si>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</si>
  <si>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</si>
  <si>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</si>
  <si>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</si>
  <si>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</si>
  <si>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</si>
  <si>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</si>
  <si>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</si>
  <si>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</si>
  <si>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</si>
  <si>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</si>
  <si>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</si>
  <si>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</si>
  <si>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</si>
  <si>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</si>
  <si>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</si>
  <si>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</si>
  <si>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</si>
  <si>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</si>
  <si>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</si>
  <si>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</si>
  <si>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</si>
  <si>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</si>
  <si>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</si>
  <si>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</si>
  <si>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</si>
  <si>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</si>
  <si>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</si>
  <si>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</si>
  <si>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</si>
  <si>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</si>
  <si>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</si>
  <si>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</si>
  <si>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</si>
  <si>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</si>
  <si>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</si>
  <si>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</si>
  <si>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</si>
  <si>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</si>
  <si>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</si>
  <si>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</si>
  <si>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</si>
  <si>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</si>
  <si>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</si>
  <si>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</si>
  <si>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</si>
  <si>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</si>
  <si>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</si>
  <si>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</si>
  <si>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</si>
  <si>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</si>
  <si>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</si>
  <si>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</si>
  <si>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</si>
  <si>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</si>
  <si>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</si>
  <si>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</si>
  <si>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</si>
  <si>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</si>
  <si>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</si>
  <si>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</si>
  <si>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</si>
  <si>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</si>
  <si>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</si>
  <si>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</si>
  <si>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</si>
  <si>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</si>
  <si>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</si>
  <si>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</si>
  <si>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</si>
  <si>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</si>
  <si>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</si>
  <si>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</si>
  <si>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</si>
  <si>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</si>
  <si>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</si>
  <si>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</si>
  <si>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</si>
  <si>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</si>
  <si>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</si>
  <si>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</si>
  <si>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</si>
  <si>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</si>
  <si>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</si>
  <si>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</si>
  <si>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</si>
  <si>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</si>
  <si>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</si>
  <si>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</si>
  <si>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</si>
  <si>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</si>
  <si>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</si>
  <si>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</si>
  <si>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</si>
  <si>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</si>
  <si>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</si>
  <si>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</si>
  <si>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</si>
  <si>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</si>
  <si>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</si>
  <si>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</si>
  <si>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</si>
  <si>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</si>
  <si>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</si>
  <si>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</si>
  <si>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</si>
  <si>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</si>
  <si>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</si>
  <si>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</si>
  <si>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</si>
  <si>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</si>
  <si>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</si>
  <si>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</si>
  <si>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</si>
  <si>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</si>
  <si>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</si>
  <si>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</si>
  <si>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</si>
  <si>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</si>
  <si>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</si>
  <si>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</si>
  <si>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</si>
  <si>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</si>
  <si>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</si>
  <si>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</si>
  <si>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</si>
  <si>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</si>
  <si>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</si>
  <si>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</si>
  <si>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</si>
  <si>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</si>
  <si>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</si>
  <si>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</si>
  <si>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</si>
  <si>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</si>
  <si>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</si>
  <si>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</si>
  <si>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</si>
  <si>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</si>
  <si>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</si>
  <si>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</si>
  <si>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</si>
  <si>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</si>
  <si>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</si>
  <si>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</si>
  <si>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</si>
  <si>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</si>
  <si>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</si>
  <si>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</si>
  <si>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</si>
  <si>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</si>
  <si>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</si>
  <si>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</si>
  <si>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</si>
  <si>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</si>
  <si>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</si>
  <si>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</si>
  <si>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</si>
  <si>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</si>
  <si>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</si>
  <si>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</si>
  <si>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</si>
  <si>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</si>
  <si>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</si>
  <si>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</si>
  <si>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</si>
  <si>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</si>
  <si>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</si>
  <si>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</si>
  <si>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</si>
  <si>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</si>
  <si>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</si>
  <si>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</si>
  <si>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</si>
  <si>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</si>
  <si>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</si>
  <si>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</si>
  <si>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</si>
  <si>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</si>
  <si>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</si>
  <si>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</si>
  <si>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</si>
  <si>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</si>
  <si>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</si>
  <si>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</si>
  <si>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</si>
  <si>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</si>
  <si>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</si>
  <si>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</si>
  <si>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</si>
  <si>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</si>
  <si>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</si>
  <si>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</si>
  <si>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</si>
  <si>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</si>
  <si>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</si>
  <si>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</si>
  <si>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</si>
  <si>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</si>
  <si>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</si>
  <si>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</si>
  <si>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</si>
  <si>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</si>
  <si>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</si>
  <si>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</si>
  <si>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</si>
  <si>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</si>
  <si>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</si>
  <si>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</si>
  <si>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</si>
  <si>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</si>
  <si>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</si>
  <si>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</si>
  <si>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</si>
  <si>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</si>
  <si>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</si>
  <si>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</si>
  <si>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</si>
  <si>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</si>
  <si>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</si>
  <si>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</si>
  <si>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</si>
  <si>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</si>
  <si>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</si>
  <si>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</si>
  <si>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</si>
  <si>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</si>
  <si>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</si>
  <si>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</si>
  <si>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</si>
  <si>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</si>
  <si>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</si>
  <si>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</si>
  <si>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</si>
  <si>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</si>
  <si>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</si>
  <si>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</si>
  <si>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</si>
  <si>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</si>
  <si>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</si>
  <si>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</si>
  <si>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</si>
  <si>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</si>
  <si>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</si>
  <si>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</si>
  <si>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</si>
  <si>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</si>
  <si>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</si>
  <si>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</si>
  <si>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</si>
  <si>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</si>
  <si>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</si>
  <si>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</si>
  <si>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</si>
  <si>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</si>
  <si>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</si>
  <si>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</si>
  <si>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</si>
  <si>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</si>
  <si>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</si>
  <si>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</si>
  <si>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</si>
  <si>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</si>
  <si>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</si>
  <si>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</si>
  <si>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</si>
  <si>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</si>
  <si>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</si>
  <si>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</si>
  <si>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</si>
  <si>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</si>
  <si>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</si>
  <si>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</si>
  <si>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</si>
  <si>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</si>
  <si>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</si>
  <si>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</si>
  <si>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</si>
  <si>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</si>
  <si>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</si>
  <si>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</si>
  <si>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</si>
  <si>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</si>
  <si>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</si>
  <si>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</si>
  <si>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</si>
  <si>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</si>
  <si>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</si>
  <si>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</si>
  <si>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</si>
  <si>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</si>
  <si>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</si>
  <si>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</si>
  <si>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</si>
  <si>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</si>
  <si>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</si>
  <si>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</si>
  <si>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</si>
  <si>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</si>
  <si>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</si>
  <si>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</si>
  <si>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</si>
  <si>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</si>
  <si>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</si>
  <si>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</si>
  <si>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</si>
  <si>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</si>
  <si>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</si>
  <si>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</si>
  <si>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</si>
  <si>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</si>
  <si>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</si>
  <si>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</si>
  <si>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</si>
  <si>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</si>
  <si>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</si>
  <si>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</si>
  <si>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</si>
  <si>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</si>
  <si>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</si>
  <si>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</si>
  <si>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</si>
  <si>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</si>
  <si>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</si>
  <si>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</si>
  <si>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</si>
  <si>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</si>
  <si>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</si>
  <si>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</si>
  <si>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</si>
  <si>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</si>
  <si>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</si>
  <si>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</si>
  <si>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</si>
  <si>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</si>
  <si>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</si>
  <si>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</si>
  <si>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</si>
  <si>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</si>
  <si>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</si>
  <si>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</si>
  <si>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</si>
  <si>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</si>
  <si>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</si>
  <si>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</si>
  <si>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</si>
  <si>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</si>
  <si>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</si>
  <si>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</si>
  <si>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</si>
  <si>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</si>
  <si>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出让</t>
  </si>
  <si>
    <t>企业</t>
  </si>
  <si>
    <t>北京市</t>
  </si>
  <si>
    <t>曲美家居集团股份有限公司</t>
    <phoneticPr fontId="6" type="noConversion"/>
  </si>
  <si>
    <t>通路</t>
  </si>
  <si>
    <t>通电</t>
  </si>
  <si>
    <t>通讯</t>
  </si>
  <si>
    <t>通上水</t>
  </si>
  <si>
    <t>通下水</t>
  </si>
  <si>
    <t>Ⅸ-顺1</t>
  </si>
  <si>
    <t>抵押</t>
  </si>
  <si>
    <t>房地产抵押价值</t>
  </si>
  <si>
    <t>工业用地</t>
  </si>
  <si>
    <r>
      <rPr>
        <sz val="12"/>
        <color theme="9" tint="-0.249977111117893"/>
        <rFont val="宋体"/>
        <family val="3"/>
        <charset val="134"/>
      </rPr>
      <t>顺义区坞里路</t>
    </r>
    <r>
      <rPr>
        <sz val="12"/>
        <color theme="9" tint="-0.249977111117893"/>
        <rFont val="Arial"/>
        <family val="2"/>
      </rPr>
      <t>68</t>
    </r>
    <r>
      <rPr>
        <sz val="12"/>
        <color theme="9" tint="-0.249977111117893"/>
        <rFont val="宋体"/>
        <family val="3"/>
        <charset val="134"/>
      </rPr>
      <t>号</t>
    </r>
    <r>
      <rPr>
        <sz val="12"/>
        <color theme="9" tint="-0.249977111117893"/>
        <rFont val="Arial"/>
        <family val="2"/>
      </rPr>
      <t>6</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2</t>
    </r>
    <r>
      <rPr>
        <sz val="12"/>
        <color theme="9" tint="-0.249977111117893"/>
        <rFont val="宋体"/>
        <family val="3"/>
        <charset val="134"/>
      </rPr>
      <t>层</t>
    </r>
    <r>
      <rPr>
        <sz val="12"/>
        <color theme="9" tint="-0.249977111117893"/>
        <rFont val="Arial"/>
        <family val="2"/>
      </rPr>
      <t>101</t>
    </r>
    <phoneticPr fontId="6" type="noConversion"/>
  </si>
  <si>
    <t>是</t>
  </si>
  <si>
    <t>钢</t>
  </si>
  <si>
    <t>地上</t>
  </si>
  <si>
    <t>标准厂房</t>
  </si>
  <si>
    <t>工业</t>
    <phoneticPr fontId="7" type="noConversion"/>
  </si>
  <si>
    <t>收益法</t>
  </si>
  <si>
    <t>成新度</t>
  </si>
  <si>
    <t>容积率修正</t>
  </si>
  <si>
    <t>较好</t>
  </si>
  <si>
    <t>一般</t>
  </si>
  <si>
    <t>未包含在土地购买价格中</t>
  </si>
  <si>
    <t>全部缴纳</t>
  </si>
  <si>
    <t>已包含在土地取得成本中</t>
  </si>
  <si>
    <t>押一</t>
  </si>
  <si>
    <t>按租金收入计税</t>
  </si>
  <si>
    <t>成本法</t>
  </si>
  <si>
    <t>生产用房</t>
  </si>
  <si>
    <r>
      <t>6</t>
    </r>
    <r>
      <rPr>
        <sz val="11"/>
        <color theme="1"/>
        <rFont val="宋体"/>
        <family val="3"/>
        <charset val="134"/>
        <scheme val="minor"/>
      </rPr>
      <t>#</t>
    </r>
    <phoneticPr fontId="143" type="noConversion"/>
  </si>
  <si>
    <r>
      <t>7</t>
    </r>
    <r>
      <rPr>
        <sz val="11"/>
        <color theme="1"/>
        <rFont val="宋体"/>
        <family val="3"/>
        <charset val="134"/>
        <scheme val="minor"/>
      </rPr>
      <t>#</t>
    </r>
    <phoneticPr fontId="143" type="noConversion"/>
  </si>
  <si>
    <r>
      <t>1</t>
    </r>
    <r>
      <rPr>
        <sz val="11"/>
        <color theme="1"/>
        <rFont val="宋体"/>
        <family val="3"/>
        <charset val="134"/>
        <scheme val="minor"/>
      </rPr>
      <t>4#</t>
    </r>
    <phoneticPr fontId="143" type="noConversion"/>
  </si>
  <si>
    <t>顺义</t>
    <phoneticPr fontId="143" type="noConversion"/>
  </si>
  <si>
    <t>楼号</t>
    <phoneticPr fontId="143" type="noConversion"/>
  </si>
  <si>
    <t>建筑面积</t>
    <phoneticPr fontId="143" type="noConversion"/>
  </si>
  <si>
    <t>土地面积</t>
    <phoneticPr fontId="143" type="noConversion"/>
  </si>
  <si>
    <t>总价值（万元）</t>
    <phoneticPr fontId="143" type="noConversion"/>
  </si>
  <si>
    <t>楼面单价（元/平方米）</t>
    <phoneticPr fontId="143" type="noConversion"/>
  </si>
  <si>
    <t>朝阳</t>
    <phoneticPr fontId="143" type="noConversion"/>
  </si>
  <si>
    <t>合计</t>
    <phoneticPr fontId="143" type="noConversion"/>
  </si>
  <si>
    <t>与级别开发程度不一致</t>
  </si>
  <si>
    <t>燃气</t>
  </si>
  <si>
    <t>平整</t>
  </si>
  <si>
    <t>郑燚</t>
  </si>
  <si>
    <t>崔锴</t>
  </si>
  <si>
    <t>中国建设银行股份有限公司北京鼎昆支行</t>
    <phoneticPr fontId="3" type="noConversion"/>
  </si>
  <si>
    <t>曲美家居集团股份有限公司</t>
    <phoneticPr fontId="3" type="noConversion"/>
  </si>
  <si>
    <t>成本比率</t>
  </si>
  <si>
    <t>2020-1</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</si>
  <si>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</si>
  <si>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季度增幅（自定义）</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</si>
</sst>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99" fillId="0" borderId="0" xfId="0" applyFont="1" applyAlignment="1">
      <alignment vertical="center" wrapText="1"/>
    </xf>
    <xf numFmtId="0" fontId="101" fillId="0" borderId="0" xfId="0" applyFont="1">
      <alignment vertical="center"/>
    </xf>
    <xf numFmtId="0" fontId="190" fillId="7" borderId="5" xfId="0" applyFont="1" applyFill="1" applyBorder="1" applyAlignment="1" applyProtection="1">
      <alignment vertical="center"/>
      <protection locked="0"/>
    </xf>
    <xf numFmtId="49" fontId="56" fillId="14" borderId="1" xfId="16" applyNumberFormat="1" applyFont="1" applyFill="1" applyBorder="1" applyAlignment="1" applyProtection="1">
      <alignment horizontal="center" vertical="center" wrapText="1"/>
    </xf>
    <xf numFmtId="186" fontId="153" fillId="14" borderId="0" xfId="16" applyNumberFormat="1" applyFont="1" applyFill="1" applyAlignment="1">
      <alignment horizontal="center" vertical="center"/>
    </xf>
    <xf numFmtId="0" fontId="152" fillId="12" borderId="126" xfId="16" applyFont="1" applyFill="1" applyBorder="1" applyAlignment="1" applyProtection="1">
      <alignment horizontal="center" vertical="center" wrapText="1"/>
    </xf>
    <xf numFmtId="0" fontId="152" fillId="14" borderId="127" xfId="16" applyFont="1" applyFill="1" applyBorder="1" applyAlignment="1" applyProtection="1">
      <alignment horizontal="center" vertical="center" wrapText="1"/>
    </xf>
    <xf numFmtId="0" fontId="153" fillId="14" borderId="0" xfId="16" applyFont="1" applyFill="1" applyBorder="1" applyAlignment="1" applyProtection="1">
      <alignment horizontal="center" vertical="center"/>
      <protection locked="0"/>
    </xf>
    <xf numFmtId="0" fontId="108" fillId="14" borderId="0" xfId="16" applyFont="1" applyFill="1">
      <alignment vertical="center"/>
    </xf>
    <xf numFmtId="10" fontId="153" fillId="14" borderId="129" xfId="16" applyNumberFormat="1" applyFont="1" applyFill="1" applyBorder="1" applyAlignment="1">
      <alignment vertical="center"/>
    </xf>
    <xf numFmtId="0" fontId="108" fillId="14" borderId="0" xfId="16" applyFont="1" applyFill="1" applyAlignment="1">
      <alignment horizontal="center" vertical="center"/>
    </xf>
    <xf numFmtId="0" fontId="108" fillId="14" borderId="122" xfId="16" applyFont="1" applyFill="1" applyBorder="1" applyAlignment="1">
      <alignment horizontal="center" vertical="center"/>
    </xf>
    <xf numFmtId="0" fontId="120" fillId="5" borderId="0" xfId="16" applyFont="1" applyFill="1">
      <alignment vertical="center"/>
    </xf>
    <xf numFmtId="0" fontId="105" fillId="14" borderId="0" xfId="16" applyFont="1" applyFill="1" applyAlignment="1">
      <alignment horizontal="center" vertical="center"/>
    </xf>
    <xf numFmtId="10" fontId="105" fillId="14" borderId="0" xfId="16" applyNumberFormat="1" applyFont="1" applyFill="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542925</xdr:colOff>
      <xdr:row>19</xdr:row>
      <xdr:rowOff>19050</xdr:rowOff>
    </xdr:from>
    <xdr:to>
      <xdr:col>15</xdr:col>
      <xdr:colOff>619125</xdr:colOff>
      <xdr:row>28</xdr:row>
      <xdr:rowOff>95250</xdr:rowOff>
    </xdr:to>
    <xdr:pic>
      <xdr:nvPicPr>
        <xdr:cNvPr id="11366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228725" y="3619500"/>
          <a:ext cx="9677400" cy="1619250"/>
        </a:xfrm>
        <a:prstGeom prst="rect">
          <a:avLst/>
        </a:prstGeom>
        <a:noFill/>
        <a:ln w="1">
          <a:noFill/>
          <a:miter lim="800000"/>
          <a:headEnd/>
          <a:tailEnd type="none" w="med" len="med"/>
        </a:ln>
        <a:effectLst/>
      </xdr:spPr>
    </xdr:pic>
    <xdr:clientData/>
  </xdr:twoCellAnchor>
  <xdr:twoCellAnchor editAs="oneCell">
    <xdr:from>
      <xdr:col>2</xdr:col>
      <xdr:colOff>9525</xdr:colOff>
      <xdr:row>58</xdr:row>
      <xdr:rowOff>104775</xdr:rowOff>
    </xdr:from>
    <xdr:to>
      <xdr:col>16</xdr:col>
      <xdr:colOff>133350</xdr:colOff>
      <xdr:row>85</xdr:row>
      <xdr:rowOff>19050</xdr:rowOff>
    </xdr:to>
    <xdr:pic>
      <xdr:nvPicPr>
        <xdr:cNvPr id="11366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381125" y="10391775"/>
          <a:ext cx="9725025" cy="4543425"/>
        </a:xfrm>
        <a:prstGeom prst="rect">
          <a:avLst/>
        </a:prstGeom>
        <a:noFill/>
        <a:ln w="1">
          <a:noFill/>
          <a:miter lim="800000"/>
          <a:headEnd/>
          <a:tailEnd type="none" w="med" len="med"/>
        </a:ln>
        <a:effectLst/>
      </xdr:spPr>
    </xdr:pic>
    <xdr:clientData/>
  </xdr:twoCellAnchor>
  <xdr:twoCellAnchor editAs="oneCell">
    <xdr:from>
      <xdr:col>2</xdr:col>
      <xdr:colOff>247650</xdr:colOff>
      <xdr:row>59</xdr:row>
      <xdr:rowOff>114300</xdr:rowOff>
    </xdr:from>
    <xdr:to>
      <xdr:col>16</xdr:col>
      <xdr:colOff>228600</xdr:colOff>
      <xdr:row>85</xdr:row>
      <xdr:rowOff>47625</xdr:rowOff>
    </xdr:to>
    <xdr:pic>
      <xdr:nvPicPr>
        <xdr:cNvPr id="113668"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619250" y="10572750"/>
          <a:ext cx="9582150" cy="4391025"/>
        </a:xfrm>
        <a:prstGeom prst="rect">
          <a:avLst/>
        </a:prstGeom>
        <a:noFill/>
        <a:ln w="1">
          <a:noFill/>
          <a:miter lim="800000"/>
          <a:headEnd/>
          <a:tailEnd type="none" w="med" len="med"/>
        </a:ln>
        <a:effectLst/>
      </xdr:spPr>
    </xdr:pic>
    <xdr:clientData/>
  </xdr:twoCellAnchor>
  <xdr:twoCellAnchor editAs="oneCell">
    <xdr:from>
      <xdr:col>1</xdr:col>
      <xdr:colOff>590550</xdr:colOff>
      <xdr:row>28</xdr:row>
      <xdr:rowOff>104775</xdr:rowOff>
    </xdr:from>
    <xdr:to>
      <xdr:col>15</xdr:col>
      <xdr:colOff>665541</xdr:colOff>
      <xdr:row>36</xdr:row>
      <xdr:rowOff>123651</xdr:rowOff>
    </xdr:to>
    <xdr:pic>
      <xdr:nvPicPr>
        <xdr:cNvPr id="2" name="图片 1"/>
        <xdr:cNvPicPr>
          <a:picLocks noChangeAspect="1"/>
        </xdr:cNvPicPr>
      </xdr:nvPicPr>
      <xdr:blipFill>
        <a:blip xmlns:r="http://schemas.openxmlformats.org/officeDocument/2006/relationships" r:embed="rId4" cstate="print"/>
        <a:stretch>
          <a:fillRect/>
        </a:stretch>
      </xdr:blipFill>
      <xdr:spPr>
        <a:xfrm>
          <a:off x="1276350" y="5248275"/>
          <a:ext cx="9676191" cy="1390476"/>
        </a:xfrm>
        <a:prstGeom prst="rect">
          <a:avLst/>
        </a:prstGeom>
      </xdr:spPr>
    </xdr:pic>
    <xdr:clientData/>
  </xdr:twoCellAnchor>
  <xdr:twoCellAnchor editAs="oneCell">
    <xdr:from>
      <xdr:col>2</xdr:col>
      <xdr:colOff>0</xdr:colOff>
      <xdr:row>37</xdr:row>
      <xdr:rowOff>0</xdr:rowOff>
    </xdr:from>
    <xdr:to>
      <xdr:col>15</xdr:col>
      <xdr:colOff>532220</xdr:colOff>
      <xdr:row>44</xdr:row>
      <xdr:rowOff>85564</xdr:rowOff>
    </xdr:to>
    <xdr:pic>
      <xdr:nvPicPr>
        <xdr:cNvPr id="3" name="图片 2"/>
        <xdr:cNvPicPr>
          <a:picLocks noChangeAspect="1"/>
        </xdr:cNvPicPr>
      </xdr:nvPicPr>
      <xdr:blipFill>
        <a:blip xmlns:r="http://schemas.openxmlformats.org/officeDocument/2006/relationships" r:embed="rId5" cstate="print"/>
        <a:stretch>
          <a:fillRect/>
        </a:stretch>
      </xdr:blipFill>
      <xdr:spPr>
        <a:xfrm>
          <a:off x="1371600" y="6686550"/>
          <a:ext cx="9447620" cy="1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7%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8&#21495;&#31561;4&#2287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9034;&#20041;-14%23&#31561;3&#2287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enovo/AppData/Roaming/Microsoft/Excel/&#39034;&#20041;-8%23&#31561;4&#2287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enovo/AppData/Roaming/Microsoft/Excel/&#39034;&#20041;-14%23&#31561;3&#2287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enovo/AppData/Roaming/Microsoft/Excel/&#23545;&#20844;&#20107;&#19994;&#37096;&#8212;&#30005;&#31639;&#34920;-&#25151;&#22320;&#20135;-&#39033;&#30446;%20(version%201).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33813.64</v>
          </cell>
          <cell r="C14">
            <v>57547.21</v>
          </cell>
          <cell r="D14">
            <v>20333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90684.569999999992</v>
          </cell>
          <cell r="C14">
            <v>75014.7</v>
          </cell>
          <cell r="D14">
            <v>45807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32374.37</v>
          </cell>
          <cell r="C14">
            <v>47715.42</v>
          </cell>
          <cell r="D14">
            <v>18143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G19">
            <v>45381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14156</v>
          </cell>
        </row>
      </sheetData>
      <sheetData sheetId="17">
        <row r="19">
          <cell r="G19">
            <v>14156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北京市顺义区坞里路68号6号楼1至2层101出让国有建设用地使用权及在建建筑物房地产抵押价值预评估</v>
      </c>
    </row>
    <row r="3" spans="1:2" s="1588" customFormat="1">
      <c r="A3" s="1586" t="s">
        <v>1217</v>
      </c>
      <c r="B3" s="1587" t="str">
        <f>'预评函-封皮'!B40</f>
        <v>曲美家居集团股份有限公司</v>
      </c>
    </row>
    <row r="4" spans="1:2" s="1588" customFormat="1">
      <c r="A4" s="1586" t="s">
        <v>1218</v>
      </c>
      <c r="B4" s="1587" t="str">
        <f ca="1">'预评函-封皮'!B46</f>
        <v>郑燚（注册号：0)、崔锴（注册号：1120100036)</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受贵公司委托，我公司对北京市顺义区坞里路68号6号楼1至2层101出让国有建设用地使用权及在建建筑物房地产抵押价值进行了预评估。</v>
      </c>
    </row>
    <row r="7" spans="1:2" s="1588" customFormat="1">
      <c r="A7" s="1586" t="s">
        <v>1260</v>
      </c>
      <c r="B7" s="1587" t="str">
        <f>'预评函-1'!A7</f>
        <v>估价对象为北京市顺义区坞里路68号6号楼1至2层101出让国有建设用地使用权及在建建筑物房地产，为所有。根据《国有土地使用证》[]，估价对象（分摊）出让国有建设用地使用权面积为61612.73平方米，建筑面积为23014.8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北京市顺义区坞里路68号6号楼1至2层101出让国有建设用地使用权及在建建筑物房地产,属开发建设的，该项目尚在开发建设中。根据《国有土地使用证》[]，估价对象（分摊）出让国有建设用地使用权面积为61612.73平方米，规划建筑面积为23014.8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为估价委托人在向中国建设银行股份有限公司北京鼎昆支行办理贷款手续过程中，确定房地产抵押贷款额度提供参考依据而评估房地产抵押价值。</v>
      </c>
    </row>
    <row r="12" spans="1:2" s="1588" customFormat="1">
      <c r="A12" s="1586" t="s">
        <v>1222</v>
      </c>
      <c r="B12" s="1587" t="str">
        <f>'预评函-1'!A15</f>
        <v>2020年3月4日</v>
      </c>
    </row>
    <row r="13" spans="1:2" s="1588" customFormat="1">
      <c r="A13" s="1586" t="s">
        <v>1223</v>
      </c>
      <c r="B13" s="1587" t="str">
        <f>'预评函-1'!A18</f>
        <v>本次估价的“房地产价值”是指在正常市场情况下，在价值时点2020年3月4日，估价对象规划用途为，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
      </c>
    </row>
    <row r="18" spans="1:2" s="1582" customFormat="1" ht="15" thickBot="1">
      <c r="A18" s="1589" t="s">
        <v>1228</v>
      </c>
      <c r="B18" s="1590" t="str">
        <f>'预评函-1'!A24</f>
        <v>本次评估采用的主估价方法为成本法和收益法。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15918</v>
      </c>
    </row>
    <row r="21" spans="1:2" s="1588" customFormat="1">
      <c r="A21" s="1586" t="s">
        <v>1231</v>
      </c>
      <c r="B21" s="1587">
        <f ca="1">'预评函-2'!D7</f>
        <v>6916</v>
      </c>
    </row>
    <row r="22" spans="1:2" s="1588" customFormat="1">
      <c r="A22" s="1586" t="s">
        <v>1232</v>
      </c>
      <c r="B22" s="1587" t="str">
        <f ca="1">'预评函-2'!D6</f>
        <v>壹亿伍仟玖佰壹拾捌万元整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15918</v>
      </c>
    </row>
    <row r="31" spans="1:2" s="1588" customFormat="1">
      <c r="A31" s="1586" t="s">
        <v>1270</v>
      </c>
      <c r="B31" s="1587">
        <f ca="1">'预评函-2'!D15</f>
        <v>6916</v>
      </c>
    </row>
    <row r="32" spans="1:2" s="1588" customFormat="1">
      <c r="A32" s="1586" t="s">
        <v>1237</v>
      </c>
      <c r="B32" s="1587" t="str">
        <f ca="1">'预评函-2'!D14</f>
        <v>壹亿伍仟玖佰壹拾捌万元整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北京市顺义区坞里路68号6号楼1至2层101出让国有建设用地使用权及在建建筑物房地产</v>
      </c>
    </row>
    <row r="42" spans="1:2" s="1588" customFormat="1">
      <c r="A42" s="1586" t="s">
        <v>1284</v>
      </c>
      <c r="B42" s="1587" t="str">
        <f>'预评函-3'!B2</f>
        <v>建筑面积</v>
      </c>
    </row>
    <row r="43" spans="1:2" s="1588" customFormat="1">
      <c r="A43" s="1586" t="s">
        <v>1285</v>
      </c>
      <c r="B43" s="1587">
        <f>'预评函-3'!B4</f>
        <v>23014.799999999999</v>
      </c>
    </row>
    <row r="44" spans="1:2" s="1588" customFormat="1">
      <c r="A44" s="1586" t="s">
        <v>1269</v>
      </c>
      <c r="B44" s="1587" t="str">
        <f>'预评函-3'!C2</f>
        <v>(分摊)土地面积</v>
      </c>
    </row>
    <row r="45" spans="1:2" s="1588" customFormat="1">
      <c r="A45" s="1586" t="s">
        <v>1241</v>
      </c>
      <c r="B45" s="1587">
        <f>'预评函-3'!C4</f>
        <v>61612.73</v>
      </c>
    </row>
    <row r="46" spans="1:2" s="1588" customFormat="1">
      <c r="A46" s="1586" t="s">
        <v>1267</v>
      </c>
      <c r="B46" s="1587" t="str">
        <f>'预评函-3'!D2</f>
        <v>出让国有建设用地使用权价值</v>
      </c>
    </row>
    <row r="47" spans="1:2" s="1588" customFormat="1">
      <c r="A47" s="1586" t="s">
        <v>1242</v>
      </c>
      <c r="B47" s="1587">
        <f ca="1">'预评函-3'!D4</f>
        <v>8691</v>
      </c>
    </row>
    <row r="48" spans="1:2" s="1588" customFormat="1">
      <c r="A48" s="1586" t="s">
        <v>1243</v>
      </c>
      <c r="B48" s="1587">
        <f ca="1">'预评函-3'!E4</f>
        <v>3776</v>
      </c>
    </row>
    <row r="49" spans="1:2" s="1588" customFormat="1">
      <c r="A49" s="1586" t="s">
        <v>1244</v>
      </c>
      <c r="B49" s="1587" t="str">
        <f ca="1">'预评函-3'!D5</f>
        <v>捌仟陆佰玖拾壹万元整</v>
      </c>
    </row>
    <row r="50" spans="1:2" s="1588" customFormat="1">
      <c r="A50" s="1586" t="s">
        <v>1268</v>
      </c>
      <c r="B50" s="1587" t="str">
        <f>'预评函-3'!F2</f>
        <v>在建建筑物价值</v>
      </c>
    </row>
    <row r="51" spans="1:2" s="1588" customFormat="1">
      <c r="A51" s="1586" t="s">
        <v>1245</v>
      </c>
      <c r="B51" s="1587">
        <f ca="1">'预评函-3'!F4</f>
        <v>7227</v>
      </c>
    </row>
    <row r="52" spans="1:2" s="1588" customFormat="1">
      <c r="A52" s="1586" t="s">
        <v>1246</v>
      </c>
      <c r="B52" s="1587">
        <f ca="1">'预评函-3'!G4</f>
        <v>3140</v>
      </c>
    </row>
    <row r="53" spans="1:2" s="1588" customFormat="1">
      <c r="A53" s="1586" t="s">
        <v>1274</v>
      </c>
      <c r="B53" s="1587" t="str">
        <f ca="1">'预评函-3'!F5</f>
        <v>柒仟贰佰贰拾柒万元整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1265</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t="str">
        <f>'预评函-4'!A4</f>
        <v>郑燚</v>
      </c>
    </row>
    <row r="71" spans="1:2">
      <c r="A71" s="1586" t="s">
        <v>1257</v>
      </c>
      <c r="B71" s="1587">
        <f ca="1">'预评函-4'!B4</f>
        <v>0</v>
      </c>
    </row>
    <row r="72" spans="1:2">
      <c r="A72" s="1586" t="s">
        <v>1258</v>
      </c>
      <c r="B72" s="1595" t="str">
        <f>'预评函-4'!A5</f>
        <v>崔锴</v>
      </c>
    </row>
    <row r="73" spans="1:2" s="1582" customFormat="1" ht="15" thickBot="1">
      <c r="A73" s="1589" t="s">
        <v>1259</v>
      </c>
      <c r="B73" s="1590">
        <f ca="1">'预评函-4'!B5</f>
        <v>1120100036</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1685</v>
      </c>
      <c r="C1" s="2003" t="s">
        <v>759</v>
      </c>
      <c r="D1" s="2004" t="s">
        <v>1686</v>
      </c>
      <c r="E1" s="2004" t="s">
        <v>1687</v>
      </c>
      <c r="F1" s="2004" t="s">
        <v>1688</v>
      </c>
      <c r="G1" s="2004" t="s">
        <v>1689</v>
      </c>
      <c r="H1" s="2004" t="s">
        <v>1690</v>
      </c>
      <c r="I1" s="2004" t="s">
        <v>1691</v>
      </c>
      <c r="J1" s="2004" t="s">
        <v>1692</v>
      </c>
      <c r="K1" s="2004" t="s">
        <v>1693</v>
      </c>
      <c r="L1" s="2004" t="s">
        <v>1694</v>
      </c>
      <c r="M1" s="2004" t="s">
        <v>1695</v>
      </c>
      <c r="N1" s="2004" t="s">
        <v>1696</v>
      </c>
      <c r="O1" s="2004" t="s">
        <v>1697</v>
      </c>
      <c r="P1" s="2005" t="s">
        <v>753</v>
      </c>
      <c r="Q1" s="2005" t="s">
        <v>1141</v>
      </c>
      <c r="R1" s="2004" t="s">
        <v>1135</v>
      </c>
      <c r="S1" s="2004" t="s">
        <v>1698</v>
      </c>
      <c r="T1" s="2006" t="s">
        <v>1699</v>
      </c>
      <c r="U1" s="2004" t="s">
        <v>1700</v>
      </c>
      <c r="V1" s="2004" t="s">
        <v>1701</v>
      </c>
      <c r="W1" s="2004" t="s">
        <v>755</v>
      </c>
    </row>
    <row r="2" spans="1:23">
      <c r="A2" s="2008" t="s">
        <v>22</v>
      </c>
      <c r="B2" s="2008" t="s">
        <v>1702</v>
      </c>
      <c r="C2" s="2009" t="s">
        <v>760</v>
      </c>
      <c r="D2" s="2010" t="s">
        <v>1703</v>
      </c>
      <c r="E2" s="2010" t="s">
        <v>1704</v>
      </c>
      <c r="F2" s="2010" t="s">
        <v>1705</v>
      </c>
      <c r="G2" s="2010">
        <v>40</v>
      </c>
      <c r="H2" s="2010" t="s">
        <v>1705</v>
      </c>
      <c r="I2" s="2010" t="s">
        <v>1706</v>
      </c>
      <c r="J2" s="2010" t="s">
        <v>1707</v>
      </c>
      <c r="K2" s="2010" t="s">
        <v>1708</v>
      </c>
      <c r="L2" s="2010" t="s">
        <v>1708</v>
      </c>
      <c r="M2" s="2010" t="s">
        <v>1708</v>
      </c>
      <c r="N2" s="2010" t="s">
        <v>1708</v>
      </c>
      <c r="O2" s="2010" t="s">
        <v>1708</v>
      </c>
      <c r="P2" s="2010" t="s">
        <v>1708</v>
      </c>
      <c r="Q2" s="2010" t="s">
        <v>1708</v>
      </c>
      <c r="R2" s="2010" t="s">
        <v>1137</v>
      </c>
      <c r="S2" s="2010" t="s">
        <v>1708</v>
      </c>
      <c r="T2" s="2010" t="s">
        <v>1709</v>
      </c>
      <c r="U2" s="2010" t="s">
        <v>1708</v>
      </c>
      <c r="V2" s="2010" t="s">
        <v>1710</v>
      </c>
      <c r="W2" s="2010" t="s">
        <v>1708</v>
      </c>
    </row>
    <row r="3" spans="1:23">
      <c r="A3" s="2008" t="s">
        <v>1711</v>
      </c>
      <c r="B3" s="2011" t="s">
        <v>1142</v>
      </c>
      <c r="C3" s="2012" t="s">
        <v>761</v>
      </c>
      <c r="D3" s="2010" t="s">
        <v>1712</v>
      </c>
      <c r="E3" s="2010" t="s">
        <v>16</v>
      </c>
      <c r="F3" s="2010" t="s">
        <v>1713</v>
      </c>
      <c r="G3" s="2010">
        <v>50</v>
      </c>
      <c r="H3" s="2010" t="s">
        <v>1713</v>
      </c>
      <c r="I3" s="2010" t="s">
        <v>1714</v>
      </c>
      <c r="J3" s="2010" t="s">
        <v>1715</v>
      </c>
      <c r="K3" s="2010" t="s">
        <v>1716</v>
      </c>
      <c r="L3" s="2010" t="s">
        <v>1716</v>
      </c>
      <c r="M3" s="2010" t="s">
        <v>1716</v>
      </c>
      <c r="N3" s="2010" t="s">
        <v>1716</v>
      </c>
      <c r="O3" s="2010" t="s">
        <v>1716</v>
      </c>
      <c r="P3" s="2010" t="s">
        <v>1716</v>
      </c>
      <c r="Q3" s="2010" t="s">
        <v>1716</v>
      </c>
      <c r="R3" s="2010" t="s">
        <v>1136</v>
      </c>
      <c r="S3" s="2010" t="s">
        <v>1716</v>
      </c>
      <c r="T3" s="2010" t="s">
        <v>1717</v>
      </c>
      <c r="U3" s="2010" t="s">
        <v>1716</v>
      </c>
      <c r="V3" s="2010" t="s">
        <v>1718</v>
      </c>
      <c r="W3" s="2010" t="s">
        <v>1716</v>
      </c>
    </row>
    <row r="4" spans="1:23">
      <c r="A4" s="2008" t="s">
        <v>1719</v>
      </c>
      <c r="B4" s="2008" t="s">
        <v>1720</v>
      </c>
      <c r="C4" s="2009" t="s">
        <v>762</v>
      </c>
      <c r="D4" s="2010" t="s">
        <v>865</v>
      </c>
      <c r="E4" s="2010" t="s">
        <v>1721</v>
      </c>
      <c r="F4" s="2010" t="s">
        <v>1722</v>
      </c>
      <c r="G4" s="2010">
        <v>70</v>
      </c>
      <c r="H4" s="2010" t="s">
        <v>1722</v>
      </c>
      <c r="I4" s="2010" t="s">
        <v>1723</v>
      </c>
      <c r="K4" s="2010" t="s">
        <v>1724</v>
      </c>
      <c r="L4" s="2010" t="s">
        <v>1724</v>
      </c>
      <c r="M4" s="2010" t="s">
        <v>1724</v>
      </c>
      <c r="N4" s="2010" t="s">
        <v>1724</v>
      </c>
      <c r="O4" s="2010" t="s">
        <v>1724</v>
      </c>
      <c r="P4" s="2010" t="s">
        <v>1724</v>
      </c>
      <c r="Q4" s="2010" t="s">
        <v>1724</v>
      </c>
      <c r="R4" s="2010" t="s">
        <v>1138</v>
      </c>
      <c r="S4" s="2010" t="s">
        <v>1724</v>
      </c>
      <c r="T4" s="2010" t="s">
        <v>1725</v>
      </c>
      <c r="U4" s="2010" t="s">
        <v>1724</v>
      </c>
      <c r="W4" s="2010" t="s">
        <v>1724</v>
      </c>
    </row>
    <row r="5" spans="1:23">
      <c r="A5" s="2008" t="s">
        <v>1726</v>
      </c>
      <c r="B5" s="2008" t="s">
        <v>1727</v>
      </c>
      <c r="C5" s="2009" t="s">
        <v>763</v>
      </c>
      <c r="F5" s="2010" t="s">
        <v>1728</v>
      </c>
      <c r="H5" s="2010" t="s">
        <v>1729</v>
      </c>
      <c r="I5" s="2010" t="s">
        <v>1730</v>
      </c>
      <c r="K5" s="2010" t="s">
        <v>1731</v>
      </c>
      <c r="L5" s="2010" t="s">
        <v>1731</v>
      </c>
      <c r="M5" s="2010" t="s">
        <v>1731</v>
      </c>
      <c r="N5" s="2010" t="s">
        <v>1731</v>
      </c>
      <c r="O5" s="2010" t="s">
        <v>1731</v>
      </c>
      <c r="P5" s="2010" t="s">
        <v>1731</v>
      </c>
      <c r="Q5" s="2010" t="s">
        <v>1731</v>
      </c>
      <c r="R5" s="2010" t="s">
        <v>1139</v>
      </c>
      <c r="S5" s="2010" t="s">
        <v>1731</v>
      </c>
      <c r="T5" s="2010" t="s">
        <v>1732</v>
      </c>
      <c r="U5" s="2010" t="s">
        <v>1731</v>
      </c>
      <c r="W5" s="2010" t="s">
        <v>1731</v>
      </c>
    </row>
    <row r="6" spans="1:23">
      <c r="A6" s="2008" t="s">
        <v>1733</v>
      </c>
      <c r="B6" s="2011" t="s">
        <v>1143</v>
      </c>
      <c r="C6" s="2014" t="s">
        <v>30</v>
      </c>
      <c r="F6" s="2010" t="s">
        <v>1729</v>
      </c>
      <c r="H6" s="2010" t="s">
        <v>1734</v>
      </c>
      <c r="I6" s="2010" t="s">
        <v>1735</v>
      </c>
      <c r="K6" s="2010" t="s">
        <v>1736</v>
      </c>
      <c r="L6" s="2010" t="s">
        <v>1736</v>
      </c>
      <c r="M6" s="2010" t="s">
        <v>1736</v>
      </c>
      <c r="N6" s="2010" t="s">
        <v>1736</v>
      </c>
      <c r="O6" s="2010" t="s">
        <v>1736</v>
      </c>
      <c r="P6" s="2010" t="s">
        <v>1736</v>
      </c>
      <c r="Q6" s="2010" t="s">
        <v>1736</v>
      </c>
      <c r="R6" s="2010" t="s">
        <v>1140</v>
      </c>
      <c r="S6" s="2010" t="s">
        <v>1736</v>
      </c>
      <c r="T6" s="2010"/>
      <c r="U6" s="2010" t="s">
        <v>1736</v>
      </c>
      <c r="W6" s="2010" t="s">
        <v>1736</v>
      </c>
    </row>
    <row r="7" spans="1:23">
      <c r="A7" s="2008" t="s">
        <v>1737</v>
      </c>
      <c r="B7" s="2011" t="s">
        <v>1144</v>
      </c>
      <c r="C7" s="2009" t="s">
        <v>31</v>
      </c>
      <c r="F7" s="2010" t="s">
        <v>1738</v>
      </c>
      <c r="H7" s="2010" t="s">
        <v>1739</v>
      </c>
      <c r="I7" s="2010" t="s">
        <v>1740</v>
      </c>
    </row>
    <row r="8" spans="1:23">
      <c r="A8" s="2008" t="s">
        <v>1741</v>
      </c>
      <c r="B8" s="2008" t="s">
        <v>1742</v>
      </c>
      <c r="C8" s="2009" t="s">
        <v>764</v>
      </c>
      <c r="F8" s="2010" t="s">
        <v>1743</v>
      </c>
      <c r="H8" s="2010"/>
      <c r="I8" s="2010" t="s">
        <v>1744</v>
      </c>
    </row>
    <row r="9" spans="1:23">
      <c r="A9" s="2008" t="s">
        <v>1745</v>
      </c>
      <c r="B9" s="2008" t="s">
        <v>1746</v>
      </c>
      <c r="C9" s="2009" t="s">
        <v>765</v>
      </c>
      <c r="F9" s="2010" t="s">
        <v>1747</v>
      </c>
      <c r="H9" s="2010"/>
    </row>
    <row r="10" spans="1:23">
      <c r="A10" s="2008" t="s">
        <v>1748</v>
      </c>
      <c r="B10" s="2008" t="s">
        <v>1749</v>
      </c>
      <c r="C10" s="2009" t="s">
        <v>766</v>
      </c>
      <c r="F10" s="2010" t="s">
        <v>16</v>
      </c>
    </row>
    <row r="11" spans="1:23">
      <c r="A11" s="2008" t="s">
        <v>1750</v>
      </c>
      <c r="B11" s="2008" t="s">
        <v>1751</v>
      </c>
      <c r="C11" s="2009" t="s">
        <v>767</v>
      </c>
    </row>
    <row r="12" spans="1:23">
      <c r="A12" s="2008" t="s">
        <v>1752</v>
      </c>
      <c r="B12" s="2008" t="s">
        <v>1753</v>
      </c>
      <c r="C12" s="2009" t="s">
        <v>768</v>
      </c>
    </row>
    <row r="13" spans="1:23">
      <c r="A13" s="2008" t="s">
        <v>1754</v>
      </c>
      <c r="B13" s="2008" t="s">
        <v>1755</v>
      </c>
      <c r="C13" s="2009" t="s">
        <v>769</v>
      </c>
    </row>
    <row r="14" spans="1:23">
      <c r="A14" s="2008" t="s">
        <v>1756</v>
      </c>
      <c r="B14" s="2008" t="s">
        <v>1757</v>
      </c>
      <c r="C14" s="2010" t="s">
        <v>16</v>
      </c>
    </row>
    <row r="15" spans="1:23">
      <c r="A15" s="2008" t="s">
        <v>1758</v>
      </c>
      <c r="B15" s="2008" t="s">
        <v>1759</v>
      </c>
      <c r="C15" s="2009"/>
    </row>
    <row r="16" spans="1:23">
      <c r="A16" s="2008" t="s">
        <v>1760</v>
      </c>
      <c r="B16" s="2008" t="s">
        <v>756</v>
      </c>
      <c r="C16" s="2009"/>
    </row>
    <row r="17" spans="1:3">
      <c r="A17" s="2008" t="s">
        <v>1761</v>
      </c>
      <c r="B17" s="2008" t="s">
        <v>757</v>
      </c>
      <c r="C17" s="2009"/>
    </row>
    <row r="18" spans="1:3">
      <c r="A18" s="2008" t="s">
        <v>1762</v>
      </c>
      <c r="B18" s="2008" t="s">
        <v>757</v>
      </c>
      <c r="C18" s="2009"/>
    </row>
    <row r="19" spans="1:3">
      <c r="A19" s="2008" t="s">
        <v>1763</v>
      </c>
      <c r="B19" s="2008" t="s">
        <v>757</v>
      </c>
      <c r="C19" s="2009"/>
    </row>
    <row r="20" spans="1:3">
      <c r="A20" s="2008" t="s">
        <v>1764</v>
      </c>
      <c r="B20" s="2008" t="s">
        <v>757</v>
      </c>
      <c r="C20" s="2009"/>
    </row>
    <row r="21" spans="1:3">
      <c r="A21" s="2008" t="s">
        <v>1765</v>
      </c>
      <c r="B21" s="2008" t="s">
        <v>757</v>
      </c>
      <c r="C21" s="2009"/>
    </row>
    <row r="22" spans="1:3">
      <c r="A22" s="2008" t="s">
        <v>1766</v>
      </c>
      <c r="B22" s="2008" t="s">
        <v>757</v>
      </c>
      <c r="C22" s="2009"/>
    </row>
    <row r="23" spans="1:3">
      <c r="A23" s="2008" t="s">
        <v>1767</v>
      </c>
      <c r="B23" s="2008" t="s">
        <v>757</v>
      </c>
      <c r="C23" s="2009"/>
    </row>
    <row r="24" spans="1:3">
      <c r="A24" s="2008" t="s">
        <v>1768</v>
      </c>
      <c r="B24" s="2008" t="s">
        <v>757</v>
      </c>
      <c r="C24" s="2009"/>
    </row>
    <row r="25" spans="1:3">
      <c r="A25" s="2008" t="s">
        <v>1769</v>
      </c>
      <c r="B25" s="2008" t="s">
        <v>757</v>
      </c>
      <c r="C25" s="2009"/>
    </row>
    <row r="26" spans="1:3">
      <c r="A26" s="2008" t="s">
        <v>1770</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854</v>
      </c>
      <c r="B51" s="2016" t="str">
        <f>"为估价委托人在向"&amp;项目基本情况!B6&amp;"办理贷款手续过程中，确定房地产抵押贷款额度提供参考依据而评估房地产抵押价值。"</f>
        <v>为估价委托人在向中国建设银行股份有限公司北京鼎昆支行办理贷款手续过程中，确定房地产抵押贷款额度提供参考依据而评估房地产抵押价值。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曲美家居集团股份有限公司拟使用北京市顺义区坞里路68号6号楼1至2层101出让国有建设用地使用权及在建建筑物房地产作为抵押担保物，向中国建设银行股份有限公司北京鼎昆支行办理贷款手续。中国建设银行股份有限公司北京鼎昆支行特委托北京康正宏基房地产评估有限公司对上述抵押物进行评估。本次评估为确定房地产抵押贷款额度提供参考依据而评估房地产抵押价值。</v>
      </c>
      <c r="D51" s="2016" t="s">
        <v>1280</v>
      </c>
    </row>
    <row r="52" spans="1:4">
      <c r="A52" s="2015" t="s">
        <v>855</v>
      </c>
      <c r="B52" s="2015" t="s">
        <v>856</v>
      </c>
      <c r="C52" s="2013" t="s">
        <v>857</v>
      </c>
      <c r="D52" s="2013" t="s">
        <v>858</v>
      </c>
    </row>
    <row r="53" spans="1:4">
      <c r="A53" s="3009" t="s">
        <v>859</v>
      </c>
      <c r="B53" s="2016" t="s">
        <v>860</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16" t="s">
        <v>861</v>
      </c>
      <c r="C54" s="2013" t="s">
        <v>1277</v>
      </c>
    </row>
    <row r="55" spans="1:4">
      <c r="A55" s="3009"/>
      <c r="B55" s="2016" t="s">
        <v>862</v>
      </c>
      <c r="C55" s="2013" t="s">
        <v>1278</v>
      </c>
    </row>
    <row r="56" spans="1:4">
      <c r="A56" s="3009"/>
      <c r="B56" s="2016" t="s">
        <v>863</v>
      </c>
      <c r="C56" s="2013" t="s">
        <v>1282</v>
      </c>
    </row>
    <row r="57" spans="1:4">
      <c r="A57" s="3009"/>
      <c r="B57" s="2016" t="s">
        <v>864</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C1" zoomScale="90" zoomScaleNormal="100" zoomScaleSheetLayoutView="90" workbookViewId="0">
      <selection activeCell="E17" sqref="E17:I17"/>
    </sheetView>
  </sheetViews>
  <sheetFormatPr defaultColWidth="10" defaultRowHeight="18" customHeight="1"/>
  <cols>
    <col min="1" max="1" width="14.875" style="2026" customWidth="1"/>
    <col min="2" max="2" width="14.25" style="2026" customWidth="1"/>
    <col min="3" max="3" width="11.5" style="2026" customWidth="1"/>
    <col min="4" max="4" width="18.75" style="2026" customWidth="1"/>
    <col min="5" max="6" width="10" style="2026" customWidth="1"/>
    <col min="7" max="7" width="10.75" style="2026" customWidth="1"/>
    <col min="8" max="8" width="10" style="2026" customWidth="1"/>
    <col min="9" max="9" width="11.125" style="2151" customWidth="1"/>
    <col min="10" max="10" width="10" style="2026" customWidth="1"/>
    <col min="11" max="11" width="10" style="2152" customWidth="1"/>
    <col min="12" max="13" width="10" style="2153" customWidth="1"/>
    <col min="14" max="14" width="10" style="2026" customWidth="1"/>
    <col min="15" max="15" width="10" style="2151" customWidth="1"/>
    <col min="16" max="17" width="10" style="2026"/>
    <col min="18" max="18" width="10" style="2026" customWidth="1"/>
    <col min="19" max="16384" width="10" style="2026"/>
  </cols>
  <sheetData>
    <row r="1" spans="1:19" ht="38.25" customHeight="1" thickBot="1">
      <c r="A1" s="2019" t="s">
        <v>1771</v>
      </c>
      <c r="B1" s="3010" t="str">
        <f>IF(B10="北京市","北京市",C10)&amp;F10&amp;IF(结果表!G1="在建","出让国有建设用地使用权及在建建筑物",IF(结果表!G1="土地","出让国有建设用地使用权",))&amp;B9&amp;"预评估"</f>
        <v>北京市顺义区坞里路68号6号楼1至2层101出让国有建设用地使用权及在建建筑物房地产抵押价值预评估</v>
      </c>
      <c r="C1" s="3011"/>
      <c r="D1" s="3011"/>
      <c r="E1" s="3011"/>
      <c r="F1" s="3011"/>
      <c r="G1" s="3011"/>
      <c r="H1" s="3011"/>
      <c r="I1" s="3012"/>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北京市顺义区坞里路68号6号楼1至2层101出让国有建设用地使用权及在建建筑物房地产抵押价值</v>
      </c>
    </row>
    <row r="2" spans="1:19" ht="18" customHeight="1">
      <c r="A2" s="2020" t="s">
        <v>1772</v>
      </c>
      <c r="B2" s="1039"/>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北京市顺义区坞里路68号6号楼1至2层101出让国有建设用地使用权及在建建筑物房地产</v>
      </c>
    </row>
    <row r="3" spans="1:19" ht="18" customHeight="1">
      <c r="A3" s="2029" t="s">
        <v>1773</v>
      </c>
      <c r="B3" s="2030">
        <v>43769</v>
      </c>
      <c r="C3" s="2031" t="s">
        <v>1774</v>
      </c>
      <c r="D3" s="2030">
        <v>43894</v>
      </c>
      <c r="E3" s="2020"/>
      <c r="F3" s="2020"/>
      <c r="G3" s="2020"/>
      <c r="H3" s="2020"/>
      <c r="I3" s="2020"/>
      <c r="J3" s="2020"/>
      <c r="K3" s="2021"/>
      <c r="L3" s="2022"/>
      <c r="M3" s="2022"/>
      <c r="N3" s="2023"/>
      <c r="O3" s="2024"/>
      <c r="P3" s="2023"/>
      <c r="Q3" s="2023"/>
      <c r="R3" s="2023"/>
      <c r="S3" s="2025"/>
    </row>
    <row r="4" spans="1:19" ht="18" customHeight="1" thickBot="1">
      <c r="A4" s="2032" t="s">
        <v>1775</v>
      </c>
      <c r="B4" s="2033" t="s">
        <v>3103</v>
      </c>
      <c r="C4" s="1037">
        <f ca="1">SUMIF(注册房地产估价师,B4,估价师及机构信息!B3:B24)</f>
        <v>0</v>
      </c>
      <c r="D4" s="2033" t="s">
        <v>3104</v>
      </c>
      <c r="E4" s="1038">
        <f ca="1">SUMIF(注册房地产估价师,D4,估价师及机构信息!B3:B24)</f>
        <v>1120100036</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郑燚（注册号：0)、崔锴（注册号：1120100036)</v>
      </c>
      <c r="L4" s="2022"/>
      <c r="M4" s="2022"/>
      <c r="N4" s="2023"/>
      <c r="O4" s="2024"/>
      <c r="P4" s="2023"/>
      <c r="Q4" s="2023"/>
      <c r="R4" s="2023"/>
      <c r="S4" s="2025"/>
    </row>
    <row r="5" spans="1:19" ht="18" customHeight="1" thickTop="1">
      <c r="A5" s="2038" t="s">
        <v>1776</v>
      </c>
      <c r="B5" s="2948" t="s">
        <v>3061</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thickBot="1">
      <c r="A6" s="2041" t="s">
        <v>1777</v>
      </c>
      <c r="B6" s="2953" t="s">
        <v>3105</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thickTop="1">
      <c r="A7" s="2041" t="s">
        <v>1778</v>
      </c>
      <c r="B7" s="2948" t="s">
        <v>3106</v>
      </c>
      <c r="C7" s="2042"/>
      <c r="D7" s="2043"/>
      <c r="E7" s="2028"/>
      <c r="F7" s="2036"/>
      <c r="G7" s="2036"/>
      <c r="H7" s="2036"/>
      <c r="I7" s="2036"/>
      <c r="J7" s="2036"/>
      <c r="K7" s="2045"/>
      <c r="L7" s="2022"/>
      <c r="M7" s="2022"/>
      <c r="N7" s="2023"/>
      <c r="O7" s="2024"/>
      <c r="P7" s="2023"/>
      <c r="Q7" s="2023"/>
      <c r="R7" s="2023"/>
    </row>
    <row r="8" spans="1:19" ht="18" customHeight="1">
      <c r="A8" s="2041" t="s">
        <v>1779</v>
      </c>
      <c r="B8" s="2046" t="s">
        <v>3068</v>
      </c>
      <c r="C8" s="2047"/>
      <c r="D8" s="3013" t="s">
        <v>1780</v>
      </c>
      <c r="E8" s="2048" t="s">
        <v>3069</v>
      </c>
      <c r="F8" s="2049"/>
      <c r="G8" s="2020"/>
      <c r="H8" s="2020"/>
      <c r="I8" s="2020"/>
      <c r="J8" s="2036"/>
      <c r="K8" s="2037"/>
      <c r="L8" s="2022"/>
      <c r="M8" s="2022"/>
      <c r="N8" s="2023"/>
      <c r="O8" s="2024"/>
      <c r="P8" s="2023"/>
      <c r="Q8" s="2023"/>
      <c r="R8" s="2023"/>
    </row>
    <row r="9" spans="1:19" ht="18" customHeight="1" thickBot="1">
      <c r="A9" s="2034" t="s">
        <v>1781</v>
      </c>
      <c r="B9" s="2050" t="s">
        <v>3069</v>
      </c>
      <c r="C9" s="2051"/>
      <c r="D9" s="3014"/>
      <c r="E9" s="2050" t="s">
        <v>70</v>
      </c>
      <c r="F9" s="2052"/>
      <c r="G9" s="2053"/>
      <c r="H9" s="2053"/>
      <c r="I9" s="2053"/>
      <c r="J9" s="2036"/>
      <c r="K9" s="2045"/>
      <c r="L9" s="2022"/>
      <c r="M9" s="2022"/>
      <c r="N9" s="2023"/>
      <c r="O9" s="2024"/>
      <c r="P9" s="2023"/>
      <c r="Q9" s="2023"/>
      <c r="R9" s="2023"/>
    </row>
    <row r="10" spans="1:19" ht="18" customHeight="1" thickTop="1">
      <c r="A10" s="2054" t="s">
        <v>1782</v>
      </c>
      <c r="B10" s="2055" t="s">
        <v>3060</v>
      </c>
      <c r="C10" s="2056"/>
      <c r="D10" s="2040"/>
      <c r="E10" s="2057" t="s">
        <v>1783</v>
      </c>
      <c r="F10" s="2058" t="s">
        <v>3071</v>
      </c>
      <c r="G10" s="2059"/>
      <c r="H10" s="2060"/>
      <c r="I10" s="2040"/>
      <c r="J10" s="2036"/>
      <c r="K10" s="2045"/>
      <c r="L10" s="2022"/>
      <c r="M10" s="2022"/>
      <c r="N10" s="2023"/>
      <c r="O10" s="2024"/>
      <c r="P10" s="2023"/>
      <c r="Q10" s="2023"/>
      <c r="R10" s="2023"/>
    </row>
    <row r="11" spans="1:19" ht="18" customHeight="1">
      <c r="A11" s="2061" t="s">
        <v>1784</v>
      </c>
      <c r="B11" s="2062" t="s">
        <v>3059</v>
      </c>
      <c r="C11" s="2063"/>
      <c r="D11" s="2064"/>
      <c r="E11" s="2036"/>
      <c r="F11" s="2036"/>
      <c r="G11" s="2036"/>
      <c r="H11" s="2036"/>
      <c r="I11" s="2036"/>
      <c r="J11" s="2036"/>
      <c r="K11" s="2045"/>
      <c r="L11" s="2022"/>
      <c r="M11" s="2022"/>
      <c r="N11" s="2023"/>
      <c r="O11" s="2024"/>
      <c r="P11" s="2023"/>
      <c r="Q11" s="2023"/>
      <c r="R11" s="2023"/>
    </row>
    <row r="12" spans="1:19" ht="18" customHeight="1">
      <c r="A12" s="2065" t="s">
        <v>1785</v>
      </c>
      <c r="B12" s="2062" t="s">
        <v>3058</v>
      </c>
      <c r="C12" s="2066" t="s">
        <v>1786</v>
      </c>
      <c r="D12" s="2067" t="s">
        <v>1787</v>
      </c>
      <c r="E12" s="2067" t="s">
        <v>1788</v>
      </c>
      <c r="F12" s="2067" t="s">
        <v>1789</v>
      </c>
      <c r="G12" s="2067" t="s">
        <v>1790</v>
      </c>
      <c r="H12" s="2067" t="s">
        <v>1791</v>
      </c>
      <c r="I12" s="2067" t="s">
        <v>1792</v>
      </c>
      <c r="J12" s="2036"/>
      <c r="K12" s="2045"/>
      <c r="L12" s="2022"/>
      <c r="M12" s="2022"/>
      <c r="N12" s="2023"/>
      <c r="O12" s="2024"/>
      <c r="P12" s="2023"/>
      <c r="Q12" s="2023"/>
      <c r="R12" s="2023"/>
    </row>
    <row r="13" spans="1:19" ht="18" customHeight="1">
      <c r="A13" s="2068"/>
      <c r="B13" s="2069"/>
      <c r="C13" s="2070" t="s">
        <v>1793</v>
      </c>
      <c r="D13" s="2071"/>
      <c r="E13" s="2071"/>
      <c r="F13" s="2071"/>
      <c r="G13" s="2071"/>
      <c r="H13" s="2071"/>
      <c r="I13" s="1047">
        <v>58725</v>
      </c>
      <c r="J13" s="2036"/>
      <c r="K13" s="2045"/>
      <c r="L13" s="2022"/>
      <c r="M13" s="2022"/>
      <c r="N13" s="2023"/>
      <c r="O13" s="2024"/>
      <c r="P13" s="2023"/>
      <c r="Q13" s="2023"/>
      <c r="R13" s="2023"/>
    </row>
    <row r="14" spans="1:19" ht="18" customHeight="1">
      <c r="A14" s="2068"/>
      <c r="B14" s="2069"/>
      <c r="C14" s="2070" t="s">
        <v>1794</v>
      </c>
      <c r="D14" s="1050"/>
      <c r="E14" s="1050"/>
      <c r="F14" s="1050"/>
      <c r="G14" s="1050"/>
      <c r="H14" s="1050"/>
      <c r="I14" s="1050">
        <v>50</v>
      </c>
      <c r="J14" s="2036"/>
      <c r="K14" s="2072"/>
      <c r="L14" s="2022"/>
      <c r="M14" s="2022"/>
      <c r="N14" s="2023"/>
      <c r="O14" s="2024"/>
      <c r="P14" s="2023"/>
      <c r="Q14" s="2023"/>
      <c r="R14" s="2023"/>
    </row>
    <row r="15" spans="1:19" ht="18" customHeight="1">
      <c r="A15" s="2054"/>
      <c r="B15" s="2073"/>
      <c r="C15" s="2070"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40.630000000000003</v>
      </c>
      <c r="J15" s="2036"/>
      <c r="K15" s="2074"/>
      <c r="L15" s="2075"/>
      <c r="M15" s="2075"/>
      <c r="N15" s="2076"/>
      <c r="O15" s="2075"/>
      <c r="P15" s="2076"/>
      <c r="Q15" s="2023"/>
      <c r="R15" s="2023"/>
    </row>
    <row r="16" spans="1:19" ht="30.75" customHeight="1">
      <c r="A16" s="2057" t="s">
        <v>1796</v>
      </c>
      <c r="B16" s="3020"/>
      <c r="C16" s="3021"/>
      <c r="D16" s="3022"/>
      <c r="E16" s="2077" t="s">
        <v>1797</v>
      </c>
      <c r="F16" s="3023"/>
      <c r="G16" s="3024"/>
      <c r="H16" s="3024"/>
      <c r="I16" s="3025"/>
      <c r="J16" s="2023"/>
      <c r="K16" s="2074"/>
      <c r="L16" s="2075"/>
      <c r="M16" s="2075"/>
      <c r="N16" s="2076"/>
      <c r="O16" s="2075"/>
      <c r="P16" s="2076"/>
      <c r="Q16" s="2023"/>
      <c r="R16" s="2023"/>
    </row>
    <row r="17" spans="1:22" ht="18" customHeight="1">
      <c r="A17" s="2078" t="s">
        <v>1798</v>
      </c>
      <c r="B17" s="2029" t="s">
        <v>1799</v>
      </c>
      <c r="C17" s="1054">
        <f>'数据-汇总表'!E3</f>
        <v>23014.799999999999</v>
      </c>
      <c r="D17" s="2079" t="s">
        <v>1800</v>
      </c>
      <c r="E17" s="3026" t="s">
        <v>1801</v>
      </c>
      <c r="F17" s="3027"/>
      <c r="G17" s="3027"/>
      <c r="H17" s="3027"/>
      <c r="I17" s="3028"/>
      <c r="J17" s="2023"/>
      <c r="K17" s="2080"/>
      <c r="L17" s="2075"/>
      <c r="M17" s="2075"/>
      <c r="N17" s="2076"/>
      <c r="O17" s="2075"/>
      <c r="P17" s="2076"/>
      <c r="Q17" s="2023"/>
      <c r="R17" s="2023"/>
      <c r="S17" s="2023"/>
      <c r="T17" s="2023"/>
      <c r="U17" s="2023"/>
      <c r="V17" s="2023"/>
    </row>
    <row r="18" spans="1:22" ht="36" customHeight="1" thickBot="1">
      <c r="A18" s="2081" t="s">
        <v>1802</v>
      </c>
      <c r="B18" s="2032" t="s">
        <v>1803</v>
      </c>
      <c r="C18" s="1444">
        <f>'数据-汇总表'!D3</f>
        <v>61612.73</v>
      </c>
      <c r="D18" s="2082" t="s">
        <v>1800</v>
      </c>
      <c r="E18" s="3029" t="s">
        <v>1804</v>
      </c>
      <c r="F18" s="3030"/>
      <c r="G18" s="3030"/>
      <c r="H18" s="3030"/>
      <c r="I18" s="3031"/>
      <c r="J18" s="2023"/>
      <c r="K18" s="2080"/>
      <c r="L18" s="2075"/>
      <c r="M18" s="2075"/>
      <c r="N18" s="2076"/>
      <c r="O18" s="2075"/>
      <c r="P18" s="2076"/>
      <c r="Q18" s="2023"/>
      <c r="R18" s="2023"/>
      <c r="S18" s="2023"/>
      <c r="T18" s="2023"/>
      <c r="U18" s="2023"/>
      <c r="V18" s="2023"/>
    </row>
    <row r="19" spans="1:22" ht="37.5" customHeight="1" thickTop="1" thickBot="1">
      <c r="A19" s="373" t="s">
        <v>1805</v>
      </c>
      <c r="B19" s="352" t="s">
        <v>1806</v>
      </c>
      <c r="C19" s="2083"/>
      <c r="D19" s="2084" t="s">
        <v>1807</v>
      </c>
      <c r="E19" s="2085"/>
      <c r="F19" s="2086" t="str">
        <f>IF(AND(C19="是",E19="否"),"是否提供他项权证或相关说明","")</f>
        <v/>
      </c>
      <c r="G19" s="2087"/>
      <c r="H19" s="2036"/>
      <c r="I19" s="2036"/>
      <c r="J19" s="2036"/>
      <c r="K19" s="2045"/>
      <c r="L19" s="2022"/>
      <c r="M19" s="2022"/>
      <c r="N19" s="2076"/>
      <c r="O19" s="2075"/>
      <c r="P19" s="2076"/>
      <c r="Q19" s="2023"/>
      <c r="R19" s="2023"/>
      <c r="S19" s="2023"/>
      <c r="T19" s="2023"/>
      <c r="U19" s="2023"/>
      <c r="V19" s="2023"/>
    </row>
    <row r="20" spans="1:22" ht="18" customHeight="1">
      <c r="A20" s="2088" t="s">
        <v>1808</v>
      </c>
      <c r="B20" s="3016" t="s">
        <v>1809</v>
      </c>
      <c r="C20" s="3017"/>
      <c r="D20" s="3018" t="s">
        <v>1810</v>
      </c>
      <c r="E20" s="3019"/>
      <c r="F20" s="2089" t="s">
        <v>1811</v>
      </c>
      <c r="G20" s="2036"/>
      <c r="H20" s="2036"/>
      <c r="I20" s="2036"/>
      <c r="J20" s="2036"/>
      <c r="K20" s="301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6"/>
      <c r="O20" s="2075"/>
      <c r="P20" s="2076"/>
      <c r="Q20" s="2023"/>
      <c r="R20" s="2023"/>
      <c r="S20" s="2023"/>
      <c r="T20" s="2023"/>
      <c r="U20" s="2023"/>
      <c r="V20" s="2023"/>
    </row>
    <row r="21" spans="1:22" ht="24.75" customHeight="1">
      <c r="A21" s="2088"/>
      <c r="B21" s="2090" t="s">
        <v>1813</v>
      </c>
      <c r="C21" s="2091" t="s">
        <v>1814</v>
      </c>
      <c r="D21" s="2092" t="s">
        <v>1815</v>
      </c>
      <c r="E21" s="2093" t="s">
        <v>1814</v>
      </c>
      <c r="F21" s="2094"/>
      <c r="G21" s="2036"/>
      <c r="H21" s="2036"/>
      <c r="I21" s="2036"/>
      <c r="J21" s="2036"/>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6"/>
      <c r="O21" s="2075"/>
      <c r="P21" s="2076"/>
      <c r="Q21" s="2023"/>
      <c r="R21" s="2023"/>
      <c r="S21" s="2023"/>
      <c r="T21" s="2023"/>
      <c r="U21" s="2023"/>
      <c r="V21" s="2023"/>
    </row>
    <row r="22" spans="1:22" ht="24.75" customHeight="1" thickBot="1">
      <c r="A22" s="2088"/>
      <c r="B22" s="2095" t="s">
        <v>1816</v>
      </c>
      <c r="C22" s="2091" t="s">
        <v>1817</v>
      </c>
      <c r="D22" s="2020"/>
      <c r="E22" s="2020"/>
      <c r="F22" s="2096"/>
      <c r="G22" s="2036"/>
      <c r="H22" s="2036"/>
      <c r="I22" s="2036"/>
      <c r="J22" s="2036"/>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6"/>
      <c r="O22" s="2075"/>
      <c r="P22" s="2076"/>
      <c r="Q22" s="2023"/>
      <c r="R22" s="2023"/>
      <c r="S22" s="2023"/>
      <c r="T22" s="2023"/>
      <c r="U22" s="2023"/>
      <c r="V22" s="2023"/>
    </row>
    <row r="23" spans="1:22" ht="18" customHeight="1">
      <c r="A23" s="2097" t="s">
        <v>1818</v>
      </c>
      <c r="B23" s="183" t="s">
        <v>1819</v>
      </c>
      <c r="C23" s="2098"/>
      <c r="D23" s="2099" t="s">
        <v>1819</v>
      </c>
      <c r="E23" s="2100"/>
      <c r="F23" s="2096"/>
      <c r="G23" s="2036"/>
      <c r="H23" s="2036"/>
      <c r="I23" s="2036"/>
      <c r="J23" s="2036"/>
      <c r="K23" s="2101"/>
      <c r="L23" s="748"/>
      <c r="M23" s="2022"/>
      <c r="N23" s="2076"/>
      <c r="O23" s="2075"/>
      <c r="P23" s="2076"/>
      <c r="Q23" s="2023"/>
      <c r="R23" s="2023"/>
      <c r="S23" s="2023"/>
      <c r="T23" s="2023"/>
      <c r="U23" s="2023"/>
      <c r="V23" s="2023"/>
    </row>
    <row r="24" spans="1:22" ht="18" customHeight="1">
      <c r="A24" s="2102"/>
      <c r="B24" s="183" t="s">
        <v>1820</v>
      </c>
      <c r="C24" s="2103"/>
      <c r="D24" s="2097" t="s">
        <v>1820</v>
      </c>
      <c r="E24" s="2104"/>
      <c r="F24" s="2096"/>
      <c r="G24" s="2036"/>
      <c r="H24" s="2036"/>
      <c r="I24" s="2036"/>
      <c r="J24" s="2036"/>
      <c r="K24" s="2101"/>
      <c r="L24" s="748"/>
      <c r="M24" s="2022"/>
      <c r="N24" s="2076"/>
      <c r="O24" s="2075"/>
      <c r="P24" s="2076"/>
      <c r="Q24" s="2023"/>
      <c r="R24" s="2023"/>
      <c r="S24" s="2023"/>
      <c r="T24" s="2023"/>
      <c r="U24" s="2023"/>
      <c r="V24" s="2023"/>
    </row>
    <row r="25" spans="1:22" ht="18" customHeight="1">
      <c r="A25" s="2102"/>
      <c r="B25" s="183" t="s">
        <v>1821</v>
      </c>
      <c r="C25" s="2103"/>
      <c r="D25" s="2097" t="s">
        <v>1821</v>
      </c>
      <c r="E25" s="2104"/>
      <c r="F25" s="2096"/>
      <c r="G25" s="2036"/>
      <c r="H25" s="2036"/>
      <c r="I25" s="2036"/>
      <c r="J25" s="2036"/>
      <c r="K25" s="2045"/>
      <c r="L25" s="2022"/>
      <c r="M25" s="2022"/>
      <c r="N25" s="2076"/>
      <c r="O25" s="2075"/>
      <c r="P25" s="2076"/>
      <c r="Q25" s="2023"/>
      <c r="R25" s="2023"/>
      <c r="S25" s="2023"/>
      <c r="T25" s="2023"/>
      <c r="U25" s="2023"/>
      <c r="V25" s="2023"/>
    </row>
    <row r="26" spans="1:22" ht="18" customHeight="1" thickBot="1">
      <c r="A26" s="2105"/>
      <c r="B26" s="2106" t="s">
        <v>1822</v>
      </c>
      <c r="C26" s="2107"/>
      <c r="D26" s="2108" t="s">
        <v>1823</v>
      </c>
      <c r="E26" s="2109"/>
      <c r="F26" s="2110"/>
      <c r="G26" s="2053"/>
      <c r="H26" s="2053"/>
      <c r="I26" s="2053"/>
      <c r="J26" s="2036"/>
      <c r="K26" s="2045"/>
      <c r="L26" s="2022"/>
      <c r="M26" s="2022"/>
      <c r="N26" s="2076"/>
      <c r="O26" s="2075"/>
      <c r="P26" s="2076"/>
      <c r="Q26" s="2023"/>
      <c r="R26" s="2023"/>
      <c r="S26" s="2023"/>
      <c r="T26" s="2023"/>
      <c r="U26" s="2023"/>
      <c r="V26" s="2023"/>
    </row>
    <row r="27" spans="1:22" ht="18" customHeight="1" thickTop="1">
      <c r="A27" s="3033" t="s">
        <v>1824</v>
      </c>
      <c r="B27" s="2054" t="s">
        <v>1825</v>
      </c>
      <c r="C27" s="2111"/>
      <c r="D27" s="2112"/>
      <c r="E27" s="2036"/>
      <c r="F27" s="2036"/>
      <c r="G27" s="2036"/>
      <c r="H27" s="2036"/>
      <c r="I27" s="2036"/>
      <c r="J27" s="2023"/>
      <c r="K27" s="2074"/>
      <c r="L27" s="2075"/>
      <c r="M27" s="2075"/>
      <c r="N27" s="2076"/>
      <c r="O27" s="2075"/>
      <c r="P27" s="2076"/>
      <c r="Q27" s="2023"/>
      <c r="R27" s="2023"/>
      <c r="S27" s="2023"/>
      <c r="T27" s="2023"/>
      <c r="U27" s="2023"/>
      <c r="V27" s="2023"/>
    </row>
    <row r="28" spans="1:22" ht="18" customHeight="1">
      <c r="A28" s="3033"/>
      <c r="B28" s="2029" t="s">
        <v>1826</v>
      </c>
      <c r="C28" s="2113"/>
      <c r="D28" s="2114"/>
      <c r="E28" s="2036"/>
      <c r="F28" s="2036"/>
      <c r="G28" s="2036"/>
      <c r="H28" s="2036"/>
      <c r="I28" s="2036"/>
      <c r="J28" s="2023"/>
      <c r="K28" s="2115"/>
      <c r="L28" s="2022"/>
      <c r="M28" s="2022"/>
      <c r="N28" s="2023"/>
      <c r="O28" s="2024"/>
      <c r="P28" s="2023"/>
      <c r="Q28" s="2023"/>
      <c r="R28" s="2023"/>
      <c r="S28" s="2023"/>
      <c r="T28" s="2023"/>
      <c r="U28" s="2023"/>
      <c r="V28" s="2023"/>
    </row>
    <row r="29" spans="1:22" ht="18" customHeight="1">
      <c r="A29" s="3033"/>
      <c r="B29" s="2029" t="s">
        <v>1827</v>
      </c>
      <c r="C29" s="2116"/>
      <c r="D29" s="2117"/>
      <c r="E29" s="2036"/>
      <c r="F29" s="2036"/>
      <c r="G29" s="2036"/>
      <c r="H29" s="2036"/>
      <c r="I29" s="2036"/>
      <c r="J29" s="2023"/>
      <c r="K29" s="2115"/>
      <c r="L29" s="2022"/>
      <c r="M29" s="2022"/>
      <c r="N29" s="2023"/>
      <c r="O29" s="2024"/>
      <c r="P29" s="2023"/>
      <c r="Q29" s="2023"/>
      <c r="R29" s="2023"/>
      <c r="S29" s="2023"/>
      <c r="T29" s="2023"/>
      <c r="U29" s="2023"/>
      <c r="V29" s="2023"/>
    </row>
    <row r="30" spans="1:22" ht="18" customHeight="1">
      <c r="A30" s="3034"/>
      <c r="B30" s="2029" t="s">
        <v>1828</v>
      </c>
      <c r="C30" s="3035"/>
      <c r="D30" s="3036"/>
      <c r="E30" s="2036"/>
      <c r="F30" s="2036"/>
      <c r="G30" s="2036"/>
      <c r="H30" s="2036"/>
      <c r="I30" s="2036"/>
      <c r="J30" s="2023"/>
      <c r="K30" s="2115"/>
      <c r="L30" s="2022"/>
      <c r="M30" s="2022"/>
      <c r="N30" s="2023"/>
      <c r="O30" s="2024"/>
      <c r="P30" s="2023"/>
      <c r="Q30" s="2023"/>
      <c r="R30" s="2023"/>
      <c r="S30" s="2023"/>
      <c r="T30" s="2023"/>
      <c r="U30" s="2023"/>
      <c r="V30" s="2023"/>
    </row>
    <row r="31" spans="1:22" ht="18" customHeight="1">
      <c r="A31" s="3037" t="s">
        <v>1829</v>
      </c>
      <c r="B31" s="2118"/>
      <c r="C31" s="2119" t="str">
        <f>IF(B31="现房","成新及维护状况正常否",IF(B31="在建","工程状态是否正常",IF(B31="土地","是否闲置","-")))</f>
        <v>-</v>
      </c>
      <c r="D31" s="2120"/>
      <c r="E31" s="2121"/>
      <c r="F31" s="2036"/>
      <c r="G31" s="2036"/>
      <c r="H31" s="2036"/>
      <c r="I31" s="2036"/>
      <c r="J31" s="2036"/>
      <c r="K31" s="2044"/>
      <c r="L31" s="2022"/>
      <c r="M31" s="2022"/>
      <c r="N31" s="2023"/>
      <c r="O31" s="2024"/>
      <c r="P31" s="2023"/>
      <c r="Q31" s="2023"/>
      <c r="R31" s="2023"/>
      <c r="S31" s="2023"/>
      <c r="T31" s="2023"/>
      <c r="U31" s="2023"/>
      <c r="V31" s="2023"/>
    </row>
    <row r="32" spans="1:22" ht="18" customHeight="1">
      <c r="A32" s="3038"/>
      <c r="B32" s="2118"/>
      <c r="C32" s="2119" t="str">
        <f>IF(B32="现房","成新及维护状况是否正常",IF(B32="在建","工程状态是否正常",IF(B32="土地","是否闲置","-")))</f>
        <v>-</v>
      </c>
      <c r="D32" s="2120"/>
      <c r="E32" s="2121"/>
      <c r="F32" s="2036"/>
      <c r="G32" s="2036"/>
      <c r="H32" s="2036"/>
      <c r="I32" s="2036"/>
      <c r="J32" s="2036"/>
      <c r="K32" s="2045"/>
      <c r="L32" s="2022"/>
      <c r="M32" s="2022"/>
      <c r="N32" s="2023"/>
      <c r="O32" s="2024"/>
      <c r="P32" s="2023"/>
      <c r="Q32" s="2023"/>
      <c r="R32" s="2023"/>
      <c r="S32" s="2023"/>
      <c r="T32" s="2023"/>
      <c r="U32" s="2023"/>
      <c r="V32" s="2023"/>
    </row>
    <row r="33" spans="1:22" ht="18" customHeight="1">
      <c r="A33" s="3038"/>
      <c r="B33" s="2122"/>
      <c r="C33" s="2061" t="str">
        <f>IF(B33="现房","成新及维护状况是否正常",IF(B33="在建","工程状态是否正常",IF(B33="土地","是否闲置","-")))</f>
        <v>-</v>
      </c>
      <c r="D33" s="2123"/>
      <c r="E33" s="2124"/>
      <c r="F33" s="2036"/>
      <c r="G33" s="2036"/>
      <c r="H33" s="2036"/>
      <c r="I33" s="2036"/>
      <c r="J33" s="2036"/>
      <c r="K33" s="2045"/>
      <c r="L33" s="2022"/>
      <c r="M33" s="2022"/>
      <c r="N33" s="2023"/>
      <c r="O33" s="2024"/>
      <c r="P33" s="2023"/>
      <c r="Q33" s="2023"/>
      <c r="R33" s="2023"/>
      <c r="S33" s="2023"/>
      <c r="T33" s="2023"/>
      <c r="U33" s="2023"/>
      <c r="V33" s="2023"/>
    </row>
    <row r="34" spans="1:22" ht="18" customHeight="1">
      <c r="A34" s="2029" t="s">
        <v>1830</v>
      </c>
      <c r="B34" s="2125" t="s">
        <v>3062</v>
      </c>
      <c r="C34" s="2125" t="s">
        <v>3063</v>
      </c>
      <c r="D34" s="2125" t="s">
        <v>3064</v>
      </c>
      <c r="E34" s="2125" t="s">
        <v>3065</v>
      </c>
      <c r="F34" s="2125" t="s">
        <v>3066</v>
      </c>
      <c r="G34" s="2125"/>
      <c r="H34" s="2125"/>
      <c r="I34" s="2036"/>
      <c r="J34" s="2036"/>
      <c r="K34" s="1790">
        <f>COUNTIF(B34:H34,"——")</f>
        <v>0</v>
      </c>
      <c r="L34" s="2066" t="s">
        <v>1831</v>
      </c>
      <c r="M34" s="2066" t="s">
        <v>1832</v>
      </c>
      <c r="N34" s="2066" t="s">
        <v>1833</v>
      </c>
      <c r="O34" s="2066" t="s">
        <v>1834</v>
      </c>
      <c r="P34" s="2066" t="s">
        <v>1835</v>
      </c>
      <c r="Q34" s="2066" t="s">
        <v>1836</v>
      </c>
      <c r="R34" s="2066" t="s">
        <v>1837</v>
      </c>
      <c r="S34" s="3032" t="s">
        <v>1838</v>
      </c>
      <c r="T34" s="2126" t="str">
        <f>NUMBERSTRING(7-K34,1)&amp;"通"</f>
        <v>七通</v>
      </c>
      <c r="U34" s="2023"/>
      <c r="V34" s="2023"/>
    </row>
    <row r="35" spans="1:22" ht="18" customHeight="1">
      <c r="A35" s="2127"/>
      <c r="B35" s="3039" t="s">
        <v>1839</v>
      </c>
      <c r="C35" s="3039"/>
      <c r="D35" s="3039"/>
      <c r="E35" s="3039"/>
      <c r="F35" s="2128">
        <f>C10</f>
        <v>0</v>
      </c>
      <c r="G35" s="2036"/>
      <c r="H35" s="2036"/>
      <c r="I35" s="2036"/>
      <c r="J35" s="2036"/>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2"/>
      <c r="T35" s="48" t="str">
        <f>IF(T34="一通",L35,IF(T34="二通",M35,IF(T34="三通",N35,IF(T34="四通",O35,IF(T34="五通",P35,IF(T34="六通",Q35,R35))))))</f>
        <v>通路、通电、通讯、通上水、通下水、、</v>
      </c>
      <c r="U35" s="2023"/>
      <c r="V35" s="2023"/>
    </row>
    <row r="36" spans="1:22" ht="18" customHeight="1">
      <c r="A36" s="2129"/>
      <c r="B36" s="2128" t="s">
        <v>1840</v>
      </c>
      <c r="C36" s="2128" t="s">
        <v>1841</v>
      </c>
      <c r="D36" s="2128" t="s">
        <v>1842</v>
      </c>
      <c r="E36" s="2128" t="s">
        <v>1843</v>
      </c>
      <c r="F36" s="2130"/>
      <c r="G36" s="2036"/>
      <c r="H36" s="2036"/>
      <c r="I36" s="2036"/>
      <c r="J36" s="2036"/>
      <c r="K36" s="2045"/>
      <c r="L36" s="2022"/>
      <c r="M36" s="2022"/>
      <c r="N36" s="2023"/>
      <c r="O36" s="2024"/>
      <c r="P36" s="2023"/>
      <c r="Q36" s="2023"/>
      <c r="R36" s="2023"/>
      <c r="S36" s="2023"/>
      <c r="T36" s="2023"/>
      <c r="U36" s="2023"/>
      <c r="V36" s="2023"/>
    </row>
    <row r="37" spans="1:22" ht="18" customHeight="1">
      <c r="A37" s="2131" t="s">
        <v>1844</v>
      </c>
      <c r="B37" s="2132"/>
      <c r="C37" s="2132"/>
      <c r="D37" s="2132"/>
      <c r="E37" s="2132" t="s">
        <v>530</v>
      </c>
      <c r="F37" s="2130"/>
      <c r="G37" s="2036"/>
      <c r="H37" s="2036"/>
      <c r="I37" s="2036"/>
      <c r="J37" s="2036"/>
      <c r="K37" s="2045"/>
      <c r="L37" s="2022"/>
      <c r="M37" s="2022"/>
      <c r="N37" s="2023"/>
      <c r="O37" s="2024"/>
      <c r="P37" s="2023"/>
      <c r="Q37" s="2023"/>
      <c r="R37" s="2023"/>
      <c r="S37" s="2023"/>
      <c r="T37" s="2023"/>
      <c r="U37" s="2023"/>
      <c r="V37" s="2023"/>
    </row>
    <row r="38" spans="1:22" ht="18" customHeight="1" thickBot="1">
      <c r="A38" s="2133" t="s">
        <v>1845</v>
      </c>
      <c r="B38" s="2134"/>
      <c r="C38" s="2134"/>
      <c r="D38" s="2134"/>
      <c r="E38" s="2134" t="s">
        <v>3067</v>
      </c>
      <c r="F38" s="2135"/>
      <c r="G38" s="2053"/>
      <c r="H38" s="2053"/>
      <c r="I38" s="2053"/>
      <c r="J38" s="2036"/>
      <c r="K38" s="2045"/>
      <c r="L38" s="2022"/>
      <c r="M38" s="2022"/>
      <c r="N38" s="2023"/>
      <c r="O38" s="2024"/>
      <c r="P38" s="2023"/>
      <c r="Q38" s="2023"/>
      <c r="R38" s="2023"/>
      <c r="S38" s="2023"/>
      <c r="T38" s="2023"/>
      <c r="U38" s="2023"/>
      <c r="V38" s="2023"/>
    </row>
    <row r="39" spans="1:22" s="2140" customFormat="1" ht="18" customHeight="1" thickTop="1" thickBot="1">
      <c r="A39" s="2136" t="s">
        <v>1846</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3"/>
      <c r="B40" s="2023"/>
      <c r="C40" s="2023"/>
      <c r="D40" s="2023"/>
      <c r="E40" s="2023"/>
      <c r="F40" s="2023"/>
      <c r="G40" s="2023"/>
      <c r="H40" s="2023"/>
      <c r="I40" s="2141"/>
      <c r="J40" s="2076"/>
      <c r="K40" s="666"/>
      <c r="L40" s="2075"/>
      <c r="M40" s="2075"/>
      <c r="N40" s="2076"/>
      <c r="O40" s="2075"/>
      <c r="P40" s="2023"/>
      <c r="Q40" s="2023"/>
      <c r="R40" s="2023"/>
      <c r="S40" s="2023"/>
      <c r="T40" s="2023"/>
      <c r="U40" s="2023"/>
      <c r="V40" s="2023"/>
    </row>
    <row r="41" spans="1:22" ht="18" customHeight="1">
      <c r="A41" s="8" t="s">
        <v>1847</v>
      </c>
      <c r="B41" s="2142"/>
      <c r="C41" s="2143"/>
      <c r="D41" s="2023"/>
      <c r="E41" s="2023"/>
      <c r="F41" s="2023"/>
      <c r="G41" s="2023"/>
      <c r="H41" s="2023"/>
      <c r="I41" s="2024"/>
      <c r="J41" s="2023"/>
      <c r="K41" s="2115"/>
      <c r="L41" s="2022"/>
      <c r="M41" s="2022"/>
      <c r="N41" s="2023"/>
      <c r="O41" s="2024"/>
      <c r="P41" s="2023"/>
      <c r="Q41" s="2023"/>
      <c r="R41" s="2023"/>
      <c r="S41" s="2023"/>
      <c r="T41" s="2023"/>
      <c r="U41" s="2023"/>
      <c r="V41" s="2023"/>
    </row>
    <row r="42" spans="1:22" ht="18" customHeight="1">
      <c r="A42" s="2066" t="s">
        <v>1848</v>
      </c>
      <c r="B42" s="1790" t="s">
        <v>1849</v>
      </c>
      <c r="C42" s="1790" t="s">
        <v>1850</v>
      </c>
      <c r="D42" s="1790" t="s">
        <v>1851</v>
      </c>
      <c r="E42" s="1790" t="s">
        <v>1852</v>
      </c>
      <c r="F42" s="1790" t="s">
        <v>1853</v>
      </c>
      <c r="G42" s="1790" t="s">
        <v>1854</v>
      </c>
      <c r="H42" s="1790" t="s">
        <v>1855</v>
      </c>
      <c r="I42" s="1790" t="s">
        <v>1856</v>
      </c>
      <c r="J42" s="2144" t="s">
        <v>1857</v>
      </c>
      <c r="K42" s="2067" t="s">
        <v>1858</v>
      </c>
      <c r="L42" s="2067" t="s">
        <v>1859</v>
      </c>
      <c r="M42" s="2067" t="s">
        <v>1860</v>
      </c>
      <c r="N42" s="1790" t="s">
        <v>1861</v>
      </c>
      <c r="O42" s="1790" t="s">
        <v>1862</v>
      </c>
      <c r="P42" s="1790" t="s">
        <v>1863</v>
      </c>
      <c r="Q42" s="2066" t="s">
        <v>1864</v>
      </c>
      <c r="R42" s="2066" t="s">
        <v>1865</v>
      </c>
      <c r="S42" s="2023"/>
      <c r="T42" s="2023"/>
      <c r="U42" s="2023"/>
      <c r="V42" s="2023"/>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1" sqref="B11"/>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5"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9" customFormat="1" ht="24">
      <c r="A2" s="11" t="s">
        <v>1868</v>
      </c>
      <c r="B2" s="11" t="s">
        <v>1869</v>
      </c>
      <c r="C2" s="11" t="s">
        <v>1870</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1871</v>
      </c>
      <c r="AZ2" s="1270" t="s">
        <v>1872</v>
      </c>
      <c r="BA2" s="11" t="s">
        <v>1873</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61612.73</v>
      </c>
      <c r="B3" s="14">
        <f>IF(C3="否",G5-AT5,G5)</f>
        <v>23014.799999999999</v>
      </c>
      <c r="C3" s="2160" t="s">
        <v>1874</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1875</v>
      </c>
      <c r="B5" s="1798"/>
      <c r="C5" s="1798"/>
      <c r="D5" s="1801"/>
      <c r="E5" s="16" t="s">
        <v>1</v>
      </c>
      <c r="F5" s="16">
        <f>SUM(F13:F587)</f>
        <v>0</v>
      </c>
      <c r="G5" s="16">
        <f>SUM(G13:G587)</f>
        <v>23014.799999999999</v>
      </c>
      <c r="H5" s="16">
        <f t="shared" ref="H5:AT5" si="0">SUM(H13:H656)</f>
        <v>23014.799999999999</v>
      </c>
      <c r="I5" s="16">
        <f t="shared" si="0"/>
        <v>23014.799999999999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1875</v>
      </c>
      <c r="AW5" s="1798"/>
      <c r="AX5" s="1798"/>
      <c r="AY5" s="17" t="s">
        <v>3</v>
      </c>
      <c r="AZ5" s="18">
        <f t="shared" ref="AZ5:BT5" si="1">SUM(AZ13:AZ656)</f>
        <v>23014.799999999999</v>
      </c>
      <c r="BA5" s="18">
        <f t="shared" si="1"/>
        <v>23014.799999999999</v>
      </c>
      <c r="BB5" s="18">
        <f t="shared" si="1"/>
        <v>23014.799999999999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1876</v>
      </c>
      <c r="B6" s="2166"/>
      <c r="C6" s="2166"/>
      <c r="D6" s="2167"/>
      <c r="E6" s="16">
        <f>H6+AC6+AT6</f>
        <v>61612.73</v>
      </c>
      <c r="F6" s="16" t="s">
        <v>1</v>
      </c>
      <c r="G6" s="16" t="s">
        <v>2</v>
      </c>
      <c r="H6" s="20">
        <f>SUMIF(I$12:AB$12,"总值",I6:AB6)</f>
        <v>61612.73</v>
      </c>
      <c r="I6" s="16">
        <f t="shared" ref="I6:AB6" si="2">ROUND($A$3*I5/$B$3,2)</f>
        <v>61612.73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1876</v>
      </c>
      <c r="AW6" s="2166"/>
      <c r="AX6" s="2166"/>
      <c r="AY6" s="21">
        <f>IF(AY3&gt;0,AY3,ROUND($A$3*AZ5/$B$3,2))</f>
        <v>61612.73</v>
      </c>
      <c r="AZ6" s="16" t="s">
        <v>3</v>
      </c>
      <c r="BA6" s="16">
        <f>ROUND($AY$6*BA5/$AZ$5,2)</f>
        <v>61612.73</v>
      </c>
      <c r="BB6" s="16">
        <f>ROUND($AY$6*BB5/$AZ$5,2)</f>
        <v>61612.73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1877</v>
      </c>
      <c r="B7" s="2101" t="s">
        <v>1878</v>
      </c>
      <c r="C7" s="2101" t="s">
        <v>1879</v>
      </c>
      <c r="D7" s="2101" t="s">
        <v>1880</v>
      </c>
      <c r="E7" s="2101" t="s">
        <v>1881</v>
      </c>
      <c r="F7" s="2101" t="s">
        <v>1882</v>
      </c>
      <c r="G7" s="2170" t="s">
        <v>1883</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1"/>
      <c r="AU7" s="2171" t="s">
        <v>1884</v>
      </c>
      <c r="AV7" s="23" t="s">
        <v>1885</v>
      </c>
      <c r="AW7" s="2158" t="s">
        <v>1886</v>
      </c>
      <c r="AX7" s="23" t="s">
        <v>1879</v>
      </c>
      <c r="AY7" s="1798" t="s">
        <v>1887</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1888</v>
      </c>
      <c r="H8" s="2176" t="s">
        <v>1889</v>
      </c>
      <c r="I8" s="2177"/>
      <c r="J8" s="1813"/>
      <c r="K8" s="1813"/>
      <c r="L8" s="1813"/>
      <c r="M8" s="1813"/>
      <c r="N8" s="1813"/>
      <c r="O8" s="1813"/>
      <c r="P8" s="1813"/>
      <c r="Q8" s="1813"/>
      <c r="R8" s="1813"/>
      <c r="S8" s="1813"/>
      <c r="T8" s="1813"/>
      <c r="U8" s="1813"/>
      <c r="V8" s="2178"/>
      <c r="W8" s="1813"/>
      <c r="X8" s="1813"/>
      <c r="Y8" s="1813"/>
      <c r="Z8" s="1813"/>
      <c r="AA8" s="2178"/>
      <c r="AB8" s="2179"/>
      <c r="AC8" s="981" t="s">
        <v>1890</v>
      </c>
      <c r="AD8" s="2180"/>
      <c r="AE8" s="2172"/>
      <c r="AF8" s="1813"/>
      <c r="AG8" s="1813"/>
      <c r="AH8" s="1813"/>
      <c r="AI8" s="1813"/>
      <c r="AJ8" s="1813"/>
      <c r="AK8" s="1813"/>
      <c r="AL8" s="1813"/>
      <c r="AM8" s="1813"/>
      <c r="AN8" s="1813"/>
      <c r="AO8" s="1813"/>
      <c r="AP8" s="1813"/>
      <c r="AQ8" s="1813"/>
      <c r="AR8" s="1813"/>
      <c r="AS8" s="1813"/>
      <c r="AT8" s="1292" t="s">
        <v>1891</v>
      </c>
      <c r="AU8" s="2174" t="s">
        <v>1892</v>
      </c>
      <c r="AV8" s="1292"/>
      <c r="AW8" s="2157"/>
      <c r="AX8" s="1292"/>
      <c r="AY8" s="2158" t="s">
        <v>1893</v>
      </c>
      <c r="AZ8" s="1812" t="s">
        <v>1894</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1" customFormat="1" ht="12.75">
      <c r="A9" s="2174"/>
      <c r="B9" s="2174"/>
      <c r="C9" s="2174"/>
      <c r="D9" s="2174"/>
      <c r="E9" s="2174"/>
      <c r="F9" s="2174"/>
      <c r="G9" s="1292"/>
      <c r="H9" s="2182" t="s">
        <v>1895</v>
      </c>
      <c r="I9" s="2183" t="s">
        <v>3074</v>
      </c>
      <c r="J9" s="981"/>
      <c r="K9" s="2183"/>
      <c r="L9" s="981"/>
      <c r="M9" s="2183"/>
      <c r="N9" s="981"/>
      <c r="O9" s="2183"/>
      <c r="P9" s="981"/>
      <c r="Q9" s="2183"/>
      <c r="R9" s="981"/>
      <c r="S9" s="2183"/>
      <c r="T9" s="981"/>
      <c r="U9" s="2183"/>
      <c r="V9" s="981"/>
      <c r="W9" s="2183"/>
      <c r="X9" s="2184"/>
      <c r="Y9" s="2183"/>
      <c r="Z9" s="981"/>
      <c r="AA9" s="2183"/>
      <c r="AB9" s="981"/>
      <c r="AC9" s="2175"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85"/>
      <c r="AT9" s="2174"/>
      <c r="AU9" s="2174" t="s">
        <v>1898</v>
      </c>
      <c r="AV9" s="1292"/>
      <c r="AW9" s="2157"/>
      <c r="AX9" s="1292"/>
      <c r="AY9" s="28"/>
      <c r="AZ9" s="28" t="s">
        <v>1888</v>
      </c>
      <c r="BA9" s="2186" t="s">
        <v>1899</v>
      </c>
      <c r="BB9" s="2187"/>
      <c r="BC9" s="1338"/>
      <c r="BD9" s="1338"/>
      <c r="BE9" s="1338"/>
      <c r="BF9" s="1338"/>
      <c r="BG9" s="1338"/>
      <c r="BH9" s="1338"/>
      <c r="BI9" s="1338"/>
      <c r="BJ9" s="1338"/>
      <c r="BK9" s="2188"/>
      <c r="BL9" s="15" t="s">
        <v>1900</v>
      </c>
      <c r="BM9" s="1813"/>
      <c r="BN9" s="2177"/>
      <c r="BO9" s="1813"/>
      <c r="BP9" s="1813"/>
      <c r="BQ9" s="1813"/>
      <c r="BR9" s="1813"/>
      <c r="BS9" s="1813"/>
      <c r="BT9" s="26"/>
    </row>
    <row r="10" spans="1:72" s="2181" customFormat="1" ht="12.75">
      <c r="A10" s="2174"/>
      <c r="B10" s="2174"/>
      <c r="C10" s="2174"/>
      <c r="D10" s="2174"/>
      <c r="E10" s="2174"/>
      <c r="F10" s="2174"/>
      <c r="G10" s="1292"/>
      <c r="H10" s="28"/>
      <c r="I10" s="2183" t="s">
        <v>6</v>
      </c>
      <c r="J10" s="981"/>
      <c r="K10" s="2189"/>
      <c r="L10" s="981"/>
      <c r="M10" s="2189"/>
      <c r="N10" s="981"/>
      <c r="O10" s="2189"/>
      <c r="P10" s="981"/>
      <c r="Q10" s="2189"/>
      <c r="R10" s="981"/>
      <c r="S10" s="2189"/>
      <c r="T10" s="981"/>
      <c r="U10" s="2189"/>
      <c r="V10" s="981"/>
      <c r="W10" s="2189"/>
      <c r="X10" s="981"/>
      <c r="Y10" s="2189"/>
      <c r="Z10" s="981"/>
      <c r="AA10" s="2189"/>
      <c r="AB10" s="981"/>
      <c r="AC10" s="1292"/>
      <c r="AD10" s="15" t="s">
        <v>1901</v>
      </c>
      <c r="AE10" s="2190"/>
      <c r="AF10" s="15" t="s">
        <v>1901</v>
      </c>
      <c r="AG10" s="2190"/>
      <c r="AH10" s="15" t="s">
        <v>1902</v>
      </c>
      <c r="AI10" s="2190"/>
      <c r="AJ10" s="15" t="s">
        <v>1902</v>
      </c>
      <c r="AK10" s="2190"/>
      <c r="AL10" s="15" t="s">
        <v>1903</v>
      </c>
      <c r="AM10" s="1298"/>
      <c r="AN10" s="15" t="s">
        <v>1903</v>
      </c>
      <c r="AO10" s="1298"/>
      <c r="AP10" s="15" t="s">
        <v>1904</v>
      </c>
      <c r="AQ10" s="1298"/>
      <c r="AR10" s="15" t="s">
        <v>1904</v>
      </c>
      <c r="AS10" s="1298"/>
      <c r="AT10" s="2174"/>
      <c r="AU10" s="2174"/>
      <c r="AV10" s="1292"/>
      <c r="AW10" s="2157"/>
      <c r="AX10" s="1292"/>
      <c r="AY10" s="28"/>
      <c r="AZ10" s="28"/>
      <c r="BA10" s="2191" t="s">
        <v>1895</v>
      </c>
      <c r="BB10" s="2192" t="str">
        <f>I9</f>
        <v>地上</v>
      </c>
      <c r="BC10" s="29">
        <f>K9</f>
        <v>0</v>
      </c>
      <c r="BD10" s="29">
        <f>M9</f>
        <v>0</v>
      </c>
      <c r="BE10" s="29">
        <f>O9</f>
        <v>0</v>
      </c>
      <c r="BF10" s="29">
        <f>Q9</f>
        <v>0</v>
      </c>
      <c r="BG10" s="29">
        <f>S9</f>
        <v>0</v>
      </c>
      <c r="BH10" s="29">
        <f>U9</f>
        <v>0</v>
      </c>
      <c r="BI10" s="29">
        <f>W9</f>
        <v>0</v>
      </c>
      <c r="BJ10" s="29">
        <f>Y9</f>
        <v>0</v>
      </c>
      <c r="BK10" s="29">
        <f>AA9</f>
        <v>0</v>
      </c>
      <c r="BL10" s="25" t="s">
        <v>1895</v>
      </c>
      <c r="BM10" s="1812" t="str">
        <f>AD9</f>
        <v>地上</v>
      </c>
      <c r="BN10" s="29" t="str">
        <f>AF9</f>
        <v>地下</v>
      </c>
      <c r="BO10" s="1812" t="str">
        <f>AH9</f>
        <v>地上</v>
      </c>
      <c r="BP10" s="29" t="str">
        <f>AJ9</f>
        <v>地下</v>
      </c>
      <c r="BQ10" s="1812" t="str">
        <f>AL9</f>
        <v>地上</v>
      </c>
      <c r="BR10" s="29" t="str">
        <f>AN9</f>
        <v>地下</v>
      </c>
      <c r="BS10" s="1812" t="str">
        <f>AP9</f>
        <v>地上</v>
      </c>
      <c r="BT10" s="2193" t="str">
        <f>AR9</f>
        <v>地下</v>
      </c>
    </row>
    <row r="11" spans="1:72" s="2181" customFormat="1" ht="12.75">
      <c r="A11" s="2174"/>
      <c r="B11" s="2174"/>
      <c r="C11" s="2174"/>
      <c r="D11" s="2174"/>
      <c r="E11" s="2174"/>
      <c r="F11" s="2174"/>
      <c r="G11" s="1292"/>
      <c r="H11" s="2191"/>
      <c r="I11" s="2194" t="s">
        <v>3075</v>
      </c>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1905</v>
      </c>
      <c r="AE11" s="1814"/>
      <c r="AF11" s="2196" t="s">
        <v>1905</v>
      </c>
      <c r="AG11" s="1814"/>
      <c r="AH11" s="2196" t="s">
        <v>1906</v>
      </c>
      <c r="AI11" s="2197"/>
      <c r="AJ11" s="2196" t="s">
        <v>1906</v>
      </c>
      <c r="AK11" s="1814"/>
      <c r="AL11" s="1812"/>
      <c r="AM11" s="1814"/>
      <c r="AN11" s="1812"/>
      <c r="AO11" s="1814"/>
      <c r="AP11" s="1812"/>
      <c r="AQ11" s="1814"/>
      <c r="AR11" s="1812"/>
      <c r="AS11" s="1814"/>
      <c r="AT11" s="2157"/>
      <c r="AU11" s="2174"/>
      <c r="AV11" s="1292"/>
      <c r="AW11" s="2157"/>
      <c r="AX11" s="1292"/>
      <c r="AY11" s="28"/>
      <c r="AZ11" s="28"/>
      <c r="BA11" s="28"/>
      <c r="BB11" s="2179" t="str">
        <f>I10</f>
        <v>工业</v>
      </c>
      <c r="BC11" s="2179">
        <f>K10</f>
        <v>0</v>
      </c>
      <c r="BD11" s="2179">
        <f>M10</f>
        <v>0</v>
      </c>
      <c r="BE11" s="2179">
        <f>O10</f>
        <v>0</v>
      </c>
      <c r="BF11" s="2179">
        <f>Q10</f>
        <v>0</v>
      </c>
      <c r="BG11" s="2179">
        <f>S10</f>
        <v>0</v>
      </c>
      <c r="BH11" s="2179">
        <f>U10</f>
        <v>0</v>
      </c>
      <c r="BI11" s="2179">
        <f>W10</f>
        <v>0</v>
      </c>
      <c r="BJ11" s="2179">
        <f>Y10</f>
        <v>0</v>
      </c>
      <c r="BK11" s="2179">
        <f>AA10</f>
        <v>0</v>
      </c>
      <c r="BL11" s="1292"/>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7" t="s">
        <v>1908</v>
      </c>
      <c r="W12" s="11" t="s">
        <v>1907</v>
      </c>
      <c r="X12" s="11" t="s">
        <v>1908</v>
      </c>
      <c r="Y12" s="11" t="s">
        <v>1907</v>
      </c>
      <c r="Z12" s="11" t="s">
        <v>1908</v>
      </c>
      <c r="AA12" s="11" t="s">
        <v>1907</v>
      </c>
      <c r="AB12" s="11" t="s">
        <v>1908</v>
      </c>
      <c r="AC12" s="2201"/>
      <c r="AD12" s="180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9" t="s">
        <v>1908</v>
      </c>
      <c r="AT12" s="2202"/>
      <c r="AU12" s="2199"/>
      <c r="AV12" s="31"/>
      <c r="AW12" s="2158"/>
      <c r="AX12" s="31"/>
      <c r="AY12" s="2203"/>
      <c r="AZ12" s="28"/>
      <c r="BA12" s="2191"/>
      <c r="BB12" s="24" t="str">
        <f>I11</f>
        <v>标准厂房</v>
      </c>
      <c r="BC12" s="2204">
        <f>K11</f>
        <v>0</v>
      </c>
      <c r="BD12" s="2204">
        <f>M11</f>
        <v>0</v>
      </c>
      <c r="BE12" s="2179">
        <f>O11</f>
        <v>0</v>
      </c>
      <c r="BF12" s="2179">
        <f>Q11</f>
        <v>0</v>
      </c>
      <c r="BG12" s="2179">
        <f>S11</f>
        <v>0</v>
      </c>
      <c r="BH12" s="2179">
        <f>U11</f>
        <v>0</v>
      </c>
      <c r="BI12" s="2179">
        <f>W11</f>
        <v>0</v>
      </c>
      <c r="BJ12" s="2179">
        <f>Y11</f>
        <v>0</v>
      </c>
      <c r="BK12" s="2179">
        <f>AA11</f>
        <v>0</v>
      </c>
      <c r="BL12" s="1292"/>
      <c r="BM12" s="1812" t="str">
        <f>AD11</f>
        <v>（住宅）</v>
      </c>
      <c r="BN12" s="1812"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c r="D13" s="2205" t="s">
        <v>3072</v>
      </c>
      <c r="E13" s="16">
        <f>IF($C$3="是",ROUND($A$3*G13/$B$3,2),ROUND($A$3*(G13-AT13)/$B$3,2))</f>
        <v>61612.73</v>
      </c>
      <c r="F13" s="32"/>
      <c r="G13" s="33">
        <f>H13+AC13+AT13</f>
        <v>23014.799999999999</v>
      </c>
      <c r="H13" s="20">
        <f>SUMIF(I$12:AB$12,"总值",I13:AB13)</f>
        <v>23014.799999999999</v>
      </c>
      <c r="I13" s="2206">
        <v>23014.799999999999</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0</v>
      </c>
      <c r="AY13" s="1801">
        <f>ROUND($AY$6*AZ13/$AZ$5,2)</f>
        <v>61612.73</v>
      </c>
      <c r="AZ13" s="16">
        <f>BA13+BL13</f>
        <v>23014.799999999999</v>
      </c>
      <c r="BA13" s="16">
        <f>SUM(BB13:BK13)</f>
        <v>23014.799999999999</v>
      </c>
      <c r="BB13" s="16">
        <f>IF($D13="是",I13-J13,0)</f>
        <v>23014.799999999999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72"/>
      <c r="B14" s="1272"/>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topLeftCell="C1" zoomScale="90" zoomScaleNormal="100" zoomScaleSheetLayoutView="90" workbookViewId="0">
      <selection activeCell="F19" sqref="F19"/>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1934</v>
      </c>
      <c r="B1" s="1392"/>
      <c r="C1" s="1392"/>
      <c r="D1" s="1392"/>
      <c r="E1" s="1392"/>
      <c r="F1" s="1392"/>
      <c r="G1" s="1392"/>
      <c r="H1" s="1392"/>
      <c r="I1" s="1392"/>
      <c r="J1" s="1392"/>
      <c r="K1" s="1392"/>
      <c r="L1" s="1392"/>
      <c r="M1" s="1392"/>
      <c r="N1" s="1392"/>
      <c r="O1" s="1392"/>
      <c r="P1" s="1392"/>
    </row>
    <row r="2" spans="1:16" ht="15">
      <c r="A2" s="3051" t="s">
        <v>1935</v>
      </c>
      <c r="B2" s="3051"/>
      <c r="C2" s="3051"/>
      <c r="D2" s="967" t="s">
        <v>1911</v>
      </c>
      <c r="E2" s="2219" t="s">
        <v>1912</v>
      </c>
      <c r="F2" s="1392"/>
      <c r="G2" s="2220"/>
      <c r="H2" s="2221"/>
      <c r="I2" s="2222" t="s">
        <v>1936</v>
      </c>
      <c r="J2" s="1392"/>
      <c r="K2" s="1392"/>
      <c r="L2" s="1392"/>
      <c r="M2" s="1392"/>
      <c r="N2" s="1427"/>
      <c r="O2" s="1392"/>
      <c r="P2" s="1392"/>
    </row>
    <row r="3" spans="1:16" ht="15.75" thickBot="1">
      <c r="A3" s="3052" t="s">
        <v>1909</v>
      </c>
      <c r="B3" s="3052"/>
      <c r="C3" s="3052"/>
      <c r="D3" s="46">
        <f>'数据-基础表'!AY6</f>
        <v>61612.73</v>
      </c>
      <c r="E3" s="46">
        <f>'数据-基础表'!AZ5</f>
        <v>23014.799999999999</v>
      </c>
      <c r="F3" s="1392"/>
      <c r="G3" s="1399"/>
      <c r="H3" s="1247" t="s">
        <v>1910</v>
      </c>
      <c r="I3" s="55">
        <f>ROUND('数据-基础表'!B3/'数据-基础表'!A3,2)</f>
        <v>0.37</v>
      </c>
      <c r="J3" s="1392"/>
      <c r="K3" s="1392"/>
      <c r="L3" s="1392"/>
      <c r="M3" s="1392"/>
      <c r="N3" s="1427"/>
      <c r="O3" s="1392"/>
      <c r="P3" s="1392"/>
    </row>
    <row r="4" spans="1:16" ht="15">
      <c r="A4" s="3053"/>
      <c r="B4" s="3054"/>
      <c r="C4" s="3055"/>
      <c r="D4" s="2223" t="s">
        <v>1911</v>
      </c>
      <c r="E4" s="2224" t="s">
        <v>1912</v>
      </c>
      <c r="F4" s="1392"/>
      <c r="G4" s="2225" t="s">
        <v>1937</v>
      </c>
      <c r="H4" s="1247" t="s">
        <v>1917</v>
      </c>
      <c r="I4" s="55">
        <f>ROUND(SUMIF('数据-基础表'!I9:AS9,"地上",'数据-基础表'!I5:AS5)/'数据-基础表'!A3,2)</f>
        <v>0.37</v>
      </c>
      <c r="J4" s="1392"/>
      <c r="K4" s="1392"/>
      <c r="L4" s="1392"/>
      <c r="M4" s="1392"/>
      <c r="N4" s="1427"/>
      <c r="O4" s="1392"/>
      <c r="P4" s="1392"/>
    </row>
    <row r="5" spans="1:16">
      <c r="A5" s="47" t="s">
        <v>1913</v>
      </c>
      <c r="B5" s="3056" t="s">
        <v>1914</v>
      </c>
      <c r="C5" s="3056"/>
      <c r="D5" s="48">
        <f>ROUND($D$3*E5/$E$3,2)</f>
        <v>0</v>
      </c>
      <c r="E5" s="49">
        <f>SUMIF('数据-基础表'!$11:$11,"住宅",'数据-基础表'!$5:$5)</f>
        <v>0</v>
      </c>
      <c r="F5" s="1392"/>
      <c r="G5" s="1399"/>
      <c r="H5" s="1247" t="s">
        <v>1910</v>
      </c>
      <c r="I5" s="55">
        <f>ROUND(E31/D31,2)</f>
        <v>0.37</v>
      </c>
      <c r="J5" s="1392"/>
      <c r="K5" s="1392"/>
      <c r="L5" s="1392"/>
      <c r="M5" s="1392"/>
      <c r="N5" s="1392"/>
      <c r="O5" s="1392"/>
      <c r="P5" s="1392"/>
    </row>
    <row r="6" spans="1:16" ht="15" thickBot="1">
      <c r="A6" s="2226"/>
      <c r="B6" s="3056" t="s">
        <v>1915</v>
      </c>
      <c r="C6" s="3056"/>
      <c r="D6" s="48">
        <f>ROUND($D$3*E6/$E$3,2)</f>
        <v>61612.73</v>
      </c>
      <c r="E6" s="49">
        <f>E3-E5</f>
        <v>23014.799999999999</v>
      </c>
      <c r="F6" s="1392"/>
      <c r="G6" s="2227" t="s">
        <v>1916</v>
      </c>
      <c r="H6" s="1399" t="s">
        <v>1917</v>
      </c>
      <c r="I6" s="939">
        <f>ROUND(F31/D31,2)</f>
        <v>0.37</v>
      </c>
      <c r="J6" s="1392"/>
      <c r="K6" s="1392"/>
      <c r="L6" s="1392"/>
      <c r="M6" s="1392"/>
      <c r="N6" s="1392"/>
      <c r="O6" s="1392"/>
      <c r="P6" s="1392"/>
    </row>
    <row r="7" spans="1:16" ht="15">
      <c r="A7" s="3048"/>
      <c r="B7" s="3049"/>
      <c r="C7" s="3050"/>
      <c r="D7" s="2223" t="s">
        <v>1911</v>
      </c>
      <c r="E7" s="2228" t="s">
        <v>1918</v>
      </c>
      <c r="F7" s="1392"/>
      <c r="G7" s="2220" t="s">
        <v>1919</v>
      </c>
      <c r="H7" s="64"/>
      <c r="I7" s="420"/>
      <c r="J7" s="1392"/>
      <c r="K7" s="1392"/>
      <c r="L7" s="1392"/>
      <c r="M7" s="1392"/>
      <c r="N7" s="1392"/>
      <c r="O7" s="1392"/>
      <c r="P7" s="1392"/>
    </row>
    <row r="8" spans="1:16">
      <c r="A8" s="47" t="s">
        <v>1920</v>
      </c>
      <c r="B8" s="50" t="s">
        <v>1921</v>
      </c>
      <c r="C8" s="48" t="s">
        <v>1922</v>
      </c>
      <c r="D8" s="48">
        <f t="shared" ref="D8:D15" si="0">ROUND($D$3*E8/$E$3,2)</f>
        <v>61612.73</v>
      </c>
      <c r="E8" s="51">
        <f>SUMIF('数据-基础表'!BB10:BK10,"地上",'数据-基础表'!BB5:BK5)</f>
        <v>23014.799999999999</v>
      </c>
      <c r="F8" s="1392"/>
      <c r="G8" s="2229"/>
      <c r="H8" s="2229"/>
      <c r="I8" s="1392"/>
      <c r="J8" s="1392"/>
      <c r="K8" s="1392"/>
      <c r="L8" s="1392"/>
      <c r="M8" s="1392"/>
      <c r="N8" s="1392"/>
      <c r="O8" s="1392"/>
      <c r="P8" s="1392"/>
    </row>
    <row r="9" spans="1:16">
      <c r="A9" s="2230"/>
      <c r="B9" s="2231"/>
      <c r="C9" s="48" t="s">
        <v>1923</v>
      </c>
      <c r="D9" s="48">
        <f t="shared" si="0"/>
        <v>0</v>
      </c>
      <c r="E9" s="52">
        <v>0</v>
      </c>
      <c r="F9" s="1392"/>
      <c r="G9" s="2229"/>
      <c r="H9" s="2229"/>
      <c r="I9" s="1392"/>
      <c r="J9" s="1392"/>
      <c r="K9" s="1392"/>
      <c r="L9" s="1392"/>
      <c r="M9" s="1392"/>
      <c r="N9" s="1392"/>
      <c r="O9" s="1392"/>
      <c r="P9" s="1392"/>
    </row>
    <row r="10" spans="1:16">
      <c r="A10" s="2230"/>
      <c r="B10" s="2231"/>
      <c r="C10" s="48" t="s">
        <v>1932</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1924</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1925</v>
      </c>
      <c r="D12" s="48">
        <f t="shared" si="0"/>
        <v>0</v>
      </c>
      <c r="E12" s="51">
        <f>SUMPRODUCT(('数据-基础表'!BB10:BK10="地下")*('数据-基础表'!BB11:BK11="仓储")*('数据-基础表'!BB5:BK5))</f>
        <v>0</v>
      </c>
      <c r="F12" s="1392"/>
      <c r="G12" s="2229"/>
      <c r="H12" s="2229"/>
      <c r="I12" s="1392"/>
      <c r="J12" s="1392"/>
      <c r="K12" s="1392"/>
      <c r="L12" s="1392"/>
      <c r="M12" s="1392"/>
      <c r="N12" s="1392"/>
      <c r="O12" s="1392"/>
      <c r="P12" s="1392"/>
    </row>
    <row r="13" spans="1:16">
      <c r="A13" s="2230"/>
      <c r="B13" s="2231"/>
      <c r="C13" s="48" t="s">
        <v>1926</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1938</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1933</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1927</v>
      </c>
      <c r="D16" s="50">
        <f>SUM(D8:D15)</f>
        <v>61612.73</v>
      </c>
      <c r="E16" s="53">
        <f>SUM(E8:E15)</f>
        <v>23014.799999999999</v>
      </c>
      <c r="F16" s="1392"/>
      <c r="G16" s="2229"/>
      <c r="H16" s="2232" t="s">
        <v>1939</v>
      </c>
      <c r="I16" s="2233"/>
      <c r="J16" s="1392"/>
      <c r="K16" s="3045" t="s">
        <v>1939</v>
      </c>
      <c r="L16" s="3046"/>
      <c r="M16" s="3046"/>
      <c r="N16" s="3046"/>
      <c r="O16" s="3046"/>
      <c r="P16" s="3047"/>
    </row>
    <row r="17" spans="1:19" ht="15">
      <c r="A17" s="2234" t="s">
        <v>1940</v>
      </c>
      <c r="B17" s="2235" t="s">
        <v>1941</v>
      </c>
      <c r="C17" s="2236" t="s">
        <v>1942</v>
      </c>
      <c r="D17" s="2237" t="s">
        <v>1930</v>
      </c>
      <c r="E17" s="2238" t="s">
        <v>1931</v>
      </c>
      <c r="F17" s="2239"/>
      <c r="G17" s="2240"/>
      <c r="H17" s="2241" t="s">
        <v>1943</v>
      </c>
      <c r="I17" s="2242" t="s">
        <v>1928</v>
      </c>
      <c r="J17" s="1392"/>
      <c r="K17" s="3042" t="s">
        <v>1944</v>
      </c>
      <c r="L17" s="3043"/>
      <c r="M17" s="3044"/>
      <c r="N17" s="3042" t="s">
        <v>1945</v>
      </c>
      <c r="O17" s="3043"/>
      <c r="P17" s="3044"/>
      <c r="R17" s="2220" t="s">
        <v>1946</v>
      </c>
      <c r="S17" s="64"/>
    </row>
    <row r="18" spans="1:19" ht="15">
      <c r="A18" s="2230"/>
      <c r="B18" s="2243"/>
      <c r="C18" s="2244"/>
      <c r="D18" s="2245"/>
      <c r="E18" s="2246" t="s">
        <v>1947</v>
      </c>
      <c r="F18" s="2247" t="s">
        <v>1948</v>
      </c>
      <c r="G18" s="2248" t="s">
        <v>1949</v>
      </c>
      <c r="H18" s="1262" t="s">
        <v>1950</v>
      </c>
      <c r="I18" s="2249" t="s">
        <v>1951</v>
      </c>
      <c r="J18" s="1392"/>
      <c r="K18" s="1262" t="s">
        <v>1952</v>
      </c>
      <c r="L18" s="2250" t="s">
        <v>1953</v>
      </c>
      <c r="M18" s="1046" t="s">
        <v>1954</v>
      </c>
      <c r="N18" s="1262" t="s">
        <v>1952</v>
      </c>
      <c r="O18" s="2250" t="s">
        <v>1953</v>
      </c>
      <c r="P18" s="1046" t="s">
        <v>1954</v>
      </c>
      <c r="R18" s="1247" t="s">
        <v>1955</v>
      </c>
      <c r="S18" s="1247" t="s">
        <v>1956</v>
      </c>
    </row>
    <row r="19" spans="1:19">
      <c r="A19" s="2251"/>
      <c r="B19" s="50" t="s">
        <v>1929</v>
      </c>
      <c r="C19" s="2949" t="s">
        <v>3076</v>
      </c>
      <c r="D19" s="48">
        <f>ROUND($D$3*E19/$E$3,2)</f>
        <v>61612.73</v>
      </c>
      <c r="E19" s="56">
        <f t="shared" ref="E19:E26" si="1">SUM(F19:G19)</f>
        <v>23014.799999999999</v>
      </c>
      <c r="F19" s="57">
        <f>'数据-基础表'!I13</f>
        <v>23014.799999999999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3"/>
      <c r="O19" s="2254"/>
      <c r="P19" s="1403">
        <f>N19+O19</f>
        <v>0</v>
      </c>
      <c r="R19" s="1247">
        <f t="shared" ref="R19:S26" si="5">D19+H19</f>
        <v>61612.73</v>
      </c>
      <c r="S19" s="1248">
        <f t="shared" si="5"/>
        <v>23014.799999999999</v>
      </c>
    </row>
    <row r="20" spans="1:19">
      <c r="A20" s="2255"/>
      <c r="B20" s="50" t="s">
        <v>1957</v>
      </c>
      <c r="C20" s="225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3"/>
      <c r="O20" s="2254"/>
      <c r="P20" s="1403">
        <f t="shared" ref="P20:P26" si="9">N20+O20</f>
        <v>0</v>
      </c>
      <c r="R20" s="1247">
        <f t="shared" si="5"/>
        <v>0</v>
      </c>
      <c r="S20" s="1248">
        <f t="shared" si="5"/>
        <v>0</v>
      </c>
    </row>
    <row r="21" spans="1:19">
      <c r="A21" s="2255"/>
      <c r="B21" s="50" t="s">
        <v>1957</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1958</v>
      </c>
      <c r="D27" s="1393">
        <f>SUM(D19:D26)</f>
        <v>61612.73</v>
      </c>
      <c r="E27" s="1394">
        <f>IF(SUM(E19:E26)='数据-基础表'!BA5,SUM(E19:E26),IF(F27="地上面积有误","面积有误","地下面积有误"))</f>
        <v>23014.799999999999</v>
      </c>
      <c r="F27" s="1393">
        <f>IF(SUM(F19:F26)=E8,SUM(F19:F26),"地上面积有误")</f>
        <v>23014.799999999999</v>
      </c>
      <c r="G27" s="1395">
        <f>SUM(G19:G26)</f>
        <v>0</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f>IF(SUM(R19:R26)=$D$3,SUM(R19:R26),SUM(R19:R26)&amp;"误差"&amp;ROUND(SUM(R19:R26)-$D$3,2))</f>
        <v>61612.73</v>
      </c>
      <c r="S27" s="1247">
        <f>IF(SUM(S19:S26)=$E$3,SUM(S19:S26),SUM(S19:S26)&amp;"误差"&amp;ROUND(SUM(S19:S26)-E3,2))</f>
        <v>23014.799999999999</v>
      </c>
    </row>
    <row r="28" spans="1:19">
      <c r="A28" s="2255"/>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5"/>
      <c r="B29" s="50" t="s">
        <v>1959</v>
      </c>
      <c r="C29" s="2259"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1"/>
      <c r="B31" s="2262"/>
      <c r="C31" s="1007" t="s">
        <v>1962</v>
      </c>
      <c r="D31" s="729">
        <f>D27+D30</f>
        <v>61612.73</v>
      </c>
      <c r="E31" s="729">
        <f>E27+E30</f>
        <v>23014.799999999999</v>
      </c>
      <c r="F31" s="730">
        <f>F27+F30</f>
        <v>23014.799999999999</v>
      </c>
      <c r="G31" s="731">
        <f>G27+G30</f>
        <v>0</v>
      </c>
      <c r="H31" s="1392"/>
      <c r="I31" s="1392"/>
      <c r="J31" s="1392"/>
      <c r="K31" s="1392"/>
      <c r="L31" s="1392"/>
      <c r="M31" s="1392"/>
      <c r="N31" s="1392"/>
      <c r="O31" s="1392"/>
      <c r="P31" s="1392"/>
    </row>
    <row r="32" spans="1:19">
      <c r="A32" s="2225"/>
      <c r="B32" s="2225" t="s">
        <v>1963</v>
      </c>
      <c r="C32" s="2225"/>
      <c r="D32" s="2225"/>
      <c r="E32" s="1274">
        <f>SUMIF(C19:C26,"*住宅*",E19:E26)</f>
        <v>0</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6" priority="1" stopIfTrue="1" operator="containsText" text="面积有误">
      <formula>NOT(ISERROR(SEARCH("面积有误",E27)))</formula>
    </cfRule>
    <cfRule type="cellIs" dxfId="135" priority="3" stopIfTrue="1" operator="equal">
      <formula>"地下面积有误"</formula>
    </cfRule>
  </conditionalFormatting>
  <conditionalFormatting sqref="F27">
    <cfRule type="cellIs" dxfId="13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1964</v>
      </c>
      <c r="B1" s="732"/>
      <c r="C1" s="1576"/>
      <c r="D1" s="2265"/>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75" thickBot="1">
      <c r="A2" s="2268" t="s">
        <v>1965</v>
      </c>
      <c r="B2" s="1266">
        <f>项目基本情况!D3</f>
        <v>43894</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5" customFormat="1" ht="15" thickBot="1">
      <c r="A3" s="2023"/>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5" customFormat="1" ht="15" thickBot="1">
      <c r="A4" s="68" t="s">
        <v>1966</v>
      </c>
      <c r="B4" s="2273"/>
      <c r="C4" s="2274"/>
      <c r="D4" s="2275"/>
      <c r="E4" s="2274" t="s">
        <v>1967</v>
      </c>
      <c r="F4" s="2274"/>
      <c r="G4" s="2274"/>
      <c r="H4" s="2274"/>
      <c r="I4" s="2274"/>
      <c r="J4" s="2276"/>
      <c r="K4" s="2277"/>
      <c r="L4" s="2278"/>
      <c r="M4" s="2274"/>
      <c r="N4" s="2274" t="s">
        <v>1968</v>
      </c>
      <c r="O4" s="2274"/>
      <c r="P4" s="2274"/>
      <c r="Q4" s="2274"/>
      <c r="R4" s="2274"/>
      <c r="S4" s="2276"/>
      <c r="T4" s="2279" t="str">
        <f>'数据-汇总表'!I17</f>
        <v>按面积比例</v>
      </c>
      <c r="U4" s="2273" t="s">
        <v>1969</v>
      </c>
      <c r="V4" s="2274"/>
      <c r="W4" s="2274"/>
      <c r="X4" s="2274"/>
      <c r="Y4" s="2276"/>
      <c r="Z4" s="2236" t="s">
        <v>1970</v>
      </c>
      <c r="AA4" s="2236"/>
      <c r="AB4" s="2236"/>
      <c r="AC4" s="2236"/>
      <c r="AD4" s="2236"/>
      <c r="AE4" s="2234" t="s">
        <v>1971</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6" customFormat="1" ht="42">
      <c r="A5" s="2281" t="s">
        <v>1972</v>
      </c>
      <c r="B5" s="2282" t="s">
        <v>1973</v>
      </c>
      <c r="C5" s="2283" t="s">
        <v>1974</v>
      </c>
      <c r="D5" s="2284" t="s">
        <v>1975</v>
      </c>
      <c r="E5" s="1268" t="s">
        <v>1976</v>
      </c>
      <c r="F5" s="2285" t="s">
        <v>1977</v>
      </c>
      <c r="G5" s="1268" t="s">
        <v>1978</v>
      </c>
      <c r="H5" s="1268" t="s">
        <v>1979</v>
      </c>
      <c r="I5" s="1268" t="s">
        <v>1980</v>
      </c>
      <c r="J5" s="2286" t="s">
        <v>1981</v>
      </c>
      <c r="K5" s="2287" t="s">
        <v>1982</v>
      </c>
      <c r="L5" s="2288" t="s">
        <v>1983</v>
      </c>
      <c r="M5" s="2289" t="s">
        <v>1984</v>
      </c>
      <c r="N5" s="2290" t="s">
        <v>3078</v>
      </c>
      <c r="O5" s="2288" t="s">
        <v>1985</v>
      </c>
      <c r="P5" s="2291" t="s">
        <v>1986</v>
      </c>
      <c r="Q5" s="69" t="s">
        <v>1987</v>
      </c>
      <c r="R5" s="2292" t="s">
        <v>1988</v>
      </c>
      <c r="S5" s="2293" t="s">
        <v>1989</v>
      </c>
      <c r="T5" s="2294" t="s">
        <v>1990</v>
      </c>
      <c r="U5" s="1267" t="s">
        <v>1991</v>
      </c>
      <c r="V5" s="1268" t="s">
        <v>1992</v>
      </c>
      <c r="W5" s="1268" t="s">
        <v>1993</v>
      </c>
      <c r="X5" s="71"/>
      <c r="Y5" s="70" t="s">
        <v>1994</v>
      </c>
      <c r="Z5" s="2295" t="s">
        <v>1991</v>
      </c>
      <c r="AA5" s="1268" t="s">
        <v>1992</v>
      </c>
      <c r="AB5" s="1268" t="s">
        <v>1993</v>
      </c>
      <c r="AC5" s="71"/>
      <c r="AD5" s="71" t="s">
        <v>1994</v>
      </c>
      <c r="AE5" s="1267" t="s">
        <v>1995</v>
      </c>
      <c r="AF5" s="1268" t="s">
        <v>1996</v>
      </c>
      <c r="AG5" s="70" t="s">
        <v>1997</v>
      </c>
      <c r="AH5" s="1267" t="s">
        <v>1998</v>
      </c>
      <c r="AI5" s="2295" t="s">
        <v>1999</v>
      </c>
      <c r="AJ5" s="2295" t="s">
        <v>2000</v>
      </c>
      <c r="AK5" s="1268" t="s">
        <v>2001</v>
      </c>
      <c r="AL5" s="1268" t="s">
        <v>2002</v>
      </c>
      <c r="AM5" s="70" t="s">
        <v>2003</v>
      </c>
      <c r="AN5" s="2296" t="s">
        <v>2004</v>
      </c>
      <c r="AO5" s="2066" t="s">
        <v>2005</v>
      </c>
      <c r="AP5" s="1249" t="s">
        <v>2006</v>
      </c>
      <c r="AQ5" s="2297" t="s">
        <v>2007</v>
      </c>
      <c r="AR5" s="2297" t="s">
        <v>2008</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5" customFormat="1" ht="14.25">
      <c r="A6" s="2298" t="str">
        <f>'数据-汇总表'!C19</f>
        <v>工业</v>
      </c>
      <c r="B6" s="2299" t="str">
        <f>IF(A6=0,"","经营性")</f>
        <v>经营性</v>
      </c>
      <c r="C6" s="2300" t="s">
        <v>6</v>
      </c>
      <c r="D6" s="1051">
        <f>SUMIF(项目基本情况!D$12:I$12,C6,项目基本情况!D$14:I$14)</f>
        <v>50</v>
      </c>
      <c r="E6" s="1048">
        <f>IF(B6="","",SUMIF(项目基本情况!D$12:I$12,C6,项目基本情况!D$13:I$13))</f>
        <v>58725</v>
      </c>
      <c r="F6" s="72">
        <f>SUMIF(项目基本情况!D$12:I$12,C6,项目基本情况!D$15:I$15)</f>
        <v>40.630000000000003</v>
      </c>
      <c r="G6" s="73">
        <f t="shared" ref="G6:G13" ca="1" si="0">IF(ISERROR(ROUND(POWER(1+H6,D6-F6)*(POWER(1+H6,F6)-1)/(POWER(1+H6,D6)-1),3)),0,ROUND(POWER(1+H6,D6-F6)*(POWER(1+H6,F6)-1)/(POWER(1+H6,D6)-1),3))</f>
        <v>0.94099999999999995</v>
      </c>
      <c r="H6" s="802">
        <f ca="1">基准地价修正!P28</f>
        <v>4.8000000000000001E-2</v>
      </c>
      <c r="I6" s="802">
        <v>5.5E-2</v>
      </c>
      <c r="J6" s="74">
        <v>8.5000000000000006E-2</v>
      </c>
      <c r="K6" s="1251">
        <f>SUMIF('数据-汇总表'!C$19:C$33,A6,'数据-汇总表'!E$19:E$33)</f>
        <v>23014.799999999999</v>
      </c>
      <c r="L6" s="803">
        <v>2700</v>
      </c>
      <c r="M6" s="75">
        <f t="shared" ref="M6:M14" si="1">ROUND(K6*L6/10000,0)</f>
        <v>6214</v>
      </c>
      <c r="N6" s="801">
        <f>ROUND(1-(2020-2017)*(1-2%)/70,2)</f>
        <v>0.96</v>
      </c>
      <c r="O6" s="75" t="str">
        <f>IF($N$5="成新度","——",ROUND(M6*N6,0))</f>
        <v>——</v>
      </c>
      <c r="P6" s="76" t="str">
        <f>IF($N$5="成新度","——",M6-O6)</f>
        <v>——</v>
      </c>
      <c r="Q6" s="804">
        <v>0.15</v>
      </c>
      <c r="R6" s="77">
        <f ca="1">SUMIF('数据-汇总表'!C$19:C$33,A6,'数据-汇总表'!R$19:R$27)</f>
        <v>61612.73</v>
      </c>
      <c r="S6" s="54">
        <f>IF('数据-汇总表'!$I$17="按面积比例",SUMIF('数据-汇总表'!C$19:C$33,A6,'数据-汇总表'!K$19:K$33),SUMIF('数据-汇总表'!C$19:C$33,A6,'数据-汇总表'!N$19:N$33))</f>
        <v>0</v>
      </c>
      <c r="T6" s="1443">
        <f>ROUND($L$14*S6/10000,0)</f>
        <v>0</v>
      </c>
      <c r="U6" s="78">
        <v>1.3</v>
      </c>
      <c r="V6" s="79">
        <v>0</v>
      </c>
      <c r="W6" s="79">
        <v>0.1</v>
      </c>
      <c r="X6" s="1261"/>
      <c r="Y6" s="80">
        <f>N6</f>
        <v>0.96</v>
      </c>
      <c r="Z6" s="81"/>
      <c r="AA6" s="74"/>
      <c r="AB6" s="74"/>
      <c r="AC6" s="1261"/>
      <c r="AD6" s="82"/>
      <c r="AE6" s="1262">
        <f ca="1">IF(AN6="",0,SUMIF(INDIRECT("'"&amp;AN6&amp;"'"&amp;"!E:E"),$AE$5,INDIRECT("'"&amp;AN6&amp;"'"&amp;"!F:F")))</f>
        <v>40.630000000000003</v>
      </c>
      <c r="AF6" s="1799"/>
      <c r="AG6" s="147">
        <f>IF(AF6="",0,AE6-AF6)</f>
        <v>0</v>
      </c>
      <c r="AH6" s="83"/>
      <c r="AI6" s="85">
        <v>365</v>
      </c>
      <c r="AJ6" s="86"/>
      <c r="AK6" s="87">
        <v>8.0000000000000002E-3</v>
      </c>
      <c r="AL6" s="88">
        <v>1E-3</v>
      </c>
      <c r="AM6" s="89">
        <v>5.0000000000000001E-3</v>
      </c>
      <c r="AN6" s="2301" t="s">
        <v>3077</v>
      </c>
      <c r="AO6" s="55">
        <f ca="1">SUMIF(INDIRECT("'"&amp;AN6&amp;"'"&amp;"!A:A"),"总价",INDIRECT("'"&amp;AN6&amp;"'"&amp;"!B:B"))</f>
        <v>11604</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5" customFormat="1" ht="14.25">
      <c r="A7" s="2298">
        <f>'数据-汇总表'!C20</f>
        <v>0</v>
      </c>
      <c r="B7" s="2299" t="str">
        <f t="shared" ref="B7:B13" si="2">IF(A7=0,"","经营性")</f>
        <v/>
      </c>
      <c r="C7" s="2300"/>
      <c r="D7" s="1051">
        <f>SUMIF(项目基本情况!D$12:I$12,C7,项目基本情况!D$14:I$14)</f>
        <v>0</v>
      </c>
      <c r="E7" s="1048" t="str">
        <f>IF(B7="","",SUMIF(项目基本情况!D$12:I$12,C7,项目基本情况!D$13:I$13))</f>
        <v/>
      </c>
      <c r="F7" s="72">
        <f>SUMIF(项目基本情况!D$12:I$12,C7,项目基本情况!D$15:I$15)</f>
        <v>0</v>
      </c>
      <c r="G7" s="73">
        <f t="shared" si="0"/>
        <v>0</v>
      </c>
      <c r="H7" s="802"/>
      <c r="I7" s="802"/>
      <c r="J7" s="74"/>
      <c r="K7" s="1251">
        <f>SUMIF('数据-汇总表'!C$19:C$33,A7,'数据-汇总表'!E$19:E$33)</f>
        <v>0</v>
      </c>
      <c r="L7" s="803"/>
      <c r="M7" s="75">
        <f t="shared" si="1"/>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9"/>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5" customFormat="1" ht="14.25">
      <c r="A8" s="2298">
        <f>'数据-汇总表'!C21</f>
        <v>0</v>
      </c>
      <c r="B8" s="2299" t="str">
        <f t="shared" si="2"/>
        <v/>
      </c>
      <c r="C8" s="2300"/>
      <c r="D8" s="1051">
        <f>SUMIF(项目基本情况!D$12:I$12,C8,项目基本情况!D$14:I$14)</f>
        <v>0</v>
      </c>
      <c r="E8" s="1048" t="str">
        <f>IF(B8="","",SUMIF(项目基本情况!D$12:I$12,C8,项目基本情况!D$13:I$13))</f>
        <v/>
      </c>
      <c r="F8" s="72">
        <f>SUMIF(项目基本情况!D$12:I$12,C8,项目基本情况!D$15:I$15)</f>
        <v>0</v>
      </c>
      <c r="G8" s="73">
        <f t="shared" si="0"/>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9"/>
      <c r="AG8" s="147">
        <f t="shared" si="7"/>
        <v>0</v>
      </c>
      <c r="AH8" s="808"/>
      <c r="AI8" s="85"/>
      <c r="AJ8" s="86"/>
      <c r="AK8" s="809"/>
      <c r="AL8" s="810"/>
      <c r="AM8" s="811"/>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5" customFormat="1" ht="14.25">
      <c r="A9" s="2298">
        <f>'数据-汇总表'!C22</f>
        <v>0</v>
      </c>
      <c r="B9" s="2299" t="str">
        <f t="shared" si="2"/>
        <v/>
      </c>
      <c r="C9" s="2300"/>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9"/>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5" customFormat="1" ht="14.25">
      <c r="A10" s="2298">
        <f>'数据-汇总表'!C23</f>
        <v>0</v>
      </c>
      <c r="B10" s="2299" t="str">
        <f t="shared" si="2"/>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9"/>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5" customFormat="1" ht="14.25">
      <c r="A11" s="2298">
        <f>'数据-汇总表'!C24</f>
        <v>0</v>
      </c>
      <c r="B11" s="2299" t="str">
        <f t="shared" si="2"/>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9"/>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5" customFormat="1" ht="14.25">
      <c r="A12" s="2298">
        <f>'数据-汇总表'!C25</f>
        <v>0</v>
      </c>
      <c r="B12" s="2299" t="str">
        <f t="shared" si="2"/>
        <v/>
      </c>
      <c r="C12" s="2300"/>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9"/>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5" customFormat="1" ht="14.25">
      <c r="A13" s="2298">
        <f>'数据-汇总表'!C26</f>
        <v>0</v>
      </c>
      <c r="B13" s="2299" t="str">
        <f t="shared" si="2"/>
        <v/>
      </c>
      <c r="C13" s="2300"/>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9"/>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5" customFormat="1" ht="14.25">
      <c r="A14" s="2303" t="s">
        <v>2009</v>
      </c>
      <c r="B14" s="2299" t="s">
        <v>2010</v>
      </c>
      <c r="C14" s="2304" t="s">
        <v>2009</v>
      </c>
      <c r="D14" s="1051"/>
      <c r="E14" s="1048"/>
      <c r="F14" s="72"/>
      <c r="G14" s="73"/>
      <c r="H14" s="1250"/>
      <c r="I14" s="1250"/>
      <c r="J14" s="1250"/>
      <c r="K14" s="1251">
        <f>SUMIF('数据-汇总表'!C$19:C$33,A14,'数据-汇总表'!E$19:E$33)</f>
        <v>0</v>
      </c>
      <c r="L14" s="91"/>
      <c r="M14" s="75">
        <f t="shared" si="1"/>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0"/>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5" customFormat="1" ht="27">
      <c r="A15" s="2303" t="s">
        <v>2011</v>
      </c>
      <c r="B15" s="2299" t="s">
        <v>2010</v>
      </c>
      <c r="C15" s="2304"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0"/>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5" customFormat="1" ht="15.75" thickBot="1">
      <c r="A16" s="2305" t="s">
        <v>2013</v>
      </c>
      <c r="B16" s="97"/>
      <c r="C16" s="1005"/>
      <c r="D16" s="2306"/>
      <c r="E16" s="97"/>
      <c r="F16" s="97"/>
      <c r="G16" s="98">
        <f ca="1">ROUND(SUMPRODUCT(G6:G13,K6:K13)/SUMPRODUCT((G6:G13&gt;0)*(K6:K13)),3)</f>
        <v>0.94099999999999995</v>
      </c>
      <c r="H16" s="99">
        <f ca="1">ROUND(SUMPRODUCT(H6:H13,K6:K13)/SUMPRODUCT((H6:H13&gt;0)*(K6:K13)),3)</f>
        <v>4.8000000000000001E-2</v>
      </c>
      <c r="I16" s="100"/>
      <c r="J16" s="100"/>
      <c r="K16" s="101">
        <f>SUM(K6:K15)</f>
        <v>23014.799999999999</v>
      </c>
      <c r="L16" s="102">
        <f>ROUND(M16*10000/SUM(K6:K14),0)</f>
        <v>2700</v>
      </c>
      <c r="M16" s="102">
        <f>SUM(M6:M14)</f>
        <v>6214</v>
      </c>
      <c r="N16" s="103">
        <f>ROUND(SUMPRODUCT(M6:M14,N6:N14)/M16,3)</f>
        <v>0.96</v>
      </c>
      <c r="O16" s="102">
        <f>SUM(O6:O14)</f>
        <v>0</v>
      </c>
      <c r="P16" s="102">
        <f>SUM(P6:P14)</f>
        <v>0</v>
      </c>
      <c r="Q16" s="104">
        <f>ROUND(SUMPRODUCT(Q6:Q13,K6:K13)/SUMPRODUCT((Q6:Q13&gt;0)*(K6:K13)),2)</f>
        <v>0.15</v>
      </c>
      <c r="R16" s="1255">
        <f ca="1">SUM(R6:R13)</f>
        <v>61612.73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76"/>
      <c r="D17" s="2265"/>
      <c r="E17" s="2265"/>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2014</v>
      </c>
      <c r="B18" s="2272"/>
      <c r="C18" s="2269"/>
      <c r="D18" s="2270"/>
      <c r="E18" s="2269"/>
      <c r="F18" s="2269"/>
      <c r="G18" s="2269"/>
      <c r="H18" s="2269"/>
      <c r="I18" s="2269"/>
      <c r="J18" s="2269"/>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8" t="s">
        <v>2015</v>
      </c>
      <c r="B19" s="112">
        <v>0</v>
      </c>
      <c r="C19" s="2269" t="s">
        <v>2016</v>
      </c>
      <c r="D19" s="2270"/>
      <c r="E19" s="2269"/>
      <c r="F19" s="2269"/>
      <c r="G19" s="2269"/>
      <c r="H19" s="2269"/>
      <c r="I19" s="2269"/>
      <c r="J19" s="2269"/>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9" t="s">
        <v>2017</v>
      </c>
      <c r="B20" s="113">
        <v>2</v>
      </c>
      <c r="C20" s="2269" t="s">
        <v>2018</v>
      </c>
      <c r="D20" s="2270"/>
      <c r="E20" s="2269"/>
      <c r="F20" s="2269"/>
      <c r="G20" s="2269"/>
      <c r="H20" s="2269"/>
      <c r="I20" s="2269"/>
      <c r="J20" s="2269"/>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0" t="s">
        <v>2019</v>
      </c>
      <c r="B21" s="113">
        <v>2</v>
      </c>
      <c r="C21" s="2269"/>
      <c r="D21" s="2270"/>
      <c r="E21" s="2269"/>
      <c r="F21" s="2269"/>
      <c r="G21" s="2269"/>
      <c r="H21" s="2269"/>
      <c r="I21" s="2269"/>
      <c r="J21" s="2269"/>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9" t="s">
        <v>2020</v>
      </c>
      <c r="B22" s="114">
        <f>B19+B20</f>
        <v>2</v>
      </c>
      <c r="C22" s="2269"/>
      <c r="D22" s="2270"/>
      <c r="E22" s="2269"/>
      <c r="F22" s="2269"/>
      <c r="G22" s="2269"/>
      <c r="H22" s="2269"/>
      <c r="I22" s="2269"/>
      <c r="J22" s="2269"/>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0" t="s">
        <v>2021</v>
      </c>
      <c r="B23" s="114">
        <f>B19+B21</f>
        <v>2</v>
      </c>
      <c r="C23" s="2269"/>
      <c r="D23" s="2270"/>
      <c r="E23" s="2269"/>
      <c r="F23" s="2269"/>
      <c r="G23" s="2269"/>
      <c r="H23" s="2269"/>
      <c r="I23" s="2269"/>
      <c r="J23" s="2269"/>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1" t="s">
        <v>2022</v>
      </c>
      <c r="B24" s="115">
        <f>B20-B21</f>
        <v>0</v>
      </c>
      <c r="C24" s="2269"/>
      <c r="D24" s="2270"/>
      <c r="E24" s="2269"/>
      <c r="F24" s="2269"/>
      <c r="G24" s="2269"/>
      <c r="H24" s="2269"/>
      <c r="I24" s="2269"/>
      <c r="J24" s="2269"/>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3"/>
      <c r="B25" s="2272"/>
      <c r="C25" s="2269"/>
      <c r="D25" s="2270"/>
      <c r="E25" s="2269"/>
      <c r="F25" s="2269"/>
      <c r="G25" s="2269"/>
      <c r="H25" s="2269"/>
      <c r="I25" s="2269"/>
      <c r="J25" s="2269"/>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8" t="s">
        <v>2023</v>
      </c>
      <c r="B26" s="2312" t="s">
        <v>2024</v>
      </c>
      <c r="C26" s="2313" t="s">
        <v>2025</v>
      </c>
      <c r="D26" s="2270"/>
      <c r="E26" s="2269"/>
      <c r="F26" s="2269"/>
      <c r="G26" s="2269"/>
      <c r="H26" s="2269"/>
      <c r="I26" s="2269"/>
      <c r="J26" s="2269"/>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6" customFormat="1" ht="27.75">
      <c r="A27" s="2314" t="s">
        <v>2026</v>
      </c>
      <c r="B27" s="116"/>
      <c r="C27" s="1759" t="s">
        <v>2027</v>
      </c>
      <c r="D27" s="2315"/>
      <c r="E27" s="1427"/>
      <c r="F27" s="1427"/>
      <c r="G27" s="2269"/>
      <c r="H27" s="2269"/>
      <c r="I27" s="2269"/>
      <c r="J27" s="2269"/>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2028</v>
      </c>
      <c r="B28" s="119"/>
      <c r="C28" s="2318"/>
      <c r="D28" s="2315"/>
      <c r="E28" s="1427"/>
      <c r="F28" s="1427"/>
      <c r="G28" s="2269"/>
      <c r="H28" s="2269"/>
      <c r="I28" s="2269"/>
      <c r="J28" s="2269"/>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2029</v>
      </c>
      <c r="B29" s="121"/>
      <c r="C29" s="1759" t="s">
        <v>2030</v>
      </c>
      <c r="D29" s="2315"/>
      <c r="E29" s="1427"/>
      <c r="F29" s="1427"/>
      <c r="G29" s="2269"/>
      <c r="H29" s="2269"/>
      <c r="I29" s="2269"/>
      <c r="J29" s="2269"/>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2031</v>
      </c>
      <c r="B30" s="724">
        <v>200</v>
      </c>
      <c r="C30" s="2318"/>
      <c r="D30" s="2315"/>
      <c r="E30" s="1427"/>
      <c r="F30" s="1427"/>
      <c r="G30" s="2269"/>
      <c r="H30" s="2269"/>
      <c r="I30" s="2269"/>
      <c r="J30" s="2269"/>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2032</v>
      </c>
      <c r="B31" s="120">
        <f>B30-B32</f>
        <v>200</v>
      </c>
      <c r="C31" s="1759"/>
      <c r="D31" s="2315"/>
      <c r="E31" s="1427"/>
      <c r="F31" s="1427"/>
      <c r="G31" s="2269"/>
      <c r="H31" s="2269"/>
      <c r="I31" s="2269"/>
      <c r="J31" s="2269"/>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2033</v>
      </c>
      <c r="B32" s="725">
        <v>0</v>
      </c>
      <c r="C32" s="2318"/>
      <c r="D32" s="2270"/>
      <c r="E32" s="2269"/>
      <c r="F32" s="2269"/>
      <c r="G32" s="2269"/>
      <c r="H32" s="2269"/>
      <c r="I32" s="2269"/>
      <c r="J32" s="2269"/>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2034</v>
      </c>
      <c r="B33" s="726">
        <v>0.05</v>
      </c>
      <c r="C33" s="1758" t="s">
        <v>2035</v>
      </c>
      <c r="D33" s="2270"/>
      <c r="E33" s="2269"/>
      <c r="F33" s="2269"/>
      <c r="G33" s="2269"/>
      <c r="H33" s="2269"/>
      <c r="I33" s="2269"/>
      <c r="J33" s="2269"/>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2036</v>
      </c>
      <c r="B34" s="122"/>
      <c r="C34" s="1758" t="s">
        <v>2037</v>
      </c>
      <c r="D34" s="2270" t="s">
        <v>2038</v>
      </c>
      <c r="E34" s="732"/>
      <c r="F34" s="2269"/>
      <c r="G34" s="2269"/>
      <c r="H34" s="2269"/>
      <c r="I34" s="2269"/>
      <c r="J34" s="2269"/>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2039</v>
      </c>
      <c r="B35" s="119">
        <v>200</v>
      </c>
      <c r="C35" s="1758" t="s">
        <v>2040</v>
      </c>
      <c r="D35" s="2315"/>
      <c r="E35" s="1427"/>
      <c r="F35" s="1427"/>
      <c r="G35" s="2269"/>
      <c r="H35" s="2269"/>
      <c r="I35" s="2269"/>
      <c r="J35" s="2269"/>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2041</v>
      </c>
      <c r="B36" s="123">
        <v>1.4999999999999999E-2</v>
      </c>
      <c r="C36" s="1758" t="s">
        <v>2042</v>
      </c>
      <c r="D36" s="2270"/>
      <c r="E36" s="2269"/>
      <c r="F36" s="2269"/>
      <c r="G36" s="2269"/>
      <c r="H36" s="2269"/>
      <c r="I36" s="2269"/>
      <c r="J36" s="2269"/>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0" t="s">
        <v>2043</v>
      </c>
      <c r="B37" s="124">
        <v>0.03</v>
      </c>
      <c r="C37" s="1758" t="s">
        <v>2044</v>
      </c>
      <c r="D37" s="2270"/>
      <c r="E37" s="2269"/>
      <c r="F37" s="2269"/>
      <c r="G37" s="2269"/>
      <c r="H37" s="2269"/>
      <c r="I37" s="2269"/>
      <c r="J37" s="2269"/>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7" t="s">
        <v>2045</v>
      </c>
      <c r="B38" s="122">
        <v>0.03</v>
      </c>
      <c r="C38" s="1758" t="s">
        <v>2044</v>
      </c>
      <c r="D38" s="2270"/>
      <c r="E38" s="2269"/>
      <c r="F38" s="2269"/>
      <c r="G38" s="2269"/>
      <c r="H38" s="2269"/>
      <c r="I38" s="2269"/>
      <c r="J38" s="2269"/>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1" t="s">
        <v>2046</v>
      </c>
      <c r="B39" s="362">
        <f ca="1">存贷款利率!I1</f>
        <v>1.4999999999999999E-2</v>
      </c>
      <c r="C39" s="1758"/>
      <c r="D39" s="2270"/>
      <c r="E39" s="2269"/>
      <c r="F39" s="2269"/>
      <c r="G39" s="2269"/>
      <c r="H39" s="2269"/>
      <c r="I39" s="2269"/>
      <c r="J39" s="2269"/>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1" t="s">
        <v>2047</v>
      </c>
      <c r="B40" s="1300">
        <f ca="1">存贷款利率!G1</f>
        <v>4.7500000000000001E-2</v>
      </c>
      <c r="C40" s="1758" t="s">
        <v>2048</v>
      </c>
      <c r="D40" s="1576"/>
      <c r="E40" s="2270"/>
      <c r="F40" s="2269"/>
      <c r="G40" s="2269"/>
      <c r="H40" s="2269"/>
      <c r="I40" s="2269"/>
      <c r="J40" s="2269"/>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4" t="s">
        <v>2049</v>
      </c>
      <c r="B41" s="125">
        <f>B42+B43</f>
        <v>5.5000000000000007E-2</v>
      </c>
      <c r="C41" s="1759"/>
      <c r="D41" s="1576"/>
      <c r="E41" s="2270"/>
      <c r="F41" s="2269"/>
      <c r="G41" s="2269"/>
      <c r="H41" s="2269"/>
      <c r="I41" s="2269"/>
      <c r="J41" s="2269"/>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2" t="s">
        <v>2050</v>
      </c>
      <c r="B42" s="126">
        <v>0.05</v>
      </c>
      <c r="C42" s="2323">
        <f>IF(B2&lt;DATE(2016,5,1),0,B42)</f>
        <v>0.05</v>
      </c>
      <c r="D42" s="2270"/>
      <c r="E42" s="2269"/>
      <c r="F42" s="2269"/>
      <c r="G42" s="2269"/>
      <c r="H42" s="2269"/>
      <c r="I42" s="2269"/>
      <c r="J42" s="2269"/>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2" t="s">
        <v>2051</v>
      </c>
      <c r="B43" s="127">
        <f>B42*(B44+B45+B46)+B47</f>
        <v>5.000000000000001E-3</v>
      </c>
      <c r="C43" s="1759"/>
      <c r="D43" s="2270"/>
      <c r="E43" s="2269"/>
      <c r="F43" s="2269"/>
      <c r="G43" s="2269"/>
      <c r="H43" s="2269"/>
      <c r="I43" s="2269"/>
      <c r="J43" s="2269"/>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4" t="s">
        <v>2052</v>
      </c>
      <c r="B44" s="128">
        <v>0.05</v>
      </c>
      <c r="C44" s="1758" t="s">
        <v>2053</v>
      </c>
      <c r="D44" s="2270"/>
      <c r="E44" s="2269"/>
      <c r="F44" s="2269"/>
      <c r="G44" s="2269"/>
      <c r="H44" s="2269"/>
      <c r="I44" s="2269"/>
      <c r="J44" s="2269"/>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4" t="s">
        <v>2054</v>
      </c>
      <c r="B45" s="126">
        <v>0.03</v>
      </c>
      <c r="C45" s="1759" t="s">
        <v>2055</v>
      </c>
      <c r="D45" s="2270"/>
      <c r="E45" s="2269"/>
      <c r="F45" s="2269"/>
      <c r="G45" s="2269"/>
      <c r="H45" s="2269"/>
      <c r="I45" s="2269"/>
      <c r="J45" s="2269"/>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4" t="s">
        <v>2056</v>
      </c>
      <c r="B46" s="126">
        <v>0.02</v>
      </c>
      <c r="C46" s="1759" t="s">
        <v>2057</v>
      </c>
      <c r="D46" s="2270"/>
      <c r="E46" s="2269"/>
      <c r="F46" s="2269"/>
      <c r="G46" s="2269"/>
      <c r="H46" s="2269"/>
      <c r="I46" s="2269"/>
      <c r="J46" s="2269"/>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5" t="s">
        <v>2058</v>
      </c>
      <c r="B47" s="129"/>
      <c r="C47" s="1759" t="s">
        <v>2059</v>
      </c>
      <c r="D47" s="2270"/>
      <c r="E47" s="2269"/>
      <c r="F47" s="2269"/>
      <c r="G47" s="2269"/>
      <c r="H47" s="2269"/>
      <c r="I47" s="2269"/>
      <c r="J47" s="2269"/>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6" t="s">
        <v>2060</v>
      </c>
      <c r="B48" s="130">
        <v>0.03</v>
      </c>
      <c r="C48" s="1766" t="s">
        <v>2061</v>
      </c>
      <c r="D48" s="2270"/>
      <c r="E48" s="2269"/>
      <c r="F48" s="2269"/>
      <c r="G48" s="2269"/>
      <c r="H48" s="2269"/>
      <c r="I48" s="2269"/>
      <c r="J48" s="2269"/>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1" t="s">
        <v>2062</v>
      </c>
      <c r="B49" s="126">
        <v>5.0000000000000001E-4</v>
      </c>
      <c r="C49" s="1766" t="s">
        <v>2063</v>
      </c>
      <c r="D49" s="2270"/>
      <c r="E49" s="2269"/>
      <c r="F49" s="2269"/>
      <c r="G49" s="2269"/>
      <c r="H49" s="2269"/>
      <c r="I49" s="2269"/>
      <c r="J49" s="2269"/>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7" t="s">
        <v>2064</v>
      </c>
      <c r="B50" s="131">
        <v>1.2E-2</v>
      </c>
      <c r="C50" s="1427"/>
      <c r="D50" s="2270"/>
      <c r="E50" s="2269"/>
      <c r="F50" s="2269"/>
      <c r="G50" s="2269"/>
      <c r="H50" s="2269"/>
      <c r="I50" s="2269"/>
      <c r="J50" s="2269"/>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9" t="s">
        <v>2065</v>
      </c>
      <c r="B51" s="132">
        <v>0.12</v>
      </c>
      <c r="C51" s="1427"/>
      <c r="D51" s="2270"/>
      <c r="E51" s="2269"/>
      <c r="F51" s="2269"/>
      <c r="G51" s="2269"/>
      <c r="H51" s="2269"/>
      <c r="I51" s="2269"/>
      <c r="J51" s="2269"/>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7" t="s">
        <v>2066</v>
      </c>
      <c r="B52" s="133">
        <f>SUMIF(A54:A63,B53,B54:B63)</f>
        <v>1.5</v>
      </c>
      <c r="C52" s="1427"/>
      <c r="D52" s="2270"/>
      <c r="E52" s="2269"/>
      <c r="F52" s="2269"/>
      <c r="G52" s="2269"/>
      <c r="H52" s="2269"/>
      <c r="I52" s="2269"/>
      <c r="J52" s="2269"/>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7" t="s">
        <v>2067</v>
      </c>
      <c r="B53" s="2328" t="s">
        <v>56</v>
      </c>
      <c r="C53" s="1427" t="s">
        <v>2068</v>
      </c>
      <c r="D53" s="2329" t="s">
        <v>2069</v>
      </c>
      <c r="E53" s="2269"/>
      <c r="F53" s="2269"/>
      <c r="G53" s="2269"/>
      <c r="H53" s="2269"/>
      <c r="I53" s="2269"/>
      <c r="J53" s="2269"/>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0" t="s">
        <v>2070</v>
      </c>
      <c r="B54" s="84"/>
      <c r="C54" s="1427">
        <v>30</v>
      </c>
      <c r="D54" s="2270"/>
      <c r="E54" s="2269"/>
      <c r="F54" s="2269"/>
      <c r="G54" s="2269"/>
      <c r="H54" s="2269"/>
      <c r="I54" s="2269"/>
      <c r="J54" s="2269"/>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0" t="s">
        <v>2071</v>
      </c>
      <c r="B55" s="84"/>
      <c r="C55" s="1427">
        <v>24</v>
      </c>
      <c r="D55" s="2270"/>
      <c r="E55" s="2269"/>
      <c r="F55" s="2269"/>
      <c r="G55" s="2269"/>
      <c r="H55" s="2269"/>
      <c r="I55" s="2331"/>
      <c r="J55" s="2269"/>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0" t="s">
        <v>2072</v>
      </c>
      <c r="B56" s="84"/>
      <c r="C56" s="1427">
        <v>18</v>
      </c>
      <c r="D56" s="2270"/>
      <c r="E56" s="2269"/>
      <c r="F56" s="2269"/>
      <c r="G56" s="2269"/>
      <c r="H56" s="2269"/>
      <c r="I56" s="2269"/>
      <c r="J56" s="2269"/>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0" t="s">
        <v>2073</v>
      </c>
      <c r="B57" s="84"/>
      <c r="C57" s="1427">
        <v>12</v>
      </c>
      <c r="D57" s="2270"/>
      <c r="E57" s="2269"/>
      <c r="F57" s="2269"/>
      <c r="G57" s="2269"/>
      <c r="H57" s="2269"/>
      <c r="I57" s="2269"/>
      <c r="J57" s="2269"/>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0" t="s">
        <v>2074</v>
      </c>
      <c r="B58" s="84"/>
      <c r="C58" s="1427">
        <v>3</v>
      </c>
      <c r="D58" s="2270"/>
      <c r="E58" s="2269"/>
      <c r="F58" s="2269"/>
      <c r="G58" s="2269"/>
      <c r="H58" s="2269"/>
      <c r="I58" s="2269"/>
      <c r="J58" s="2269"/>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0" t="s">
        <v>2075</v>
      </c>
      <c r="B59" s="84">
        <v>1.5</v>
      </c>
      <c r="C59" s="1427">
        <v>1.5</v>
      </c>
      <c r="D59" s="2270"/>
      <c r="E59" s="2269"/>
      <c r="F59" s="2269"/>
      <c r="G59" s="2269"/>
      <c r="H59" s="2269"/>
      <c r="I59" s="2269"/>
      <c r="J59" s="2269"/>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0" t="s">
        <v>2076</v>
      </c>
      <c r="B60" s="84"/>
      <c r="C60" s="2269"/>
      <c r="D60" s="2270"/>
      <c r="E60" s="2269"/>
      <c r="F60" s="2269"/>
      <c r="G60" s="2269"/>
      <c r="H60" s="2269"/>
      <c r="I60" s="2269"/>
      <c r="J60" s="2269"/>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0" t="s">
        <v>2077</v>
      </c>
      <c r="B61" s="84"/>
      <c r="C61" s="2269"/>
      <c r="D61" s="2270"/>
      <c r="E61" s="2269"/>
      <c r="F61" s="2269"/>
      <c r="G61" s="2269"/>
      <c r="H61" s="2269"/>
      <c r="I61" s="2269"/>
      <c r="J61" s="2269"/>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0" t="s">
        <v>2078</v>
      </c>
      <c r="B62" s="84"/>
      <c r="C62" s="2269"/>
      <c r="D62" s="2270"/>
      <c r="E62" s="2269"/>
      <c r="F62" s="2269"/>
      <c r="G62" s="2269"/>
      <c r="H62" s="2269"/>
      <c r="I62" s="2269"/>
      <c r="J62" s="2269"/>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2" t="s">
        <v>2079</v>
      </c>
      <c r="B63" s="134"/>
      <c r="C63" s="2269"/>
      <c r="D63" s="2270"/>
      <c r="E63" s="2269"/>
      <c r="F63" s="2269"/>
      <c r="G63" s="2269"/>
      <c r="H63" s="2269"/>
      <c r="I63" s="2269"/>
      <c r="J63" s="2269"/>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057" t="s">
        <v>2080</v>
      </c>
      <c r="B1" s="3058"/>
      <c r="C1" s="3058"/>
      <c r="D1" s="3058"/>
      <c r="E1" s="3058"/>
      <c r="F1" s="3058"/>
      <c r="G1" s="3058"/>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2081</v>
      </c>
      <c r="D2" s="2358"/>
      <c r="E2" s="2359"/>
      <c r="F2" s="2278"/>
      <c r="G2" s="2357" t="s">
        <v>2082</v>
      </c>
      <c r="H2" s="2360"/>
      <c r="I2" s="2360"/>
      <c r="J2" s="2360"/>
      <c r="K2" s="2360"/>
      <c r="L2" s="2360"/>
      <c r="M2" s="2360"/>
      <c r="N2" s="2360"/>
      <c r="O2" s="2360"/>
      <c r="P2" s="2360"/>
      <c r="Q2" s="2360"/>
      <c r="R2" s="2360"/>
    </row>
    <row r="3" spans="1:29" ht="54">
      <c r="A3" s="415" t="s">
        <v>2083</v>
      </c>
      <c r="B3" s="1268" t="s">
        <v>2084</v>
      </c>
      <c r="C3" s="2362" t="s">
        <v>2085</v>
      </c>
      <c r="D3" s="2363"/>
      <c r="E3" s="431" t="s">
        <v>2083</v>
      </c>
      <c r="F3" s="2364" t="s">
        <v>2086</v>
      </c>
      <c r="G3" s="2365" t="s">
        <v>2087</v>
      </c>
      <c r="H3" s="2360"/>
      <c r="I3" s="2360"/>
      <c r="J3" s="2360"/>
      <c r="K3" s="2360"/>
      <c r="L3" s="2360"/>
      <c r="M3" s="2360"/>
      <c r="N3" s="2360"/>
      <c r="O3" s="2360"/>
      <c r="P3" s="2360"/>
      <c r="Q3" s="2360"/>
      <c r="R3" s="2360"/>
    </row>
    <row r="4" spans="1:29" ht="41.25">
      <c r="A4" s="431"/>
      <c r="B4" s="1790" t="s">
        <v>2088</v>
      </c>
      <c r="C4" s="2366" t="s">
        <v>2089</v>
      </c>
      <c r="D4" s="2363"/>
      <c r="E4" s="2367"/>
      <c r="F4" s="42" t="s">
        <v>2090</v>
      </c>
      <c r="G4" s="2368" t="s">
        <v>2091</v>
      </c>
      <c r="H4" s="2360"/>
      <c r="I4" s="2360"/>
      <c r="J4" s="2360"/>
      <c r="K4" s="2360"/>
      <c r="L4" s="2360"/>
      <c r="M4" s="2360"/>
      <c r="N4" s="2360"/>
      <c r="O4" s="2360"/>
      <c r="P4" s="2360"/>
      <c r="Q4" s="2360"/>
      <c r="R4" s="2360"/>
    </row>
    <row r="5" spans="1:29" ht="41.25">
      <c r="A5" s="431"/>
      <c r="B5" s="1790" t="s">
        <v>2092</v>
      </c>
      <c r="C5" s="2366" t="s">
        <v>2093</v>
      </c>
      <c r="D5" s="2363"/>
      <c r="E5" s="2367"/>
      <c r="F5" s="1790" t="s">
        <v>2094</v>
      </c>
      <c r="G5" s="2368" t="s">
        <v>2095</v>
      </c>
      <c r="H5" s="2360"/>
      <c r="I5" s="2360"/>
      <c r="J5" s="2360"/>
      <c r="K5" s="2360"/>
      <c r="L5" s="2360"/>
      <c r="M5" s="2360"/>
      <c r="N5" s="2360"/>
      <c r="O5" s="2360"/>
      <c r="P5" s="2360"/>
      <c r="Q5" s="2360"/>
      <c r="R5" s="2360"/>
    </row>
    <row r="6" spans="1:29" ht="54">
      <c r="A6" s="431"/>
      <c r="B6" s="1790" t="s">
        <v>2096</v>
      </c>
      <c r="C6" s="2368" t="s">
        <v>2091</v>
      </c>
      <c r="D6" s="2363"/>
      <c r="E6" s="2367"/>
      <c r="F6" s="1790" t="s">
        <v>2097</v>
      </c>
      <c r="G6" s="2368" t="s">
        <v>2098</v>
      </c>
      <c r="H6" s="2360"/>
      <c r="I6" s="2360"/>
      <c r="J6" s="2360"/>
      <c r="K6" s="2360"/>
      <c r="L6" s="2360"/>
      <c r="M6" s="2360"/>
      <c r="N6" s="2360"/>
      <c r="O6" s="2360"/>
      <c r="P6" s="2360"/>
      <c r="Q6" s="2360"/>
      <c r="R6" s="2360"/>
    </row>
    <row r="7" spans="1:29" ht="41.25" thickBot="1">
      <c r="A7" s="431"/>
      <c r="B7" s="1790" t="s">
        <v>2094</v>
      </c>
      <c r="C7" s="2368" t="s">
        <v>2095</v>
      </c>
      <c r="D7" s="2369"/>
      <c r="E7" s="2370"/>
      <c r="F7" s="2371" t="s">
        <v>2099</v>
      </c>
      <c r="G7" s="2372" t="s">
        <v>2100</v>
      </c>
      <c r="H7" s="2360"/>
      <c r="I7" s="2360"/>
      <c r="J7" s="2360"/>
      <c r="K7" s="2360"/>
      <c r="L7" s="2360"/>
      <c r="M7" s="2360"/>
      <c r="N7" s="2360"/>
      <c r="O7" s="2360"/>
      <c r="P7" s="2360"/>
      <c r="Q7" s="2360"/>
      <c r="R7" s="2360"/>
    </row>
    <row r="8" spans="1:29" ht="27">
      <c r="A8" s="431"/>
      <c r="B8" s="1790" t="s">
        <v>2097</v>
      </c>
      <c r="C8" s="2368" t="s">
        <v>2098</v>
      </c>
      <c r="D8" s="2369"/>
      <c r="E8" s="2369"/>
      <c r="F8" s="1133"/>
      <c r="G8" s="1133"/>
      <c r="H8" s="2360"/>
      <c r="I8" s="2360"/>
      <c r="J8" s="2360"/>
      <c r="K8" s="2360"/>
      <c r="L8" s="2360"/>
      <c r="M8" s="2360"/>
      <c r="N8" s="2360"/>
      <c r="O8" s="2360"/>
      <c r="P8" s="2360"/>
      <c r="Q8" s="2360"/>
      <c r="R8" s="2360"/>
    </row>
    <row r="9" spans="1:29" ht="27">
      <c r="A9" s="431"/>
      <c r="B9" s="1790" t="s">
        <v>2101</v>
      </c>
      <c r="C9" s="2366" t="s">
        <v>2102</v>
      </c>
      <c r="D9" s="2363"/>
      <c r="E9" s="2369"/>
      <c r="F9" s="1133"/>
      <c r="G9" s="1133"/>
      <c r="H9" s="2360"/>
      <c r="I9" s="2360"/>
      <c r="J9" s="2360"/>
      <c r="K9" s="2360"/>
      <c r="L9" s="2360"/>
      <c r="M9" s="2360"/>
      <c r="N9" s="2360"/>
      <c r="O9" s="2360"/>
      <c r="P9" s="2360"/>
      <c r="Q9" s="2360"/>
      <c r="R9" s="2360"/>
    </row>
    <row r="10" spans="1:29" s="117" customFormat="1" ht="15.75" thickBot="1">
      <c r="A10" s="2373"/>
      <c r="B10" s="2374" t="s">
        <v>2103</v>
      </c>
      <c r="C10" s="2375"/>
      <c r="D10" s="2363"/>
      <c r="E10" s="2363"/>
      <c r="F10" s="1133"/>
      <c r="G10" s="1133"/>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51"/>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51"/>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2104</v>
      </c>
      <c r="B13" s="2380"/>
      <c r="C13" s="2380"/>
      <c r="D13" s="2387"/>
      <c r="E13" s="2380"/>
      <c r="F13" s="2380"/>
      <c r="G13" s="2380"/>
    </row>
    <row r="14" spans="1:29" ht="15.75" thickBot="1">
      <c r="A14" s="2391"/>
      <c r="B14" s="2392"/>
      <c r="C14" s="2393" t="s">
        <v>2105</v>
      </c>
      <c r="D14" s="2363"/>
      <c r="E14" s="2394"/>
      <c r="F14" s="2394"/>
      <c r="G14" s="2357" t="s">
        <v>2106</v>
      </c>
    </row>
    <row r="15" spans="1:29" ht="57">
      <c r="A15" s="68" t="s">
        <v>2107</v>
      </c>
      <c r="B15" s="1267" t="s">
        <v>2084</v>
      </c>
      <c r="C15" s="2395" t="str">
        <f>C3</f>
        <v>估价对象周边居住用地比例、居住小区规模和社区发展完善程度，综合评价居住社区成熟度一般</v>
      </c>
      <c r="D15" s="2363"/>
      <c r="E15" s="2396" t="s">
        <v>2108</v>
      </c>
      <c r="F15" s="1267" t="s">
        <v>2109</v>
      </c>
      <c r="G15" s="135" t="str">
        <f>G3</f>
        <v>估价对象位于XX开发区，园区建设成熟度XX，产业集聚程度XX</v>
      </c>
    </row>
    <row r="16" spans="1:29" ht="42.75">
      <c r="A16" s="645"/>
      <c r="B16" s="2397" t="s">
        <v>2088</v>
      </c>
      <c r="C16" s="2398" t="str">
        <f>C4</f>
        <v>估价对象位于XX商圈，周边商业氛围成熟，人流量大，商业繁华度好</v>
      </c>
      <c r="D16" s="2363"/>
      <c r="E16" s="2399"/>
      <c r="F16" s="2400" t="s">
        <v>2090</v>
      </c>
      <c r="G16" s="136" t="str">
        <f>G4</f>
        <v>估价对象周边道路状况、公共交通通达情况、停车便捷程度，综合评价交通便捷度较好</v>
      </c>
    </row>
    <row r="17" spans="1:18" ht="42.75">
      <c r="A17" s="645"/>
      <c r="B17" s="2397" t="s">
        <v>2092</v>
      </c>
      <c r="C17" s="2398" t="str">
        <f>C5</f>
        <v>估价对象位于XX商圈，周边办公楼项目较多，入驻率高，办公集聚程度较好</v>
      </c>
      <c r="D17" s="2369"/>
      <c r="E17" s="2399"/>
      <c r="F17" s="2400" t="s">
        <v>2110</v>
      </c>
      <c r="G17" s="1564"/>
    </row>
    <row r="18" spans="1:18" ht="57">
      <c r="A18" s="645"/>
      <c r="B18" s="2400" t="s">
        <v>2096</v>
      </c>
      <c r="C18" s="136" t="str">
        <f>C6</f>
        <v>估价对象周边道路状况、公共交通通达情况、停车便捷程度，综合评价交通便捷度较好</v>
      </c>
      <c r="D18" s="2369"/>
      <c r="E18" s="2399"/>
      <c r="F18" s="2400" t="s">
        <v>2099</v>
      </c>
      <c r="G18" s="136" t="str">
        <f>G7</f>
        <v>该园区内是否有污染型企业，绿化情况，卫生条件，整体环境状况判断</v>
      </c>
    </row>
    <row r="19" spans="1:18" ht="28.5">
      <c r="A19" s="645"/>
      <c r="B19" s="2400" t="s">
        <v>2111</v>
      </c>
      <c r="C19" s="1564"/>
      <c r="D19" s="2363"/>
      <c r="E19" s="2399"/>
      <c r="F19" s="1790" t="s">
        <v>2094</v>
      </c>
      <c r="G19" s="136" t="str">
        <f>G5</f>
        <v>估价对象所在区域公共配套设施齐备情况</v>
      </c>
    </row>
    <row r="20" spans="1:18" ht="28.5">
      <c r="A20" s="645"/>
      <c r="B20" s="2400" t="s">
        <v>2112</v>
      </c>
      <c r="C20" s="2398" t="str">
        <f>C9</f>
        <v>区域自然环境：；人文环境；综合评价环境状况一般</v>
      </c>
      <c r="D20" s="2369"/>
      <c r="E20" s="2399"/>
      <c r="F20" s="1790" t="s">
        <v>2113</v>
      </c>
      <c r="G20" s="136" t="str">
        <f>G6</f>
        <v>估价对象所在区域基础设施水平</v>
      </c>
    </row>
    <row r="21" spans="1:18" ht="28.5">
      <c r="A21" s="645"/>
      <c r="B21" s="1790" t="s">
        <v>2094</v>
      </c>
      <c r="C21" s="136" t="str">
        <f>C7</f>
        <v>估价对象所在区域公共配套设施齐备情况</v>
      </c>
      <c r="D21" s="2363"/>
      <c r="E21" s="2399"/>
      <c r="F21" s="2400" t="s">
        <v>2114</v>
      </c>
      <c r="G21" s="2401"/>
    </row>
    <row r="22" spans="1:18" ht="13.5" customHeight="1">
      <c r="A22" s="645"/>
      <c r="B22" s="1790" t="s">
        <v>2097</v>
      </c>
      <c r="C22" s="136" t="str">
        <f>C8</f>
        <v>估价对象所在区域基础设施水平</v>
      </c>
      <c r="D22" s="2363"/>
      <c r="E22" s="2399"/>
      <c r="F22" s="2400" t="s">
        <v>2103</v>
      </c>
      <c r="G22" s="1564"/>
    </row>
    <row r="23" spans="1:18" s="2360" customFormat="1" ht="15.75" thickBot="1">
      <c r="A23" s="645"/>
      <c r="B23" s="2400" t="s">
        <v>2114</v>
      </c>
      <c r="C23" s="2401"/>
      <c r="D23" s="2388"/>
      <c r="E23" s="2402"/>
      <c r="F23" s="2403" t="s">
        <v>2115</v>
      </c>
      <c r="G23" s="2404"/>
      <c r="H23" s="2388"/>
      <c r="I23" s="2389"/>
      <c r="J23" s="2388"/>
      <c r="K23" s="2388"/>
      <c r="L23" s="2389"/>
      <c r="M23" s="2388"/>
      <c r="N23" s="2388"/>
      <c r="O23" s="2389"/>
      <c r="P23" s="2388"/>
      <c r="Q23" s="2388"/>
      <c r="R23" s="2390"/>
    </row>
    <row r="24" spans="1:18" s="2360" customFormat="1" ht="15.75" thickBot="1">
      <c r="A24" s="2405"/>
      <c r="B24" s="2403" t="s">
        <v>2116</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tabSelected="1" workbookViewId="0">
      <selection activeCell="D17" sqref="D17"/>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179887.38</v>
      </c>
      <c r="C1" s="1737"/>
      <c r="D1" s="1737"/>
      <c r="E1" s="1737"/>
      <c r="F1" s="1737"/>
      <c r="G1" s="1735"/>
    </row>
    <row r="2" spans="1:10" ht="16.5">
      <c r="A2" s="1738" t="s">
        <v>1349</v>
      </c>
      <c r="B2" s="1738">
        <f>SUM(C14:C23)</f>
        <v>241890.06</v>
      </c>
      <c r="C2" s="1737"/>
      <c r="D2" s="1737"/>
      <c r="E2" s="1737"/>
      <c r="F2" s="1737"/>
      <c r="G2" s="1735"/>
    </row>
    <row r="3" spans="1:10" ht="16.5">
      <c r="A3" s="1738" t="s">
        <v>1358</v>
      </c>
      <c r="B3" s="1739">
        <f>项目基本情况!D3</f>
        <v>43894</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100201</v>
      </c>
      <c r="C5" s="1738">
        <f ca="1">ROUND(B5*10000/$B$1,0)</f>
        <v>5570</v>
      </c>
      <c r="D5" s="1738">
        <f ca="1">ROUND(B5*10000/$B$2,0)</f>
        <v>4142</v>
      </c>
      <c r="E5" s="1737"/>
      <c r="F5" s="1735"/>
      <c r="G5" s="1735"/>
    </row>
    <row r="6" spans="1:10" ht="16.5">
      <c r="A6" s="1738" t="s">
        <v>1352</v>
      </c>
      <c r="B6" s="1738">
        <f ca="1">SUM(G14:G23)</f>
        <v>100201</v>
      </c>
      <c r="C6" s="1738">
        <f ca="1">ROUND(B6*10000/$B$1,0)</f>
        <v>5570</v>
      </c>
      <c r="D6" s="1738">
        <f ca="1">ROUND(B6*10000/$B$2,0)</f>
        <v>4142</v>
      </c>
      <c r="E6" s="1737"/>
      <c r="F6" s="1735"/>
      <c r="G6" s="1735"/>
    </row>
    <row r="7" spans="1:10" ht="16.5">
      <c r="A7" s="1738" t="s">
        <v>1360</v>
      </c>
      <c r="B7" s="1738">
        <f>SUM(H14:H23)</f>
        <v>0</v>
      </c>
      <c r="C7" s="1738">
        <f>ROUND(B7*10000/$B$1,0)</f>
        <v>0</v>
      </c>
      <c r="D7" s="1738">
        <f>ROUND(B7*10000/$B$2,0)</f>
        <v>0</v>
      </c>
      <c r="E7" s="1737"/>
      <c r="F7" s="1735"/>
      <c r="G7" s="1735"/>
    </row>
    <row r="8" spans="1:10" ht="16.5">
      <c r="A8" s="1738" t="s">
        <v>1281</v>
      </c>
      <c r="B8" s="1738">
        <f>SUM(I14:I23)</f>
        <v>0</v>
      </c>
      <c r="C8" s="1738">
        <f>ROUND(B8*10000/$B$1,0)</f>
        <v>0</v>
      </c>
      <c r="D8" s="1738">
        <f>ROUND(B8*10000/$B$2,0)</f>
        <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23014.799999999999</v>
      </c>
      <c r="C14" s="1736">
        <f>结果表!C118</f>
        <v>61612.73</v>
      </c>
      <c r="D14" s="1736">
        <f ca="1">结果表!H118</f>
        <v>15918</v>
      </c>
      <c r="E14" s="1736">
        <f ca="1">ROUND(D14*10000/B14,0)</f>
        <v>6916</v>
      </c>
      <c r="F14" s="1736">
        <f ca="1">ROUND(D14*10000/C14,0)</f>
        <v>2584</v>
      </c>
      <c r="G14" s="1736">
        <f ca="1">结果表!D122</f>
        <v>15918</v>
      </c>
      <c r="H14" s="1736" t="str">
        <f>结果表!D124</f>
        <v>——</v>
      </c>
      <c r="I14" s="1736" t="str">
        <f>结果表!D126</f>
        <v>——</v>
      </c>
      <c r="J14" s="1735"/>
    </row>
    <row r="15" spans="1:10" ht="16.5">
      <c r="A15" s="1734" t="s">
        <v>1345</v>
      </c>
      <c r="B15" s="1741">
        <f>[1]系统读取表!$B$14</f>
        <v>33813.64</v>
      </c>
      <c r="C15" s="1741">
        <f>[1]系统读取表!$C$14</f>
        <v>57547.21</v>
      </c>
      <c r="D15" s="1741">
        <f>[1]系统读取表!$D$14</f>
        <v>20333</v>
      </c>
      <c r="E15" s="1736">
        <f t="shared" ref="E15:E23" si="0">ROUND(D15*10000/B15,0)</f>
        <v>6013</v>
      </c>
      <c r="F15" s="1736">
        <f t="shared" ref="F15:F23" si="1">ROUND(D15*10000/C15,0)</f>
        <v>3533</v>
      </c>
      <c r="G15" s="1742">
        <f>D15</f>
        <v>20333</v>
      </c>
      <c r="H15" s="1742"/>
      <c r="I15" s="1741"/>
      <c r="J15" s="1735"/>
    </row>
    <row r="16" spans="1:10" ht="16.5">
      <c r="A16" s="1734" t="s">
        <v>1344</v>
      </c>
      <c r="B16" s="1741">
        <f>[2]系统读取表!$B$14</f>
        <v>90684.569999999992</v>
      </c>
      <c r="C16" s="1741">
        <f>[2]系统读取表!$C$14</f>
        <v>75014.7</v>
      </c>
      <c r="D16" s="1741">
        <f ca="1">[2]系统读取表!$D$14</f>
        <v>45807</v>
      </c>
      <c r="E16" s="1736">
        <f t="shared" ca="1" si="0"/>
        <v>5051</v>
      </c>
      <c r="F16" s="1736">
        <f t="shared" ca="1" si="1"/>
        <v>6106</v>
      </c>
      <c r="G16" s="1742">
        <f ca="1">D16</f>
        <v>45807</v>
      </c>
      <c r="H16" s="1742"/>
      <c r="I16" s="1741"/>
    </row>
    <row r="17" spans="1:9" ht="16.5">
      <c r="A17" s="1734" t="s">
        <v>1343</v>
      </c>
      <c r="B17" s="1741">
        <f>[3]系统读取表!$B$14</f>
        <v>32374.37</v>
      </c>
      <c r="C17" s="1741">
        <f>[3]系统读取表!$C$14</f>
        <v>47715.42</v>
      </c>
      <c r="D17" s="1741">
        <f ca="1">[3]系统读取表!$D$14</f>
        <v>18143</v>
      </c>
      <c r="E17" s="1736">
        <f t="shared" ca="1" si="0"/>
        <v>5604</v>
      </c>
      <c r="F17" s="1736">
        <f t="shared" ca="1" si="1"/>
        <v>3802</v>
      </c>
      <c r="G17" s="1742">
        <f ca="1">D17</f>
        <v>18143</v>
      </c>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C6" zoomScaleNormal="100" zoomScaleSheetLayoutView="100" zoomScalePageLayoutView="80" workbookViewId="0">
      <selection activeCell="D122" sqref="D122:I122"/>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7" t="s">
        <v>2117</v>
      </c>
      <c r="B1" s="2411"/>
      <c r="C1" s="2412"/>
      <c r="D1" s="2411"/>
      <c r="E1" s="2411"/>
      <c r="F1" s="2413" t="s">
        <v>2118</v>
      </c>
      <c r="G1" s="2062" t="s">
        <v>2119</v>
      </c>
      <c r="H1" s="2414" t="str">
        <f>IF(G1="现房","——","估价对象范围")</f>
        <v>估价对象范围</v>
      </c>
      <c r="I1" s="2415"/>
    </row>
    <row r="2" spans="1:12" ht="21.75" customHeight="1" thickBot="1">
      <c r="A2" s="3131" t="str">
        <f>项目基本情况!S2</f>
        <v>北京市顺义区坞里路68号6号楼1至2层101出让国有建设用地使用权及在建建筑物房地产</v>
      </c>
      <c r="B2" s="3132"/>
      <c r="C2" s="3132"/>
      <c r="D2" s="3132"/>
      <c r="E2" s="3132"/>
      <c r="F2" s="3132"/>
      <c r="G2" s="3132"/>
      <c r="H2" s="3132"/>
      <c r="I2" s="3133"/>
    </row>
    <row r="3" spans="1:12" ht="12.75">
      <c r="A3" s="3134" t="s">
        <v>2120</v>
      </c>
      <c r="B3" s="3135"/>
      <c r="C3" s="3135"/>
      <c r="D3" s="3135"/>
      <c r="E3" s="3135"/>
      <c r="F3" s="3135"/>
      <c r="G3" s="3135"/>
      <c r="H3" s="3135"/>
      <c r="I3" s="3135"/>
    </row>
    <row r="4" spans="1:12" ht="14.25">
      <c r="A4" s="2418" t="s">
        <v>2121</v>
      </c>
      <c r="B4" s="2419" t="s">
        <v>2122</v>
      </c>
      <c r="C4" s="2420" t="s">
        <v>3087</v>
      </c>
      <c r="D4" s="2420" t="s">
        <v>3077</v>
      </c>
      <c r="E4" s="3115" t="s">
        <v>2123</v>
      </c>
      <c r="F4" s="3128"/>
      <c r="G4" s="3128"/>
      <c r="H4" s="3128"/>
      <c r="I4" s="3116"/>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06" t="s">
        <v>2124</v>
      </c>
      <c r="B5" s="3032">
        <v>25</v>
      </c>
      <c r="C5" s="3136"/>
      <c r="D5" s="3124"/>
      <c r="E5" s="140" t="s">
        <v>2125</v>
      </c>
      <c r="F5" s="2422"/>
      <c r="G5" s="2422"/>
      <c r="H5" s="2422"/>
      <c r="I5" s="1826"/>
    </row>
    <row r="6" spans="1:12" ht="12.75">
      <c r="A6" s="3106"/>
      <c r="B6" s="3032"/>
      <c r="C6" s="3138"/>
      <c r="D6" s="3124"/>
      <c r="E6" s="140" t="s">
        <v>2126</v>
      </c>
      <c r="F6" s="2422"/>
      <c r="G6" s="2422"/>
      <c r="H6" s="2422"/>
      <c r="I6" s="1826"/>
    </row>
    <row r="7" spans="1:12" ht="12.75">
      <c r="A7" s="3106"/>
      <c r="B7" s="3032"/>
      <c r="C7" s="3137"/>
      <c r="D7" s="3124"/>
      <c r="E7" s="140" t="s">
        <v>2127</v>
      </c>
      <c r="F7" s="2422"/>
      <c r="G7" s="2422"/>
      <c r="H7" s="2422"/>
      <c r="I7" s="1826"/>
    </row>
    <row r="8" spans="1:12" ht="12.75">
      <c r="A8" s="3106" t="s">
        <v>2128</v>
      </c>
      <c r="B8" s="3032">
        <v>15</v>
      </c>
      <c r="C8" s="3136"/>
      <c r="D8" s="3124"/>
      <c r="E8" s="140" t="s">
        <v>2129</v>
      </c>
      <c r="F8" s="2422"/>
      <c r="G8" s="2422"/>
      <c r="H8" s="2422"/>
      <c r="I8" s="1826"/>
    </row>
    <row r="9" spans="1:12" ht="12.75">
      <c r="A9" s="3106"/>
      <c r="B9" s="3032"/>
      <c r="C9" s="3137"/>
      <c r="D9" s="3124"/>
      <c r="E9" s="140" t="s">
        <v>2130</v>
      </c>
      <c r="F9" s="2422"/>
      <c r="G9" s="2422"/>
      <c r="H9" s="2422"/>
      <c r="I9" s="1826"/>
    </row>
    <row r="10" spans="1:12" ht="12.75">
      <c r="A10" s="3106" t="s">
        <v>2131</v>
      </c>
      <c r="B10" s="3032">
        <v>15</v>
      </c>
      <c r="C10" s="3136"/>
      <c r="D10" s="3124"/>
      <c r="E10" s="140" t="s">
        <v>2132</v>
      </c>
      <c r="F10" s="2422"/>
      <c r="G10" s="2422"/>
      <c r="H10" s="2422"/>
      <c r="I10" s="1826"/>
    </row>
    <row r="11" spans="1:12" ht="12.75">
      <c r="A11" s="3106"/>
      <c r="B11" s="3032"/>
      <c r="C11" s="3137"/>
      <c r="D11" s="3124"/>
      <c r="E11" s="140" t="s">
        <v>2133</v>
      </c>
      <c r="F11" s="2422"/>
      <c r="G11" s="2422"/>
      <c r="H11" s="2422"/>
      <c r="I11" s="1826"/>
    </row>
    <row r="12" spans="1:12" ht="12.75">
      <c r="A12" s="3106" t="s">
        <v>2134</v>
      </c>
      <c r="B12" s="3032">
        <v>15</v>
      </c>
      <c r="C12" s="3136"/>
      <c r="D12" s="3124"/>
      <c r="E12" s="140" t="s">
        <v>2135</v>
      </c>
      <c r="F12" s="2422"/>
      <c r="G12" s="2422"/>
      <c r="H12" s="2422"/>
      <c r="I12" s="1826"/>
    </row>
    <row r="13" spans="1:12" ht="12.75">
      <c r="A13" s="3106"/>
      <c r="B13" s="3032"/>
      <c r="C13" s="3137"/>
      <c r="D13" s="3124"/>
      <c r="E13" s="140" t="s">
        <v>2136</v>
      </c>
      <c r="F13" s="2422"/>
      <c r="G13" s="2422"/>
      <c r="H13" s="2422"/>
      <c r="I13" s="1826"/>
    </row>
    <row r="14" spans="1:12" ht="12.75">
      <c r="A14" s="3106" t="s">
        <v>2137</v>
      </c>
      <c r="B14" s="3032">
        <v>30</v>
      </c>
      <c r="C14" s="3136">
        <v>5</v>
      </c>
      <c r="D14" s="3124">
        <v>5</v>
      </c>
      <c r="E14" s="140" t="s">
        <v>2138</v>
      </c>
      <c r="F14" s="2422"/>
      <c r="G14" s="2422"/>
      <c r="H14" s="2422"/>
      <c r="I14" s="1826"/>
    </row>
    <row r="15" spans="1:12" ht="12.75">
      <c r="A15" s="3106"/>
      <c r="B15" s="3032"/>
      <c r="C15" s="3138"/>
      <c r="D15" s="3124"/>
      <c r="E15" s="140" t="s">
        <v>2139</v>
      </c>
      <c r="F15" s="2422"/>
      <c r="G15" s="2422"/>
      <c r="H15" s="2422"/>
      <c r="I15" s="1826"/>
    </row>
    <row r="16" spans="1:12" ht="12.75">
      <c r="A16" s="3106"/>
      <c r="B16" s="3032"/>
      <c r="C16" s="3137"/>
      <c r="D16" s="3124"/>
      <c r="E16" s="140" t="s">
        <v>2140</v>
      </c>
      <c r="F16" s="2422"/>
      <c r="G16" s="2422"/>
      <c r="H16" s="2422"/>
      <c r="I16" s="1826"/>
    </row>
    <row r="17" spans="1:35" ht="15">
      <c r="A17" s="2423" t="s">
        <v>2141</v>
      </c>
      <c r="B17" s="64"/>
      <c r="C17" s="141">
        <f>SUM(C5:C16)</f>
        <v>5</v>
      </c>
      <c r="D17" s="141">
        <f>SUM(D5:D16)</f>
        <v>5</v>
      </c>
      <c r="E17" s="138"/>
      <c r="F17" s="138"/>
      <c r="G17" s="138"/>
      <c r="H17" s="138"/>
      <c r="I17" s="138"/>
      <c r="K17" s="2421"/>
      <c r="L17" s="2424" t="s">
        <v>2142</v>
      </c>
      <c r="M17" s="2424" t="s">
        <v>2143</v>
      </c>
    </row>
    <row r="18" spans="1:35" ht="15.75" thickBot="1">
      <c r="A18" s="2425" t="s">
        <v>2144</v>
      </c>
      <c r="B18" s="2426"/>
      <c r="C18" s="142">
        <f>ROUND(C17/SUM(C17:D17),2)</f>
        <v>0.5</v>
      </c>
      <c r="D18" s="142">
        <f>1-C18</f>
        <v>0.5</v>
      </c>
      <c r="E18" s="138"/>
      <c r="F18" s="138"/>
      <c r="G18" s="138"/>
      <c r="H18" s="138"/>
      <c r="I18" s="138"/>
      <c r="K18" s="2421" t="s">
        <v>2145</v>
      </c>
      <c r="L18" s="2421">
        <f>IF(C1="",'数据-汇总表'!E3,SUMIF(项目类型,C1,'数据-汇总表'!E17:E26)+SUMIF(项目类型,C1,'数据-汇总表'!I17:I26))</f>
        <v>23014.799999999999</v>
      </c>
      <c r="M18" s="2421">
        <f>IF(C1="",'数据-汇总表'!E3,SUMIF(项目类型,C1,'数据-汇总表'!E17:E26))</f>
        <v>23014.799999999999</v>
      </c>
    </row>
    <row r="19" spans="1:35" ht="15">
      <c r="A19" s="2427" t="s">
        <v>2146</v>
      </c>
      <c r="B19" s="2428" t="s">
        <v>2147</v>
      </c>
      <c r="C19" s="143">
        <f ca="1">SUMIF(INDIRECT("'"&amp;C4&amp;"'"&amp;"!A:A"),结果表!B19,INDIRECT("'"&amp;C4&amp;"'"&amp;"!B:B"))</f>
        <v>20232</v>
      </c>
      <c r="D19" s="144">
        <f ca="1">SUMIF(INDIRECT("'"&amp;D4&amp;"'"&amp;"!A:A"),结果表!B19,INDIRECT("'"&amp;D4&amp;"'"&amp;"!B:B"))</f>
        <v>11604</v>
      </c>
      <c r="E19" s="2427" t="s">
        <v>2148</v>
      </c>
      <c r="F19" s="2428" t="s">
        <v>2147</v>
      </c>
      <c r="G19" s="145">
        <f ca="1">ROUND(C19*$C$18+D19*$D$18,0)</f>
        <v>15918</v>
      </c>
      <c r="H19" s="2429" t="s">
        <v>2149</v>
      </c>
      <c r="I19" s="138"/>
      <c r="J19" s="795">
        <f ca="1">G19+H118+[4]结果表!$G$19+[5]结果表!$G$19</f>
        <v>91373</v>
      </c>
      <c r="K19" s="2421" t="s">
        <v>2150</v>
      </c>
      <c r="L19" s="2421">
        <f>IF(C1="",'数据-汇总表'!D3,SUMIF(项目类型,C1,'数据-汇总表'!D17:D26)+SUMIF(项目类型,C1,'数据-汇总表'!H17:H27))</f>
        <v>61612.73</v>
      </c>
      <c r="M19" s="2421">
        <f>IF(C1="",'数据-汇总表'!D3,SUMIF(项目类型,C1,'数据-汇总表'!D17:D26))</f>
        <v>61612.73</v>
      </c>
    </row>
    <row r="20" spans="1:35" ht="15">
      <c r="A20" s="2430"/>
      <c r="B20" s="1247" t="s">
        <v>2151</v>
      </c>
      <c r="C20" s="146">
        <f ca="1">SUMIF(INDIRECT("'"&amp;C4&amp;"'"&amp;"!A:A"),结果表!B20,INDIRECT("'"&amp;C4&amp;"'"&amp;"!B:B"))</f>
        <v>8791</v>
      </c>
      <c r="D20" s="147">
        <f ca="1">SUMIF(INDIRECT("'"&amp;D4&amp;"'"&amp;"!A:A"),结果表!B20,INDIRECT("'"&amp;D4&amp;"'"&amp;"!B:B"))</f>
        <v>5042</v>
      </c>
      <c r="E20" s="2430"/>
      <c r="F20" s="1247" t="s">
        <v>2151</v>
      </c>
      <c r="G20" s="148">
        <f ca="1">ROUND(C20*$C$18+D20*$D$18,0)</f>
        <v>6917</v>
      </c>
      <c r="H20" s="980" t="s">
        <v>2152</v>
      </c>
      <c r="I20" s="138"/>
    </row>
    <row r="21" spans="1:35" ht="15" customHeight="1" thickBot="1">
      <c r="A21" s="1000"/>
      <c r="B21" s="2431" t="s">
        <v>2153</v>
      </c>
      <c r="C21" s="789">
        <f ca="1">ROUND(C19*10000/L19,0)</f>
        <v>3284</v>
      </c>
      <c r="D21" s="790">
        <f ca="1">ROUND(D19*10000/L19,0)</f>
        <v>1883</v>
      </c>
      <c r="E21" s="1000"/>
      <c r="F21" s="2431" t="s">
        <v>2153</v>
      </c>
      <c r="G21" s="149">
        <f ca="1">ROUND(G19*10000/L19,0)</f>
        <v>2584</v>
      </c>
      <c r="H21" s="2432" t="s">
        <v>2152</v>
      </c>
      <c r="I21" s="138"/>
    </row>
    <row r="22" spans="1:35" ht="15" thickBot="1">
      <c r="A22" s="2273" t="s">
        <v>2154</v>
      </c>
      <c r="B22" s="2433"/>
      <c r="C22" s="2434"/>
      <c r="D22" s="791">
        <f ca="1">IF(C19&lt;D19,D19/C19-1,C19/D19-1)</f>
        <v>0.74353671147880052</v>
      </c>
      <c r="E22" s="138"/>
      <c r="F22" s="138"/>
      <c r="G22" s="138"/>
      <c r="H22" s="138"/>
      <c r="I22" s="138"/>
    </row>
    <row r="23" spans="1:35" ht="13.5" thickBot="1">
      <c r="A23" s="2411"/>
      <c r="B23" s="2411"/>
      <c r="C23" s="2411"/>
      <c r="D23" s="2411"/>
      <c r="E23" s="138"/>
      <c r="F23" s="138"/>
      <c r="G23" s="138"/>
      <c r="H23" s="138"/>
      <c r="I23" s="138"/>
    </row>
    <row r="24" spans="1:35" ht="14.25">
      <c r="A24" s="3145" t="s">
        <v>2155</v>
      </c>
      <c r="B24" s="2428" t="s">
        <v>2147</v>
      </c>
      <c r="C24" s="145">
        <f>IF(B30=0,0,D30)</f>
        <v>0</v>
      </c>
      <c r="D24" s="2435"/>
      <c r="E24" s="138"/>
      <c r="F24" s="138"/>
      <c r="G24" s="138"/>
      <c r="H24" s="138"/>
      <c r="I24" s="138"/>
    </row>
    <row r="25" spans="1:35" ht="14.25">
      <c r="A25" s="3146"/>
      <c r="B25" s="1247" t="s">
        <v>2151</v>
      </c>
      <c r="C25" s="150">
        <f>IF(B30=0,0,C30)</f>
        <v>0</v>
      </c>
      <c r="D25" s="2436"/>
      <c r="E25" s="138"/>
      <c r="F25" s="138"/>
      <c r="G25" s="138"/>
      <c r="H25" s="138"/>
      <c r="I25" s="138"/>
    </row>
    <row r="26" spans="1:35" ht="13.5" customHeight="1">
      <c r="A26" s="2437" t="s">
        <v>2156</v>
      </c>
      <c r="B26" s="151" t="s">
        <v>2157</v>
      </c>
      <c r="C26" s="151" t="s">
        <v>2158</v>
      </c>
      <c r="D26" s="152" t="s">
        <v>2159</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2160</v>
      </c>
      <c r="B30" s="151"/>
      <c r="C30" s="151"/>
      <c r="D30" s="151"/>
      <c r="E30" s="2909" t="s">
        <v>3036</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2161</v>
      </c>
      <c r="B32" s="2441"/>
      <c r="C32" s="153">
        <f ca="1">IF(D32="总价",G19-C24,G20-C25)</f>
        <v>15918</v>
      </c>
      <c r="D32" s="2442" t="s">
        <v>2162</v>
      </c>
      <c r="E32" s="138"/>
      <c r="F32" s="138"/>
      <c r="G32" s="138"/>
      <c r="H32" s="138"/>
      <c r="I32" s="138"/>
    </row>
    <row r="33" spans="1:15" ht="15">
      <c r="A33" s="957" t="s">
        <v>2163</v>
      </c>
      <c r="B33" s="2443"/>
      <c r="C33" s="2444" t="s">
        <v>3107</v>
      </c>
      <c r="D33" s="2445" t="s">
        <v>3087</v>
      </c>
      <c r="E33" s="2446" t="s">
        <v>2164</v>
      </c>
      <c r="F33" s="2447" t="str">
        <f>IF(D32="楼面单价","取值（单价）","取值（总价）")</f>
        <v>取值（总价）</v>
      </c>
      <c r="G33" s="138"/>
      <c r="H33" s="138"/>
      <c r="I33" s="138"/>
    </row>
    <row r="34" spans="1:15" ht="15">
      <c r="A34" s="2448"/>
      <c r="B34" s="2449" t="s">
        <v>2165</v>
      </c>
      <c r="C34" s="157">
        <f ca="1">IF(C33="自定义",F34,C32-C35)</f>
        <v>8691</v>
      </c>
      <c r="D34" s="1055">
        <f ca="1">IF(C33="自定义",ROUND(C34/C32,3),IF(C33="收益比率",SUMIF(INDIRECT("'"&amp;D33&amp;"'"&amp;"!b:b"),"土地收益比率",INDIRECT("'"&amp;D33&amp;"'"&amp;"!c:c")),SUMIF(INDIRECT("'"&amp;D33&amp;"'"&amp;"!b:b"),"土地成本比率",INDIRECT("'"&amp;D33&amp;"'"&amp;"!c:c"))))</f>
        <v>0.54600000000000004</v>
      </c>
      <c r="E34" s="2450" t="s">
        <v>2166</v>
      </c>
      <c r="F34" s="1731"/>
      <c r="G34" s="138"/>
      <c r="H34" s="138"/>
      <c r="I34" s="138"/>
    </row>
    <row r="35" spans="1:15" ht="15.75" thickBot="1">
      <c r="A35" s="2451"/>
      <c r="B35" s="2452" t="s">
        <v>2167</v>
      </c>
      <c r="C35" s="1441">
        <f ca="1">IF(C33="自定义",F35,ROUND(C32*D35,0))</f>
        <v>7227</v>
      </c>
      <c r="D35" s="1442">
        <f ca="1">IF(C33="自定义",ROUND(C35/C32,3),IF(C33="收益比率",SUMIF(INDIRECT("'"&amp;D33&amp;"'"&amp;"!b:b"),"建筑物收益比率",INDIRECT("'"&amp;D33&amp;"'"&amp;"!c:c")),SUMIF(INDIRECT("'"&amp;D33&amp;"'"&amp;"!b:b"),"建筑物成本比率",INDIRECT("'"&amp;D33&amp;"'"&amp;"!c:c"))))</f>
        <v>0.45400000000000001</v>
      </c>
      <c r="E35" s="2453" t="s">
        <v>2168</v>
      </c>
      <c r="F35" s="163"/>
      <c r="G35" s="138"/>
      <c r="H35" s="138"/>
      <c r="I35" s="138"/>
    </row>
    <row r="36" spans="1:15" ht="15.75" thickBot="1">
      <c r="A36" s="3125" t="s">
        <v>2169</v>
      </c>
      <c r="B36" s="2454" t="s">
        <v>2170</v>
      </c>
      <c r="C36" s="154"/>
      <c r="D36" s="2455"/>
      <c r="E36" s="2456"/>
      <c r="F36" s="2457"/>
      <c r="G36" s="138"/>
      <c r="H36" s="138"/>
      <c r="I36" s="138"/>
    </row>
    <row r="37" spans="1:15" ht="15.75" thickBot="1">
      <c r="A37" s="3126"/>
      <c r="B37" s="2259" t="s">
        <v>2171</v>
      </c>
      <c r="C37" s="156"/>
      <c r="D37" s="1392"/>
      <c r="E37" s="1392"/>
      <c r="F37" s="2457"/>
      <c r="G37" s="138"/>
      <c r="H37" s="138"/>
      <c r="I37" s="138"/>
    </row>
    <row r="38" spans="1:15" ht="15.75" thickBot="1">
      <c r="A38" s="3127"/>
      <c r="B38" s="2458" t="s">
        <v>2172</v>
      </c>
      <c r="C38" s="727"/>
      <c r="D38" s="2459" t="s">
        <v>2173</v>
      </c>
      <c r="E38" s="1392"/>
      <c r="F38" s="2457"/>
      <c r="G38" s="138"/>
      <c r="H38" s="138"/>
      <c r="I38" s="138"/>
    </row>
    <row r="39" spans="1:15" ht="15">
      <c r="A39" s="2430" t="s">
        <v>2174</v>
      </c>
      <c r="B39" s="2460" t="s">
        <v>2175</v>
      </c>
      <c r="C39" s="2461" t="s">
        <v>2176</v>
      </c>
      <c r="D39" s="2461" t="s">
        <v>2177</v>
      </c>
      <c r="E39" s="2462" t="s">
        <v>2178</v>
      </c>
      <c r="F39" s="2457"/>
      <c r="G39" s="138"/>
      <c r="H39" s="138"/>
      <c r="I39" s="138"/>
    </row>
    <row r="40" spans="1:15" ht="14.25">
      <c r="A40" s="2463" t="s">
        <v>2179</v>
      </c>
      <c r="B40" s="158"/>
      <c r="C40" s="159"/>
      <c r="D40" s="159"/>
      <c r="E40" s="160"/>
      <c r="F40" s="2457"/>
      <c r="G40" s="138"/>
      <c r="H40" s="138"/>
      <c r="I40" s="138"/>
    </row>
    <row r="41" spans="1:15" ht="14.25">
      <c r="A41" s="2463" t="s">
        <v>2180</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7"/>
      <c r="B43" s="2157"/>
      <c r="C43" s="2157"/>
      <c r="D43" s="2157"/>
      <c r="E43" s="2157"/>
      <c r="F43" s="2465"/>
      <c r="G43" s="2465"/>
      <c r="H43" s="2465"/>
      <c r="I43" s="2466"/>
    </row>
    <row r="44" spans="1:15" ht="18.75">
      <c r="A44" s="2467" t="s">
        <v>2181</v>
      </c>
      <c r="B44" s="2468"/>
      <c r="C44" s="2468"/>
      <c r="D44" s="2469"/>
      <c r="E44" s="2469"/>
      <c r="F44" s="2470"/>
      <c r="G44" s="2470"/>
      <c r="H44" s="2470"/>
      <c r="I44" s="2470"/>
      <c r="J44" s="2471" t="s">
        <v>2182</v>
      </c>
      <c r="K44" s="2472"/>
      <c r="L44" s="2472"/>
      <c r="M44" s="2472"/>
      <c r="N44" s="2472"/>
      <c r="O44" s="2472"/>
    </row>
    <row r="45" spans="1:15" ht="14.25" customHeight="1" thickBot="1">
      <c r="A45" s="3142" t="s">
        <v>2183</v>
      </c>
      <c r="B45" s="3143"/>
      <c r="C45" s="3144"/>
      <c r="D45" s="164">
        <f ca="1">ROUND(H101*F45,0)</f>
        <v>15918</v>
      </c>
      <c r="E45" s="165" t="s">
        <v>2184</v>
      </c>
      <c r="F45" s="166">
        <v>1</v>
      </c>
      <c r="G45" s="167" t="s">
        <v>2185</v>
      </c>
      <c r="H45" s="138"/>
      <c r="I45" s="138"/>
      <c r="J45" s="3061" t="s">
        <v>2186</v>
      </c>
      <c r="K45" s="3061"/>
      <c r="L45" s="3061"/>
      <c r="M45" s="3061"/>
      <c r="N45" s="3061"/>
      <c r="O45" s="3061"/>
    </row>
    <row r="46" spans="1:15" ht="14.25" customHeight="1">
      <c r="A46" s="3139" t="s">
        <v>2187</v>
      </c>
      <c r="B46" s="3140"/>
      <c r="C46" s="3140"/>
      <c r="D46" s="3140"/>
      <c r="E46" s="3140"/>
      <c r="F46" s="3140"/>
      <c r="G46" s="3141"/>
      <c r="H46" s="2473"/>
      <c r="I46" s="168"/>
      <c r="J46" s="1804">
        <v>1</v>
      </c>
      <c r="K46" s="3061" t="s">
        <v>2188</v>
      </c>
      <c r="L46" s="3061"/>
      <c r="M46" s="3062"/>
      <c r="N46" s="3062"/>
      <c r="O46" s="3062"/>
    </row>
    <row r="47" spans="1:15" ht="12" customHeight="1">
      <c r="A47" s="169" t="s">
        <v>2189</v>
      </c>
      <c r="B47" s="170"/>
      <c r="C47" s="171"/>
      <c r="D47" s="172" t="s">
        <v>2190</v>
      </c>
      <c r="E47" s="24" t="s">
        <v>2191</v>
      </c>
      <c r="F47" s="173" t="s">
        <v>2192</v>
      </c>
      <c r="G47" s="174" t="s">
        <v>2193</v>
      </c>
      <c r="H47" s="2473"/>
      <c r="I47" s="168"/>
      <c r="J47" s="1804">
        <v>2</v>
      </c>
      <c r="K47" s="3061" t="s">
        <v>2194</v>
      </c>
      <c r="L47" s="3061"/>
      <c r="M47" s="3063">
        <f>'数据-取费表'!B2</f>
        <v>43894</v>
      </c>
      <c r="N47" s="3063"/>
      <c r="O47" s="3063"/>
    </row>
    <row r="48" spans="1:15" ht="25.5">
      <c r="A48" s="3129" t="s">
        <v>2195</v>
      </c>
      <c r="B48" s="3130"/>
      <c r="C48" s="3130"/>
      <c r="D48" s="140">
        <f>IF(H48="情况1",0,IF(H48="情况2",D52,IF(H48="情况3",D53,IF(H48="情况4",D54))))</f>
        <v>0</v>
      </c>
      <c r="E48" s="1793" t="str">
        <f>IF(H48="情况4","(销售额-原购置价)×税（费）率","销售额×税（费）率")</f>
        <v>销售额×税（费）率</v>
      </c>
      <c r="F48" s="175" t="str">
        <f>IF(H48="情况1","免征",'数据-取费表'!B41)</f>
        <v>免征</v>
      </c>
      <c r="G48" s="2474" t="s">
        <v>2196</v>
      </c>
      <c r="H48" s="2475" t="s">
        <v>2197</v>
      </c>
      <c r="I48" s="2473"/>
      <c r="J48" s="1804">
        <v>3</v>
      </c>
      <c r="K48" s="3061" t="s">
        <v>2198</v>
      </c>
      <c r="L48" s="3061"/>
      <c r="M48" s="3064">
        <f ca="1">H101</f>
        <v>15918</v>
      </c>
      <c r="N48" s="3064"/>
      <c r="O48" s="3064"/>
    </row>
    <row r="49" spans="1:35" ht="25.5" customHeight="1">
      <c r="A49" s="176" t="s">
        <v>2199</v>
      </c>
      <c r="B49" s="3109" t="s">
        <v>2200</v>
      </c>
      <c r="C49" s="3109"/>
      <c r="D49" s="177">
        <v>0</v>
      </c>
      <c r="E49" s="23" t="s">
        <v>2201</v>
      </c>
      <c r="F49" s="28" t="s">
        <v>34</v>
      </c>
      <c r="G49" s="3090"/>
      <c r="H49" s="138"/>
      <c r="I49" s="2476"/>
      <c r="J49" s="1804">
        <v>4</v>
      </c>
      <c r="K49" s="3061" t="str">
        <f>IF(项目基本情况!E8="房地产抵押价值","房地产抵押价值","抵押担保权已注销时的房地产抵押价值")</f>
        <v>房地产抵押价值</v>
      </c>
      <c r="L49" s="3061"/>
      <c r="M49" s="3064">
        <f ca="1">IF(项目基本情况!E8="房地产抵押价值",H107,H109)</f>
        <v>15918</v>
      </c>
      <c r="N49" s="3064"/>
      <c r="O49" s="3064"/>
    </row>
    <row r="50" spans="1:35" ht="25.5" customHeight="1">
      <c r="A50" s="178"/>
      <c r="B50" s="3109" t="s">
        <v>2202</v>
      </c>
      <c r="C50" s="3109"/>
      <c r="D50" s="179"/>
      <c r="E50" s="31"/>
      <c r="F50" s="180"/>
      <c r="G50" s="3091"/>
      <c r="H50" s="138"/>
      <c r="I50" s="2476"/>
      <c r="J50" s="3061" t="s">
        <v>2203</v>
      </c>
      <c r="K50" s="3061"/>
      <c r="L50" s="3061"/>
      <c r="M50" s="3061"/>
      <c r="N50" s="3061"/>
      <c r="O50" s="3061"/>
    </row>
    <row r="51" spans="1:35" ht="12" customHeight="1">
      <c r="A51" s="181"/>
      <c r="B51" s="3109" t="s">
        <v>2204</v>
      </c>
      <c r="C51" s="3109"/>
      <c r="D51" s="182"/>
      <c r="E51" s="30"/>
      <c r="F51" s="180"/>
      <c r="G51" s="3092"/>
      <c r="H51" s="138"/>
      <c r="I51" s="2476"/>
      <c r="J51" s="2477" t="s">
        <v>2205</v>
      </c>
      <c r="K51" s="3061" t="s">
        <v>2206</v>
      </c>
      <c r="L51" s="3061"/>
      <c r="M51" s="2477" t="s">
        <v>2207</v>
      </c>
      <c r="N51" s="2477" t="s">
        <v>2208</v>
      </c>
      <c r="O51" s="2477" t="s">
        <v>2209</v>
      </c>
    </row>
    <row r="52" spans="1:35" ht="24" customHeight="1">
      <c r="A52" s="183" t="s">
        <v>2210</v>
      </c>
      <c r="B52" s="3109" t="s">
        <v>2211</v>
      </c>
      <c r="C52" s="3109"/>
      <c r="D52" s="182">
        <f ca="1">ROUND(D45*'数据-取费表'!B41/(1+'数据-取费表'!C42),0)</f>
        <v>834</v>
      </c>
      <c r="E52" s="11" t="s">
        <v>2212</v>
      </c>
      <c r="F52" s="184">
        <f>'数据-取费表'!B41</f>
        <v>5.5000000000000007E-2</v>
      </c>
      <c r="G52" s="2478"/>
      <c r="H52" s="138"/>
      <c r="I52" s="2476"/>
      <c r="J52" s="1804">
        <v>1</v>
      </c>
      <c r="K52" s="3084" t="s">
        <v>2213</v>
      </c>
      <c r="L52" s="3084"/>
      <c r="M52" s="1746">
        <f>D48</f>
        <v>0</v>
      </c>
      <c r="N52" s="1804" t="str">
        <f>E48</f>
        <v>销售额×税（费）率</v>
      </c>
      <c r="O52" s="1747" t="str">
        <f>F48</f>
        <v>免征</v>
      </c>
    </row>
    <row r="53" spans="1:35" ht="12" customHeight="1">
      <c r="A53" s="183" t="s">
        <v>2214</v>
      </c>
      <c r="B53" s="3110" t="s">
        <v>2215</v>
      </c>
      <c r="C53" s="3111"/>
      <c r="D53" s="182">
        <f ca="1">ROUND(D45*'数据-取费表'!B41/(1+'数据-取费表'!C42),0)</f>
        <v>834</v>
      </c>
      <c r="E53" s="11" t="s">
        <v>2212</v>
      </c>
      <c r="F53" s="184">
        <f>'数据-取费表'!B41</f>
        <v>5.5000000000000007E-2</v>
      </c>
      <c r="G53" s="2478"/>
      <c r="H53" s="138"/>
      <c r="I53" s="2476"/>
      <c r="J53" s="1804">
        <v>2</v>
      </c>
      <c r="K53" s="3084" t="s">
        <v>2216</v>
      </c>
      <c r="L53" s="3084"/>
      <c r="M53" s="1746">
        <f t="shared" ref="M53:O54" ca="1" si="0">D55</f>
        <v>8</v>
      </c>
      <c r="N53" s="1804" t="str">
        <f t="shared" si="0"/>
        <v>销售额×税（费）率</v>
      </c>
      <c r="O53" s="1747">
        <f t="shared" si="0"/>
        <v>5.0000000000000001E-4</v>
      </c>
    </row>
    <row r="54" spans="1:35" ht="12" customHeight="1">
      <c r="A54" s="183" t="s">
        <v>2217</v>
      </c>
      <c r="B54" s="3110" t="s">
        <v>2218</v>
      </c>
      <c r="C54" s="3111"/>
      <c r="D54" s="182">
        <f ca="1">C68</f>
        <v>834</v>
      </c>
      <c r="E54" s="30" t="s">
        <v>2219</v>
      </c>
      <c r="F54" s="184">
        <f>'数据-取费表'!B41</f>
        <v>5.5000000000000007E-2</v>
      </c>
      <c r="G54" s="2478"/>
      <c r="H54" s="2479"/>
      <c r="I54" s="2476"/>
      <c r="J54" s="1804">
        <v>3</v>
      </c>
      <c r="K54" s="3084" t="s">
        <v>2220</v>
      </c>
      <c r="L54" s="3084"/>
      <c r="M54" s="1746">
        <f t="shared" ca="1" si="0"/>
        <v>9024</v>
      </c>
      <c r="N54" s="1804" t="str">
        <f t="shared" si="0"/>
        <v>增值额×税（费）率</v>
      </c>
      <c r="O54" s="1748" t="str">
        <f t="shared" si="0"/>
        <v>——</v>
      </c>
    </row>
    <row r="55" spans="1:35" ht="24" customHeight="1">
      <c r="A55" s="3148" t="s">
        <v>2221</v>
      </c>
      <c r="B55" s="3130"/>
      <c r="C55" s="3130"/>
      <c r="D55" s="185">
        <f ca="1">IF(H55="个人住宅",0,ROUND(D45*I55,0))</f>
        <v>8</v>
      </c>
      <c r="E55" s="11" t="s">
        <v>2222</v>
      </c>
      <c r="F55" s="184">
        <f>IF(H55="正常",I55,"免征")</f>
        <v>5.0000000000000001E-4</v>
      </c>
      <c r="G55" s="2478"/>
      <c r="H55" s="2475" t="s">
        <v>2223</v>
      </c>
      <c r="I55" s="186">
        <f>'数据-取费表'!B49</f>
        <v>5.0000000000000001E-4</v>
      </c>
      <c r="J55" s="1804" t="str">
        <f>IF(H59="非个人房产","",4)</f>
        <v/>
      </c>
      <c r="K55" s="3084" t="str">
        <f>IF(H59="非个人房产","——","个人所得税")</f>
        <v>——</v>
      </c>
      <c r="L55" s="3084"/>
      <c r="M55" s="1749" t="str">
        <f>D59</f>
        <v>——</v>
      </c>
      <c r="N55" s="1802" t="str">
        <f>E59</f>
        <v>——</v>
      </c>
      <c r="O55" s="1750" t="str">
        <f>F59</f>
        <v>——</v>
      </c>
    </row>
    <row r="56" spans="1:35" ht="24.75">
      <c r="A56" s="3148" t="s">
        <v>2224</v>
      </c>
      <c r="B56" s="3130"/>
      <c r="C56" s="3130"/>
      <c r="D56" s="185">
        <f ca="1">IF(H56="个人住宅",D57,D58)</f>
        <v>9024</v>
      </c>
      <c r="E56" s="11" t="s">
        <v>2225</v>
      </c>
      <c r="F56" s="184" t="str">
        <f>IF(H56="正常",F58,"免征")</f>
        <v>——</v>
      </c>
      <c r="G56" s="2480" t="s">
        <v>2226</v>
      </c>
      <c r="H56" s="2481" t="s">
        <v>2223</v>
      </c>
      <c r="I56" s="2482"/>
      <c r="J56" s="1804" t="str">
        <f>IF(项目基本情况!K6="上海银行",IF(J55="",4,J55+1),"")</f>
        <v/>
      </c>
      <c r="K56" s="3067" t="str">
        <f>IF(项目基本情况!K6="上海银行","其他处置费用","")</f>
        <v/>
      </c>
      <c r="L56" s="3068"/>
      <c r="M56" s="1746" t="str">
        <f>IF(项目基本情况!K6="上海银行",M69,"")</f>
        <v/>
      </c>
      <c r="N56" s="3070" t="str">
        <f>IF(项目基本情况!K6="上海银行","包含处置中涉及的律师、诉讼、拍卖、评估等费用","")</f>
        <v/>
      </c>
      <c r="O56" s="3071"/>
    </row>
    <row r="57" spans="1:35" ht="12.75">
      <c r="A57" s="183" t="s">
        <v>2199</v>
      </c>
      <c r="B57" s="3115" t="s">
        <v>2227</v>
      </c>
      <c r="C57" s="3116"/>
      <c r="D57" s="187">
        <v>0</v>
      </c>
      <c r="E57" s="23" t="s">
        <v>2201</v>
      </c>
      <c r="F57" s="155"/>
      <c r="G57" s="2478"/>
      <c r="H57" s="2482"/>
      <c r="I57" s="2482"/>
      <c r="J57" s="3084">
        <f>IF(AND(J55="",J56=""),4,IF(项目基本情况!K6="上海银行",结果表!J56+1,结果表!J55+1))</f>
        <v>4</v>
      </c>
      <c r="K57" s="3084" t="s">
        <v>2228</v>
      </c>
      <c r="L57" s="2483" t="s">
        <v>2229</v>
      </c>
      <c r="M57" s="1751"/>
      <c r="N57" s="1752">
        <f ca="1">SUMIF(M52:M56,"&lt;9e307")</f>
        <v>9032</v>
      </c>
      <c r="O57" s="2484"/>
      <c r="P57" s="1745">
        <f ca="1">N57/M49</f>
        <v>0.56740796582485242</v>
      </c>
    </row>
    <row r="58" spans="1:35" ht="24.75">
      <c r="A58" s="183" t="s">
        <v>2210</v>
      </c>
      <c r="B58" s="3115" t="s">
        <v>2230</v>
      </c>
      <c r="C58" s="3128"/>
      <c r="D58" s="185">
        <f ca="1">IF(H58="转让取得",C81,C97)</f>
        <v>9024</v>
      </c>
      <c r="E58" s="11" t="s">
        <v>2225</v>
      </c>
      <c r="F58" s="24" t="s">
        <v>34</v>
      </c>
      <c r="G58" s="2478"/>
      <c r="H58" s="2481" t="s">
        <v>2231</v>
      </c>
      <c r="I58" s="2482"/>
      <c r="J58" s="3084"/>
      <c r="K58" s="3084"/>
      <c r="L58" s="2483" t="s">
        <v>2232</v>
      </c>
      <c r="M58" s="1753"/>
      <c r="N58" s="2485" t="str">
        <f ca="1">NUMBERSTRING(INT(N57*10000),2)&amp;"元整"</f>
        <v>玖仟零叁拾贰万元整</v>
      </c>
      <c r="O58" s="2486"/>
    </row>
    <row r="59" spans="1:35" ht="24.75" thickBot="1">
      <c r="A59" s="3088" t="s">
        <v>2233</v>
      </c>
      <c r="B59" s="3089"/>
      <c r="C59" s="3089"/>
      <c r="D59" s="188" t="str">
        <f>IF(H59="非个人房产","——",IF(H59="个人住宅",0,ROUND(D45*I59,0)))</f>
        <v>——</v>
      </c>
      <c r="E59" s="189" t="str">
        <f>IF(H59="非个人房产","——","销售额×税（费）率")</f>
        <v>——</v>
      </c>
      <c r="F59" s="190" t="str">
        <f>IF(H59="非个人房产","——",IF(H59="个人住宅","免征",I59))</f>
        <v>——</v>
      </c>
      <c r="G59" s="2487" t="s">
        <v>2226</v>
      </c>
      <c r="H59" s="2481" t="s">
        <v>2234</v>
      </c>
      <c r="I59" s="191">
        <v>0.01</v>
      </c>
      <c r="J59" s="3086">
        <f>J57+1</f>
        <v>5</v>
      </c>
      <c r="K59" s="3084" t="s">
        <v>2235</v>
      </c>
      <c r="L59" s="1804" t="s">
        <v>2229</v>
      </c>
      <c r="M59" s="1754"/>
      <c r="N59" s="1755">
        <f ca="1">M49-N57</f>
        <v>6886</v>
      </c>
      <c r="O59" s="2488"/>
    </row>
    <row r="60" spans="1:35" ht="12" customHeight="1">
      <c r="A60" s="2489"/>
      <c r="B60" s="2411"/>
      <c r="C60" s="2411"/>
      <c r="D60" s="2411"/>
      <c r="E60" s="2158"/>
      <c r="F60" s="2482"/>
      <c r="G60" s="2482"/>
      <c r="H60" s="2490"/>
      <c r="I60" s="138"/>
      <c r="J60" s="3087"/>
      <c r="K60" s="3084"/>
      <c r="L60" s="2483" t="s">
        <v>2232</v>
      </c>
      <c r="M60" s="1753"/>
      <c r="N60" s="2485" t="str">
        <f ca="1">NUMBERSTRING(INT(N59*10000),2)&amp;"元整"</f>
        <v>陆仟捌佰捌拾陆万元整</v>
      </c>
      <c r="O60" s="2486"/>
    </row>
    <row r="61" spans="1:35" ht="13.5" thickBot="1">
      <c r="A61" s="3147" t="s">
        <v>2236</v>
      </c>
      <c r="B61" s="3147"/>
      <c r="C61" s="3147"/>
      <c r="D61" s="3147"/>
      <c r="E61" s="3147"/>
      <c r="F61" s="2482"/>
      <c r="G61" s="2482"/>
      <c r="H61" s="2490"/>
      <c r="I61" s="138"/>
      <c r="J61" s="1804">
        <f>J59+1</f>
        <v>6</v>
      </c>
      <c r="K61" s="3084" t="s">
        <v>2237</v>
      </c>
      <c r="L61" s="3084"/>
      <c r="M61" s="1756"/>
      <c r="N61" s="1757">
        <f ca="1">ROUND(N59*10000/'数据-汇总表'!E3,0)</f>
        <v>2992</v>
      </c>
      <c r="O61" s="2491"/>
    </row>
    <row r="62" spans="1:35" ht="12.75">
      <c r="A62" s="3104" t="s">
        <v>2238</v>
      </c>
      <c r="B62" s="3105"/>
      <c r="C62" s="1796"/>
      <c r="D62" s="1796" t="s">
        <v>2239</v>
      </c>
      <c r="E62" s="192" t="s">
        <v>2240</v>
      </c>
      <c r="F62" s="2482"/>
      <c r="G62" s="2482"/>
      <c r="H62" s="2490"/>
      <c r="I62" s="138"/>
    </row>
    <row r="63" spans="1:35" ht="12.75">
      <c r="A63" s="203" t="s">
        <v>775</v>
      </c>
      <c r="B63" s="193" t="s">
        <v>2241</v>
      </c>
      <c r="C63" s="194">
        <f ca="1">ROUND((C64+C65)/(1+'数据-取费表'!C42),0)</f>
        <v>15160</v>
      </c>
      <c r="D63" s="195"/>
      <c r="E63" s="196"/>
      <c r="F63" s="2482"/>
      <c r="G63" s="2482"/>
      <c r="H63" s="2490"/>
      <c r="I63" s="138"/>
      <c r="J63" s="3069" t="s">
        <v>2242</v>
      </c>
      <c r="K63" s="2492" t="s">
        <v>2243</v>
      </c>
      <c r="L63" s="1744">
        <f ca="1">IF(M49&gt;10000,M49*0.5%,IF(AND(M49&gt;1000,M49&lt;=10000),M49*1%,IF(AND(M49&gt;100,M49&lt;=1000),M49*3%,IF(AND(M49&gt;10,M49&lt;=100),M49*5%,M49*8%))))</f>
        <v>79.59</v>
      </c>
      <c r="M63" s="24">
        <f ca="1">ROUND(L63,1)</f>
        <v>79.599999999999994</v>
      </c>
      <c r="Z63" s="2416"/>
      <c r="AI63" s="2417"/>
    </row>
    <row r="64" spans="1:35" ht="14.25" customHeight="1">
      <c r="A64" s="197" t="s">
        <v>770</v>
      </c>
      <c r="B64" s="198" t="s">
        <v>2244</v>
      </c>
      <c r="C64" s="199">
        <f ca="1">D45</f>
        <v>15918</v>
      </c>
      <c r="D64" s="200" t="s">
        <v>32</v>
      </c>
      <c r="E64" s="201"/>
      <c r="F64" s="2482"/>
      <c r="G64" s="2482"/>
      <c r="H64" s="2490"/>
      <c r="I64" s="138"/>
      <c r="J64" s="3069"/>
      <c r="K64" s="2492" t="s">
        <v>2245</v>
      </c>
      <c r="L64" s="1744">
        <f ca="1">IF(M49&gt;2000,M49*0.5%,IF(AND(M49&gt;1000,M49&lt;=2000),M49*0.6%,IF(AND(M49&gt;500,M49&lt;=1000),M49*0.7%,IF(AND(M49&gt;200,M49&lt;=500),M49*0.8%,IF(AND(M49&gt;100,M49&lt;=200),M49*0.9%,IF(AND(M49&gt;50,M49&lt;=100),M49*1%,IF(AND(M49&gt;20,M49&lt;=50),M49*1.5%,IF(AND(M49&gt;10,M49&lt;=20),M49*2%,IF(AND(M49&gt;1,M49&lt;=10),M49*2.5%)))))))))</f>
        <v>79.59</v>
      </c>
      <c r="M64" s="24">
        <f ca="1">ROUND(L64,1)</f>
        <v>79.599999999999994</v>
      </c>
      <c r="N64" s="138" t="s">
        <v>2246</v>
      </c>
      <c r="Z64" s="2416"/>
      <c r="AI64" s="2417"/>
    </row>
    <row r="65" spans="1:35" ht="14.25" customHeight="1">
      <c r="A65" s="197" t="s">
        <v>771</v>
      </c>
      <c r="B65" s="198" t="s">
        <v>2247</v>
      </c>
      <c r="C65" s="202"/>
      <c r="D65" s="200"/>
      <c r="E65" s="201"/>
      <c r="F65" s="2482"/>
      <c r="G65" s="2482"/>
      <c r="H65" s="2490"/>
      <c r="I65" s="138"/>
      <c r="J65" s="3069"/>
      <c r="K65" s="2492" t="s">
        <v>2248</v>
      </c>
      <c r="L65" s="1744">
        <f ca="1">IF(M49&gt;1000,M49*0.1%,IF(AND(M49&gt;500,M49&lt;=1000),M49*0.5%,IF(AND(M49&gt;50,M49&lt;=500),M49*1%,IF(AND(M49&gt;1,M49&lt;=50),M49*1.5%))))</f>
        <v>15.918000000000001</v>
      </c>
      <c r="M65" s="24">
        <f ca="1">ROUND(L65,1)</f>
        <v>15.9</v>
      </c>
      <c r="N65" s="138" t="s">
        <v>2246</v>
      </c>
      <c r="Z65" s="2416"/>
      <c r="AI65" s="2417"/>
    </row>
    <row r="66" spans="1:35" ht="14.25" customHeight="1">
      <c r="A66" s="203" t="s">
        <v>772</v>
      </c>
      <c r="B66" s="204" t="s">
        <v>2249</v>
      </c>
      <c r="C66" s="205"/>
      <c r="D66" s="206" t="s">
        <v>32</v>
      </c>
      <c r="E66" s="1768" t="s">
        <v>1367</v>
      </c>
      <c r="F66" s="2482"/>
      <c r="G66" s="2482"/>
      <c r="H66" s="2490"/>
      <c r="I66" s="138"/>
      <c r="J66" s="3069"/>
      <c r="K66" s="2492" t="s">
        <v>2250</v>
      </c>
      <c r="L66" s="1744">
        <f ca="1">M49*0.5%</f>
        <v>79.59</v>
      </c>
      <c r="M66" s="24">
        <f ca="1">IF(L66&gt;0.5,0.5,ROUND(L66,0))</f>
        <v>0.5</v>
      </c>
      <c r="N66" s="138" t="s">
        <v>2251</v>
      </c>
      <c r="Z66" s="2416"/>
      <c r="AI66" s="2417"/>
    </row>
    <row r="67" spans="1:35" ht="14.25" customHeight="1">
      <c r="A67" s="203" t="s">
        <v>773</v>
      </c>
      <c r="B67" s="204" t="s">
        <v>2252</v>
      </c>
      <c r="C67" s="207">
        <f ca="1">C63-C66</f>
        <v>15160</v>
      </c>
      <c r="D67" s="200" t="s">
        <v>32</v>
      </c>
      <c r="E67" s="201"/>
      <c r="F67" s="2482"/>
      <c r="G67" s="2482"/>
      <c r="H67" s="2490"/>
      <c r="I67" s="138"/>
      <c r="J67" s="3069"/>
      <c r="K67" s="2492" t="s">
        <v>2253</v>
      </c>
      <c r="L67" s="1744">
        <f ca="1">IF(M49&gt;=10000,(8.25+(M49-10000)*0.01%),IF(AND(M49&gt;=8000,M49&lt;10000),(7.85+(M49-8000)*0.02%),IF(AND(M49&gt;=5000,M49&lt;8000),(6.65+(M49-5000)*0.04%),IF(AND(M49&gt;=2000,M49&lt;5000),(4.25+(PM49-2000)*0.08%),IF(AND(M49&gt;=1000,M49&lt;2000),(2.75+(M49-1000)*0.15%),IF(AND(M49&gt;=100,M49&lt;1000),(0.5+(M49-100)*0.25%),IF(AND(M49&gt;0,M49&lt;100),M49*0.5%)))))))</f>
        <v>8.8417999999999992</v>
      </c>
      <c r="M67" s="24">
        <f ca="1">ROUND(L67*0.9,1)</f>
        <v>8</v>
      </c>
      <c r="Z67" s="2416"/>
      <c r="AI67" s="2417"/>
    </row>
    <row r="68" spans="1:35" ht="14.25" customHeight="1" thickBot="1">
      <c r="A68" s="208" t="s">
        <v>774</v>
      </c>
      <c r="B68" s="209" t="s">
        <v>2254</v>
      </c>
      <c r="C68" s="210">
        <f ca="1">IF(C67&lt;=0,0,ROUND(C67*D68,0))</f>
        <v>834</v>
      </c>
      <c r="D68" s="211">
        <f>'数据-取费表'!B41</f>
        <v>5.5000000000000007E-2</v>
      </c>
      <c r="E68" s="212"/>
      <c r="F68" s="2482"/>
      <c r="G68" s="2482"/>
      <c r="H68" s="2490"/>
      <c r="I68" s="138"/>
      <c r="J68" s="3069"/>
      <c r="K68" s="2492" t="s">
        <v>2255</v>
      </c>
      <c r="L68" s="1744">
        <f ca="1">IF(M49&gt;10000,M49*0.5%,IF(AND(M49&gt;5000,M49&lt;=10000),M49*1%,IF(AND(M49&gt;1000,M49&lt;=5000),M49*2%,IF(AND(M49&gt;200,M49&lt;=1000),M49*3%,M49*5%))))</f>
        <v>79.59</v>
      </c>
      <c r="M68" s="24">
        <f ca="1">ROUND(L68,1)</f>
        <v>79.599999999999994</v>
      </c>
      <c r="Z68" s="2416"/>
      <c r="AI68" s="2417"/>
    </row>
    <row r="69" spans="1:35" s="2439" customFormat="1" ht="16.5" customHeight="1">
      <c r="A69" s="2493"/>
      <c r="B69" s="2494"/>
      <c r="C69" s="2495"/>
      <c r="D69" s="2496"/>
      <c r="E69" s="2497"/>
      <c r="F69" s="2158"/>
      <c r="G69" s="2158"/>
      <c r="H69" s="2157"/>
      <c r="I69" s="2411"/>
      <c r="J69" s="3069"/>
      <c r="K69" s="2492" t="s">
        <v>2256</v>
      </c>
      <c r="L69" s="2498"/>
      <c r="M69" s="24">
        <f ca="1">ROUND(SUM(M63:M68),0)</f>
        <v>263</v>
      </c>
      <c r="N69" s="1745">
        <f ca="1">M69/M49</f>
        <v>1.6522176152783011E-2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13" t="s">
        <v>2257</v>
      </c>
      <c r="B70" s="3114"/>
      <c r="C70" s="3114"/>
      <c r="D70" s="3114"/>
      <c r="E70" s="3114"/>
      <c r="F70" s="3114"/>
      <c r="G70" s="3114"/>
      <c r="H70" s="311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04" t="s">
        <v>2238</v>
      </c>
      <c r="B71" s="3105"/>
      <c r="C71" s="1796"/>
      <c r="D71" s="1796" t="s">
        <v>2239</v>
      </c>
      <c r="E71" s="213" t="s">
        <v>2240</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2258</v>
      </c>
      <c r="C72" s="207">
        <f ca="1">ROUND(D45/(1+'数据-取费表'!C42),0)</f>
        <v>15160</v>
      </c>
      <c r="D72" s="200" t="s">
        <v>32</v>
      </c>
      <c r="E72" s="1795"/>
      <c r="F72" s="1789"/>
      <c r="G72" s="1789"/>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2259</v>
      </c>
      <c r="C73" s="207">
        <f ca="1">C74+C78</f>
        <v>76</v>
      </c>
      <c r="D73" s="200" t="s">
        <v>32</v>
      </c>
      <c r="E73" s="1795"/>
      <c r="F73" s="1789"/>
      <c r="G73" s="1789"/>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2260</v>
      </c>
      <c r="C74" s="200">
        <f>ROUND(IF(G77="2016年5月1日后购买",C75/(1+'数据-取费表'!C42)+C76+C77,C75+C76+C77),0)</f>
        <v>0</v>
      </c>
      <c r="D74" s="200" t="s">
        <v>32</v>
      </c>
      <c r="E74" s="1795"/>
      <c r="F74" s="1789"/>
      <c r="G74" s="1789"/>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2261</v>
      </c>
      <c r="C75" s="218"/>
      <c r="D75" s="200" t="s">
        <v>32</v>
      </c>
      <c r="E75" s="219" t="s">
        <v>2262</v>
      </c>
      <c r="F75" s="2504" t="s">
        <v>2263</v>
      </c>
      <c r="G75" s="219" t="s">
        <v>2264</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2265</v>
      </c>
      <c r="C76" s="200">
        <f>IF(F75="购房发票",ROUND(C75*H75*D76,0),0)</f>
        <v>0</v>
      </c>
      <c r="D76" s="222">
        <v>0.05</v>
      </c>
      <c r="E76" s="3110" t="s">
        <v>2266</v>
      </c>
      <c r="F76" s="3109"/>
      <c r="G76" s="3109"/>
      <c r="H76" s="311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6" t="s">
        <v>2269</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2270</v>
      </c>
      <c r="C78" s="225">
        <f ca="1">ROUND(D45*D78/(1+'数据-取费表'!C42),0)</f>
        <v>76</v>
      </c>
      <c r="D78" s="226">
        <f>'数据-取费表'!B43</f>
        <v>5.000000000000001E-3</v>
      </c>
      <c r="E78" s="3101" t="s">
        <v>2271</v>
      </c>
      <c r="F78" s="3102"/>
      <c r="G78" s="3102"/>
      <c r="H78" s="310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2272</v>
      </c>
      <c r="C79" s="207">
        <f ca="1">C72-C73</f>
        <v>15084</v>
      </c>
      <c r="D79" s="200" t="s">
        <v>32</v>
      </c>
      <c r="E79" s="1795"/>
      <c r="F79" s="1789"/>
      <c r="G79" s="1789"/>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2273</v>
      </c>
      <c r="C80" s="227">
        <f ca="1">IF(C79&lt;=0,0,C79/C73)</f>
        <v>198.47368421052633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2274</v>
      </c>
      <c r="C81" s="228">
        <f ca="1">ROUND(IF(C79&lt;=0,0,IF(C80&gt;=200%,C79*60%-C73*35%,IF(C80&gt;=100%,C79*50%-C73*15%,IF(C80&gt;=50%,C79*40%-C73*5%,IF(C80&lt;50%,C79*30%,0))))),0)</f>
        <v>9024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13" t="s">
        <v>2275</v>
      </c>
      <c r="B83" s="3114"/>
      <c r="C83" s="3114"/>
      <c r="D83" s="3114"/>
      <c r="E83" s="3114"/>
      <c r="F83" s="3114"/>
      <c r="G83" s="3114"/>
      <c r="H83" s="311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04" t="s">
        <v>2238</v>
      </c>
      <c r="B84" s="3105"/>
      <c r="C84" s="1796"/>
      <c r="D84" s="1796" t="s">
        <v>2239</v>
      </c>
      <c r="E84" s="213" t="s">
        <v>2240</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2258</v>
      </c>
      <c r="C85" s="207">
        <f ca="1">ROUND(D45/(1+'数据-取费表'!C42),0)</f>
        <v>15160</v>
      </c>
      <c r="D85" s="200" t="s">
        <v>32</v>
      </c>
      <c r="E85" s="1795"/>
      <c r="F85" s="1789"/>
      <c r="G85" s="1789"/>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2259</v>
      </c>
      <c r="C86" s="207">
        <f ca="1">IF(H88="仅含出让金",C87+C90+C91+C92+C93+C94,C87+C91+C92+C93+C94)</f>
        <v>76</v>
      </c>
      <c r="D86" s="235"/>
      <c r="E86" s="1795"/>
      <c r="F86" s="1789"/>
      <c r="G86" s="1789"/>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2276</v>
      </c>
      <c r="C87" s="225">
        <f>C88+C89</f>
        <v>0</v>
      </c>
      <c r="D87" s="226"/>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2277</v>
      </c>
      <c r="C88" s="236"/>
      <c r="D88" s="226"/>
      <c r="E88" s="237" t="s">
        <v>2278</v>
      </c>
      <c r="F88" s="1792"/>
      <c r="G88" s="238" t="s">
        <v>2279</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2267</v>
      </c>
      <c r="C89" s="225">
        <f>ROUND(C88*D89,0)</f>
        <v>0</v>
      </c>
      <c r="D89" s="226">
        <f>'数据-取费表'!B48+'数据-取费表'!B49</f>
        <v>3.0499999999999999E-2</v>
      </c>
      <c r="E89" s="237" t="s">
        <v>2280</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2281</v>
      </c>
      <c r="C90" s="236"/>
      <c r="D90" s="226"/>
      <c r="E90" s="237"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2282</v>
      </c>
      <c r="B91" s="198" t="s">
        <v>2283</v>
      </c>
      <c r="C91" s="225">
        <f>IF(H91="——",成本法!C33,I91)</f>
        <v>0</v>
      </c>
      <c r="D91" s="226"/>
      <c r="E91" s="3101" t="s">
        <v>2284</v>
      </c>
      <c r="F91" s="3102"/>
      <c r="G91" s="3102"/>
      <c r="H91" s="2511" t="s">
        <v>2285</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2286</v>
      </c>
      <c r="B92" s="198" t="s">
        <v>2287</v>
      </c>
      <c r="C92" s="225">
        <f>ROUND((C87+C90+C91)*D92,0)</f>
        <v>0</v>
      </c>
      <c r="D92" s="226">
        <v>0.1</v>
      </c>
      <c r="E92" s="3101" t="s">
        <v>2288</v>
      </c>
      <c r="F92" s="3102"/>
      <c r="G92" s="3102"/>
      <c r="H92" s="310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2289</v>
      </c>
      <c r="B93" s="198" t="s">
        <v>2270</v>
      </c>
      <c r="C93" s="225">
        <f ca="1">ROUND(D45*D93/(1+'数据-取费表'!C42),0)</f>
        <v>76</v>
      </c>
      <c r="D93" s="226">
        <f>'数据-取费表'!B43</f>
        <v>5.000000000000001E-3</v>
      </c>
      <c r="E93" s="3101" t="s">
        <v>2271</v>
      </c>
      <c r="F93" s="3102"/>
      <c r="G93" s="3102"/>
      <c r="H93" s="310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2290</v>
      </c>
      <c r="B94" s="198" t="s">
        <v>2291</v>
      </c>
      <c r="C94" s="236">
        <f>ROUND((C87+C90+C91)*D94,0)</f>
        <v>0</v>
      </c>
      <c r="D94" s="226">
        <v>0.2</v>
      </c>
      <c r="E94" s="3149" t="s">
        <v>2292</v>
      </c>
      <c r="F94" s="3150"/>
      <c r="G94" s="3150"/>
      <c r="H94" s="315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2272</v>
      </c>
      <c r="C95" s="207">
        <f ca="1">ROUND(C85-C86,0)</f>
        <v>15084</v>
      </c>
      <c r="D95" s="200" t="s">
        <v>32</v>
      </c>
      <c r="E95" s="1795"/>
      <c r="F95" s="1789"/>
      <c r="G95" s="1789"/>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2273</v>
      </c>
      <c r="C96" s="227">
        <f ca="1">IF(C95&lt;=0,0,C95/C86)</f>
        <v>198.47368421052633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2274</v>
      </c>
      <c r="C97" s="228">
        <f ca="1">ROUND(IF(C95&lt;=0,0,IF(C96&gt;=200%,C95*60%-C86*35%,IF(C96&gt;=100%,C95*50%-C86*15%,IF(C96&gt;=50%,C95*40%-C86*5%,IF(C96&lt;50%,C95*30%,0))))),0)</f>
        <v>9024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8"/>
    </row>
    <row r="99" spans="1:35" ht="21.75" customHeight="1" thickBot="1">
      <c r="A99" s="2467" t="s">
        <v>2293</v>
      </c>
      <c r="B99" s="2411"/>
      <c r="C99" s="2411"/>
      <c r="D99" s="2411"/>
      <c r="E99" s="2158"/>
      <c r="F99" s="2158"/>
      <c r="G99" s="2158"/>
      <c r="H99" s="2157"/>
      <c r="I99" s="138"/>
    </row>
    <row r="100" spans="1:35" ht="18.75" customHeight="1">
      <c r="A100" s="3053" t="s">
        <v>2294</v>
      </c>
      <c r="B100" s="3054"/>
      <c r="C100" s="3054"/>
      <c r="D100" s="3085"/>
      <c r="E100" s="3054" t="s">
        <v>2295</v>
      </c>
      <c r="F100" s="3054"/>
      <c r="G100" s="3054"/>
      <c r="H100" s="3085"/>
      <c r="I100" s="138"/>
    </row>
    <row r="101" spans="1:35" ht="18.75" customHeight="1">
      <c r="A101" s="3093" t="s">
        <v>2296</v>
      </c>
      <c r="B101" s="3094"/>
      <c r="C101" s="736" t="str">
        <f>C4</f>
        <v>成本法</v>
      </c>
      <c r="D101" s="737" t="str">
        <f>D4</f>
        <v>收益法</v>
      </c>
      <c r="E101" s="3065" t="s">
        <v>2297</v>
      </c>
      <c r="F101" s="3066"/>
      <c r="G101" s="2513" t="s">
        <v>2298</v>
      </c>
      <c r="H101" s="1045">
        <f ca="1">H118</f>
        <v>15918</v>
      </c>
      <c r="I101" s="138"/>
    </row>
    <row r="102" spans="1:35" ht="18.75" customHeight="1">
      <c r="A102" s="3095" t="s">
        <v>2299</v>
      </c>
      <c r="B102" s="2513" t="s">
        <v>2298</v>
      </c>
      <c r="C102" s="736">
        <f ca="1">C19</f>
        <v>20232</v>
      </c>
      <c r="D102" s="737">
        <f ca="1">D19</f>
        <v>11604</v>
      </c>
      <c r="E102" s="3065"/>
      <c r="F102" s="3066"/>
      <c r="G102" s="2513" t="s">
        <v>2300</v>
      </c>
      <c r="H102" s="371">
        <f ca="1">I118</f>
        <v>6916</v>
      </c>
      <c r="I102" s="138"/>
    </row>
    <row r="103" spans="1:35" ht="42.75" customHeight="1">
      <c r="A103" s="3095"/>
      <c r="B103" s="2513" t="s">
        <v>2300</v>
      </c>
      <c r="C103" s="738">
        <f ca="1">C20</f>
        <v>8791</v>
      </c>
      <c r="D103" s="739">
        <f ca="1">D20</f>
        <v>5042</v>
      </c>
      <c r="E103" s="3059" t="s">
        <v>2301</v>
      </c>
      <c r="F103" s="3060"/>
      <c r="G103" s="2514" t="s">
        <v>2302</v>
      </c>
      <c r="H103" s="1045">
        <f>IF(D36="正常操作",H104+H105+H106,H105+H106)</f>
        <v>0</v>
      </c>
      <c r="I103" s="138"/>
    </row>
    <row r="104" spans="1:35" ht="18.75" customHeight="1">
      <c r="A104" s="3095" t="s">
        <v>2303</v>
      </c>
      <c r="B104" s="2515" t="s">
        <v>2298</v>
      </c>
      <c r="C104" s="740">
        <f ca="1">H118</f>
        <v>15918</v>
      </c>
      <c r="D104" s="741"/>
      <c r="E104" s="2259" t="s">
        <v>2304</v>
      </c>
      <c r="F104" s="2250"/>
      <c r="G104" s="2514" t="s">
        <v>2302</v>
      </c>
      <c r="H104" s="1046">
        <f>IF(D36="同一抵押权人同一抵押物续贷",C36&amp;"（未扣减，详见特别提示）",C36)</f>
        <v>0</v>
      </c>
      <c r="I104" s="138"/>
    </row>
    <row r="105" spans="1:35" ht="18.75" customHeight="1" thickBot="1">
      <c r="A105" s="3107"/>
      <c r="B105" s="2516" t="s">
        <v>2300</v>
      </c>
      <c r="C105" s="742">
        <f ca="1">I118</f>
        <v>6916</v>
      </c>
      <c r="D105" s="743"/>
      <c r="E105" s="2259" t="s">
        <v>2305</v>
      </c>
      <c r="F105" s="2250"/>
      <c r="G105" s="2514" t="s">
        <v>2302</v>
      </c>
      <c r="H105" s="1046">
        <f>C37</f>
        <v>0</v>
      </c>
      <c r="I105" s="138"/>
    </row>
    <row r="106" spans="1:35" ht="18.75" customHeight="1">
      <c r="A106" s="2411" t="s">
        <v>2306</v>
      </c>
      <c r="B106" s="2411"/>
      <c r="C106" s="2411"/>
      <c r="D106" s="2411"/>
      <c r="E106" s="2517" t="s">
        <v>2307</v>
      </c>
      <c r="F106" s="2250"/>
      <c r="G106" s="2514" t="s">
        <v>2302</v>
      </c>
      <c r="H106" s="1046">
        <f>C38</f>
        <v>0</v>
      </c>
      <c r="I106" s="138"/>
    </row>
    <row r="107" spans="1:35" ht="18.75" customHeight="1">
      <c r="A107" s="138"/>
      <c r="B107" s="138"/>
      <c r="C107" s="138"/>
      <c r="D107" s="138"/>
      <c r="E107" s="3096" t="str">
        <f>IF(项目基本情况!E8="已注销","——","3.房地产抵押价值")</f>
        <v>3.房地产抵押价值</v>
      </c>
      <c r="F107" s="3066"/>
      <c r="G107" s="2513" t="s">
        <v>2298</v>
      </c>
      <c r="H107" s="1045">
        <f ca="1">IF(E107="——","——",H101-H103)</f>
        <v>15918</v>
      </c>
      <c r="I107" s="138"/>
    </row>
    <row r="108" spans="1:35" ht="18.75" customHeight="1">
      <c r="A108" s="138"/>
      <c r="B108" s="138"/>
      <c r="C108" s="138"/>
      <c r="D108" s="138"/>
      <c r="E108" s="3096"/>
      <c r="F108" s="3066"/>
      <c r="G108" s="2513" t="s">
        <v>2300</v>
      </c>
      <c r="H108" s="371">
        <f ca="1">ROUND(H107*10000/'数据-汇总表'!E3,0)</f>
        <v>6916</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66"/>
      <c r="G109" s="2513" t="s">
        <v>2298</v>
      </c>
      <c r="H109" s="348" t="str">
        <f>IF(E109="——","——",H101-H105-H106)</f>
        <v>——</v>
      </c>
      <c r="I109" s="138"/>
    </row>
    <row r="110" spans="1:35" ht="18.75" customHeight="1">
      <c r="A110" s="138"/>
      <c r="B110" s="138"/>
      <c r="C110" s="138"/>
      <c r="D110" s="138"/>
      <c r="E110" s="3096"/>
      <c r="F110" s="3066"/>
      <c r="G110" s="2513" t="s">
        <v>2300</v>
      </c>
      <c r="H110" s="371" t="str">
        <f>IF(H109="——","——",ROUND(H109*10000/'数据-汇总表'!E3,0))</f>
        <v>——</v>
      </c>
      <c r="I110" s="138"/>
    </row>
    <row r="111" spans="1:35" ht="18.75" customHeight="1">
      <c r="A111" s="138"/>
      <c r="B111" s="138"/>
      <c r="C111" s="138"/>
      <c r="D111" s="138"/>
      <c r="E111" s="3097" t="str">
        <f>IF(项目基本情况!E9="抵押净值",IF(OR(项目基本情况!E8="已注销",项目基本情况!E8="房地产抵押价值"),"4.抵押净值","5.抵押净值"),"——")</f>
        <v>——</v>
      </c>
      <c r="F111" s="3098"/>
      <c r="G111" s="2513" t="s">
        <v>2298</v>
      </c>
      <c r="H111" s="1045" t="str">
        <f>IF(E111="——","——",N59)</f>
        <v>——</v>
      </c>
      <c r="I111" s="138"/>
    </row>
    <row r="112" spans="1:35" ht="18.75" customHeight="1" thickBot="1">
      <c r="A112" s="138"/>
      <c r="B112" s="138"/>
      <c r="C112" s="138"/>
      <c r="D112" s="138"/>
      <c r="E112" s="3099"/>
      <c r="F112" s="3100"/>
      <c r="G112" s="2518" t="s">
        <v>2300</v>
      </c>
      <c r="H112" s="790" t="str">
        <f>IF(E111="——","——",N61)</f>
        <v>——</v>
      </c>
      <c r="I112" s="138"/>
    </row>
    <row r="113" spans="1:11" ht="18.75" customHeight="1">
      <c r="A113" s="138"/>
      <c r="B113" s="138"/>
      <c r="C113" s="138"/>
      <c r="D113" s="138"/>
      <c r="E113" s="3108" t="s">
        <v>2306</v>
      </c>
      <c r="F113" s="3108"/>
      <c r="G113" s="3108"/>
      <c r="H113" s="3108"/>
      <c r="I113" s="138"/>
    </row>
    <row r="114" spans="1:11" ht="3.75" customHeight="1">
      <c r="A114" s="2411"/>
      <c r="B114" s="2411"/>
      <c r="C114" s="2411"/>
      <c r="D114" s="2411"/>
      <c r="E114" s="2489"/>
      <c r="F114" s="2489"/>
      <c r="G114" s="2489"/>
      <c r="H114" s="2489"/>
      <c r="I114" s="2411"/>
    </row>
    <row r="115" spans="1:11" ht="18.75" customHeight="1">
      <c r="A115" s="3121" t="s">
        <v>2308</v>
      </c>
      <c r="B115" s="3122"/>
      <c r="C115" s="3122"/>
      <c r="D115" s="3122"/>
      <c r="E115" s="3122"/>
      <c r="F115" s="3122"/>
      <c r="G115" s="3122"/>
      <c r="H115" s="3122"/>
      <c r="I115" s="3123"/>
    </row>
    <row r="116" spans="1:11" ht="27" customHeight="1">
      <c r="A116" s="3032" t="s">
        <v>2309</v>
      </c>
      <c r="B116" s="3075" t="s">
        <v>2310</v>
      </c>
      <c r="C116" s="3075" t="s">
        <v>2311</v>
      </c>
      <c r="D116" s="3081" t="s">
        <v>2312</v>
      </c>
      <c r="E116" s="3082"/>
      <c r="F116" s="3117" t="s">
        <v>2313</v>
      </c>
      <c r="G116" s="3117"/>
      <c r="H116" s="3032" t="s">
        <v>2314</v>
      </c>
      <c r="I116" s="3032"/>
      <c r="J116" s="795">
        <v>14870</v>
      </c>
    </row>
    <row r="117" spans="1:11" ht="18.75" customHeight="1">
      <c r="A117" s="3032"/>
      <c r="B117" s="3076"/>
      <c r="C117" s="3076"/>
      <c r="D117" s="1790" t="s">
        <v>2315</v>
      </c>
      <c r="E117" s="1790" t="s">
        <v>2316</v>
      </c>
      <c r="F117" s="1790" t="s">
        <v>2315</v>
      </c>
      <c r="G117" s="1790" t="s">
        <v>2317</v>
      </c>
      <c r="H117" s="1790" t="s">
        <v>2315</v>
      </c>
      <c r="I117" s="1790" t="s">
        <v>2317</v>
      </c>
    </row>
    <row r="118" spans="1:11" ht="24.75" customHeight="1">
      <c r="A118" s="2519" t="str">
        <f>项目基本情况!S2</f>
        <v>北京市顺义区坞里路68号6号楼1至2层101出让国有建设用地使用权及在建建筑物房地产</v>
      </c>
      <c r="B118" s="1790">
        <f>M18</f>
        <v>23014.799999999999</v>
      </c>
      <c r="C118" s="1790">
        <f>M19</f>
        <v>61612.73</v>
      </c>
      <c r="D118" s="1790">
        <f ca="1">ROUND(IF(D32="总价",C34,E118*B118/10000),0)</f>
        <v>8691</v>
      </c>
      <c r="E118" s="1790">
        <f ca="1">ROUND(IF(C33="自定义",IF(D32="楼面单价",C34,D118*10000/B118),I118-G118),0)</f>
        <v>3776</v>
      </c>
      <c r="F118" s="1790">
        <f ca="1">ROUND(IF(D32="总价",C35,G118*B118/10000),0)</f>
        <v>7227</v>
      </c>
      <c r="G118" s="1790">
        <f ca="1">ROUND(IF(D32="楼面单价",C35,F118*10000/B118),0)</f>
        <v>3140</v>
      </c>
      <c r="H118" s="1790">
        <f ca="1">ROUND(IF(D32="总价",C32,I118*B118/10000),0)</f>
        <v>15918</v>
      </c>
      <c r="I118" s="1790">
        <f ca="1">ROUND(IF(D32="楼面单价",C32,H118*10000/B118),0)</f>
        <v>6916</v>
      </c>
      <c r="J118" s="795">
        <f ca="1">D118/C118*666.67</f>
        <v>94.039478042930412</v>
      </c>
    </row>
    <row r="119" spans="1:11" ht="18.75" customHeight="1">
      <c r="A119" s="3032" t="s">
        <v>2318</v>
      </c>
      <c r="B119" s="3032"/>
      <c r="C119" s="3032"/>
      <c r="D119" s="3077" t="str">
        <f ca="1">NUMBERSTRING(INT(D118*10000),2)&amp;"元整"</f>
        <v>捌仟陆佰玖拾壹万元整</v>
      </c>
      <c r="E119" s="3078"/>
      <c r="F119" s="3077" t="str">
        <f ca="1">NUMBERSTRING(INT(F118*10000),2)&amp;"元整"</f>
        <v>柒仟贰佰贰拾柒万元整</v>
      </c>
      <c r="G119" s="3078"/>
      <c r="H119" s="3077" t="str">
        <f ca="1">NUMBERSTRING(INT(H118*10000),2)&amp;"元整"</f>
        <v>壹亿伍仟玖佰壹拾捌万元整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16" t="str">
        <f>IF(D120=0,"故，本次评估不存在"&amp;A120,"故，本次评估"&amp;A120&amp;"为人民币"&amp;D120&amp;"万元整。")</f>
        <v>故，本次评估不存在估价师知悉的法定优先受偿款</v>
      </c>
    </row>
    <row r="121" spans="1:11" ht="18.75" customHeight="1">
      <c r="A121" s="3118" t="s">
        <v>2318</v>
      </c>
      <c r="B121" s="3119"/>
      <c r="C121" s="3120"/>
      <c r="D121" s="3077" t="str">
        <f>IF(D120=0,"零元整",NUMBERSTRING(INT(D120*10000),2)&amp;"元整")</f>
        <v>零元整</v>
      </c>
      <c r="E121" s="3079"/>
      <c r="F121" s="3079"/>
      <c r="G121" s="3079"/>
      <c r="H121" s="3079"/>
      <c r="I121" s="3078"/>
      <c r="J121" s="795">
        <f ca="1">H118</f>
        <v>15918</v>
      </c>
    </row>
    <row r="122" spans="1:11" ht="18.75" customHeight="1">
      <c r="A122" s="3083" t="str">
        <f>IF(项目基本情况!B9="房地产市场价值","",MID(E107,3,LEN(E107)-2))</f>
        <v>房地产抵押价值</v>
      </c>
      <c r="B122" s="3083"/>
      <c r="C122" s="3083"/>
      <c r="D122" s="3072">
        <f ca="1">H107</f>
        <v>15918</v>
      </c>
      <c r="E122" s="3073"/>
      <c r="F122" s="3073"/>
      <c r="G122" s="3073"/>
      <c r="H122" s="3073"/>
      <c r="I122" s="3074"/>
    </row>
    <row r="123" spans="1:11" ht="18.75" customHeight="1">
      <c r="A123" s="3032" t="s">
        <v>2318</v>
      </c>
      <c r="B123" s="3032"/>
      <c r="C123" s="3032"/>
      <c r="D123" s="3077" t="str">
        <f ca="1">NUMBERSTRING(INT(D122*10000),2)&amp;"元整"</f>
        <v>壹亿伍仟玖佰壹拾捌万元整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2318</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2318</v>
      </c>
      <c r="B127" s="3032"/>
      <c r="C127" s="3032"/>
      <c r="D127" s="3077" t="e">
        <f>NUMBERSTRING(INT(D126*10000),2)&amp;"元整"</f>
        <v>#VALUE!</v>
      </c>
      <c r="E127" s="3079"/>
      <c r="F127" s="3079"/>
      <c r="G127" s="3079"/>
      <c r="H127" s="3079"/>
      <c r="I127" s="3078"/>
    </row>
    <row r="128" spans="1:11" ht="21.75" customHeight="1">
      <c r="A128" s="3080" t="s">
        <v>2319</v>
      </c>
      <c r="B128" s="3080"/>
      <c r="C128" s="3080"/>
      <c r="D128" s="3080"/>
      <c r="E128" s="3080"/>
      <c r="F128" s="3080"/>
      <c r="G128" s="3080"/>
      <c r="H128" s="3080"/>
      <c r="I128" s="3080"/>
    </row>
    <row r="129" spans="1:35" ht="21.75" customHeight="1">
      <c r="A129" s="2520" t="s">
        <v>2320</v>
      </c>
      <c r="B129" s="2521"/>
      <c r="C129" s="2522" t="s">
        <v>2321</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2322</v>
      </c>
      <c r="G135" s="2537"/>
      <c r="H135" s="2537"/>
      <c r="I135" s="2538" t="s">
        <v>2323</v>
      </c>
    </row>
    <row r="136" spans="1:35" ht="21.75" customHeight="1">
      <c r="A136" s="795"/>
      <c r="B136" s="2539"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2325</v>
      </c>
    </row>
    <row r="139" spans="1:35" ht="21.75" customHeight="1">
      <c r="A139" s="795"/>
      <c r="B139" s="2539" t="s">
        <v>2326</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2325</v>
      </c>
    </row>
    <row r="142" spans="1:35" ht="21.75" customHeight="1">
      <c r="A142" s="795"/>
      <c r="B142" s="2539"/>
      <c r="C142" s="2540"/>
      <c r="D142" s="2541"/>
      <c r="E142" s="2541"/>
      <c r="F142" s="2333"/>
      <c r="G142" s="795"/>
      <c r="H142" s="795"/>
      <c r="I142" s="795"/>
    </row>
    <row r="143" spans="1:35" s="139" customFormat="1" ht="21.75" customHeight="1">
      <c r="A143" s="795"/>
      <c r="B143" s="2539"/>
      <c r="C143" s="2540"/>
      <c r="D143" s="2541"/>
      <c r="E143" s="2541"/>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33" priority="21" stopIfTrue="1" operator="equal">
      <formula>25</formula>
    </cfRule>
  </conditionalFormatting>
  <conditionalFormatting sqref="C8:C9">
    <cfRule type="cellIs" dxfId="132" priority="19" stopIfTrue="1" operator="equal">
      <formula>15</formula>
    </cfRule>
  </conditionalFormatting>
  <conditionalFormatting sqref="C14:C16">
    <cfRule type="cellIs" dxfId="131" priority="13" stopIfTrue="1" operator="equal">
      <formula>30</formula>
    </cfRule>
  </conditionalFormatting>
  <conditionalFormatting sqref="D5:D7">
    <cfRule type="cellIs" dxfId="130" priority="10" stopIfTrue="1" operator="equal">
      <formula>25</formula>
    </cfRule>
  </conditionalFormatting>
  <conditionalFormatting sqref="D8:D9">
    <cfRule type="cellIs" dxfId="129" priority="9" stopIfTrue="1" operator="equal">
      <formula>15</formula>
    </cfRule>
  </conditionalFormatting>
  <conditionalFormatting sqref="C10:D13">
    <cfRule type="cellIs" dxfId="128" priority="8" stopIfTrue="1" operator="equal">
      <formula>15</formula>
    </cfRule>
  </conditionalFormatting>
  <conditionalFormatting sqref="D14:D16">
    <cfRule type="cellIs" dxfId="127" priority="6" stopIfTrue="1" operator="equal">
      <formula>30</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1"/>
      <c r="C1" s="2548" t="s">
        <v>2429</v>
      </c>
      <c r="D1" s="242"/>
      <c r="E1" s="242"/>
      <c r="F1" s="242"/>
      <c r="G1" s="1379">
        <f>MATCH(B1,'数据-取费表'!A6:A16,0)+5</f>
        <v>7</v>
      </c>
      <c r="H1" s="1282" t="str">
        <f>IF(ISERROR(FIND("住宅",B1)),"非住宅","住宅")</f>
        <v>非住宅</v>
      </c>
    </row>
    <row r="2" spans="1:8" s="244" customFormat="1" ht="18" customHeight="1">
      <c r="A2" s="245" t="s">
        <v>2328</v>
      </c>
      <c r="B2" s="246">
        <f ca="1">ROUND(IF(D2="——",C52/10000,C52/10000-E2),0)</f>
        <v>9841</v>
      </c>
      <c r="C2" s="243" t="s">
        <v>2329</v>
      </c>
      <c r="D2" s="2542" t="s">
        <v>70</v>
      </c>
      <c r="E2" s="1440" t="e">
        <f ca="1">SUMIF(INDIRECT("'"&amp;G2&amp;"'"&amp;"!A:A"),"承租人权益价值",INDIRECT("'"&amp;G2&amp;"'"&amp;"!c:c"))</f>
        <v>#REF!</v>
      </c>
      <c r="F2" s="2543" t="s">
        <v>2329</v>
      </c>
      <c r="G2" s="2544"/>
    </row>
    <row r="3" spans="1:8" s="244" customFormat="1" ht="18" customHeight="1" thickBot="1">
      <c r="A3" s="247" t="s">
        <v>2330</v>
      </c>
      <c r="B3" s="248">
        <f ca="1">ROUND(B2*10000/(IF(B1="",'数据-汇总表'!E3,INDIRECT("'数据-取费表'!k"&amp;$G$1))),0)</f>
        <v>4276</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0</v>
      </c>
      <c r="D8" s="266"/>
      <c r="E8" s="264"/>
      <c r="F8" s="265"/>
      <c r="G8" s="2545"/>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0</v>
      </c>
      <c r="D10" s="1032">
        <f ca="1">IF(B1="",'数据-汇总表'!E6,IF(INDIRECT("'数据-取费表'!c"&amp;$G$1)="住宅",INDIRECT("'数据-取费表'!s"&amp;$G$1),INDIRECT("'数据-取费表'!k"&amp;$G$1)+INDIRECT("'数据-取费表'!s"&amp;$G$1)))</f>
        <v>23014.799999999999</v>
      </c>
      <c r="E10" s="269">
        <f>'数据-取费表'!B28</f>
        <v>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4602960</v>
      </c>
      <c r="D19" s="1036">
        <f ca="1">D9+D10</f>
        <v>23014.799999999999</v>
      </c>
      <c r="E19" s="255">
        <f>'数据-取费表'!B31</f>
        <v>200</v>
      </c>
      <c r="F19" s="275"/>
      <c r="G19" s="2545"/>
    </row>
    <row r="20" spans="1:7" s="258" customFormat="1" ht="13.5" customHeight="1">
      <c r="A20" s="299" t="s">
        <v>2440</v>
      </c>
      <c r="B20" s="254" t="s">
        <v>2441</v>
      </c>
      <c r="C20" s="276">
        <f ca="1">ROUND((C5+C19)*F20,0)</f>
        <v>138089</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0">
        <f ca="1">ROUND(SUM(C23:C25),0)</f>
        <v>454226</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0</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447667</v>
      </c>
      <c r="D24" s="282"/>
      <c r="E24" s="282"/>
      <c r="F24" s="283"/>
      <c r="G24" s="284" t="s">
        <v>2452</v>
      </c>
    </row>
    <row r="25" spans="1:7" s="258" customFormat="1" ht="24">
      <c r="A25" s="951" t="s">
        <v>2342</v>
      </c>
      <c r="B25" s="259" t="s">
        <v>2453</v>
      </c>
      <c r="C25" s="1381">
        <f ca="1">ROUND(IF('数据-取费表'!B22&lt;=1,C20*F22*'数据-取费表'!B22/2,C20*(POWER((1+F22),'数据-取费表'!B22/2)-1)),0)</f>
        <v>6559</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711157</v>
      </c>
      <c r="D27" s="279">
        <f ca="1">C29</f>
        <v>4.4999999999999997E-3</v>
      </c>
      <c r="E27" s="280" t="s">
        <v>2380</v>
      </c>
      <c r="F27" s="290">
        <f ca="1">IF(B1="",'数据-取费表'!Q16,INDIRECT("'数据-取费表'!q"&amp;$G$1))</f>
        <v>0.15</v>
      </c>
      <c r="G27" s="291" t="s">
        <v>2381</v>
      </c>
    </row>
    <row r="28" spans="1:7" s="258" customFormat="1" ht="13.5" customHeight="1">
      <c r="A28" s="951" t="s">
        <v>791</v>
      </c>
      <c r="B28" s="292" t="s">
        <v>2382</v>
      </c>
      <c r="C28" s="293">
        <f ca="1">ROUND((C5+C19+C20)*F27,0)</f>
        <v>711157</v>
      </c>
      <c r="D28" s="279"/>
      <c r="E28" s="280"/>
      <c r="F28" s="290"/>
      <c r="G28" s="291"/>
    </row>
    <row r="29" spans="1:7" s="258" customFormat="1" ht="13.5" customHeight="1">
      <c r="A29" s="951" t="s">
        <v>792</v>
      </c>
      <c r="B29" s="292" t="s">
        <v>2383</v>
      </c>
      <c r="C29" s="282">
        <f ca="1">ROUND(C21*F27,4)</f>
        <v>4.4999999999999997E-3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6478482</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70782017</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62139960</v>
      </c>
      <c r="D34" s="261"/>
      <c r="E34" s="264"/>
      <c r="F34" s="301"/>
      <c r="G34" s="263"/>
    </row>
    <row r="35" spans="1:7" ht="13.5" customHeight="1">
      <c r="A35" s="951" t="s">
        <v>796</v>
      </c>
      <c r="B35" s="259" t="s">
        <v>2393</v>
      </c>
      <c r="C35" s="264">
        <f ca="1">ROUND(C34*F35,0)</f>
        <v>3106998</v>
      </c>
      <c r="D35" s="264"/>
      <c r="E35" s="264"/>
      <c r="F35" s="303">
        <f>'数据-取费表'!B33</f>
        <v>0.05</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4602960</v>
      </c>
      <c r="D37" s="261">
        <f ca="1">D19</f>
        <v>23014.799999999999</v>
      </c>
      <c r="E37" s="293">
        <f>'数据-取费表'!B35</f>
        <v>200</v>
      </c>
      <c r="F37" s="303"/>
      <c r="G37" s="305"/>
    </row>
    <row r="38" spans="1:7" ht="13.5" customHeight="1">
      <c r="A38" s="951" t="s">
        <v>799</v>
      </c>
      <c r="B38" s="259" t="s">
        <v>2399</v>
      </c>
      <c r="C38" s="264">
        <f ca="1">ROUND(C34*F38,0)</f>
        <v>932099</v>
      </c>
      <c r="D38" s="264"/>
      <c r="E38" s="264"/>
      <c r="F38" s="303">
        <f>'数据-取费表'!B36</f>
        <v>1.4999999999999999E-2</v>
      </c>
      <c r="G38" s="263" t="s">
        <v>2394</v>
      </c>
    </row>
    <row r="39" spans="1:7" s="258" customFormat="1" ht="13.5" customHeight="1">
      <c r="A39" s="299" t="s">
        <v>2400</v>
      </c>
      <c r="B39" s="254" t="s">
        <v>2401</v>
      </c>
      <c r="C39" s="276">
        <f ca="1">ROUND(C33*F20,0)</f>
        <v>2123461</v>
      </c>
      <c r="D39" s="276"/>
      <c r="E39" s="276"/>
      <c r="F39" s="277"/>
      <c r="G39" s="278" t="s">
        <v>2402</v>
      </c>
    </row>
    <row r="40" spans="1:7" s="258" customFormat="1" ht="13.5" customHeight="1">
      <c r="A40" s="299" t="s">
        <v>2403</v>
      </c>
      <c r="B40" s="254" t="s">
        <v>2404</v>
      </c>
      <c r="C40" s="1723">
        <f>F21</f>
        <v>0.03</v>
      </c>
      <c r="D40" s="280" t="s">
        <v>2405</v>
      </c>
      <c r="E40" s="276"/>
      <c r="F40" s="277"/>
      <c r="G40" s="278" t="s">
        <v>2406</v>
      </c>
    </row>
    <row r="41" spans="1:7" s="258" customFormat="1" ht="13.5" customHeight="1">
      <c r="A41" s="299" t="s">
        <v>2407</v>
      </c>
      <c r="B41" s="254" t="s">
        <v>2408</v>
      </c>
      <c r="C41" s="276">
        <f ca="1">ROUND(SUM(C42:C43),0)</f>
        <v>3463010</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3362146</v>
      </c>
      <c r="D42" s="282"/>
      <c r="E42" s="282"/>
      <c r="F42" s="283"/>
      <c r="G42" s="3152" t="s">
        <v>2457</v>
      </c>
    </row>
    <row r="43" spans="1:7" ht="13.5" customHeight="1">
      <c r="A43" s="951" t="s">
        <v>792</v>
      </c>
      <c r="B43" s="259" t="s">
        <v>2411</v>
      </c>
      <c r="C43" s="282">
        <f ca="1">ROUND(IF('数据-取费表'!B22&lt;=1,C39*F22*'数据-取费表'!B20/2,C39*(POWER((1+F22),'数据-取费表'!B20/2)-1)),0)</f>
        <v>100864</v>
      </c>
      <c r="D43" s="282"/>
      <c r="E43" s="282"/>
      <c r="F43" s="283"/>
      <c r="G43" s="3153"/>
    </row>
    <row r="44" spans="1:7" ht="13.5" customHeight="1">
      <c r="A44" s="951" t="s">
        <v>793</v>
      </c>
      <c r="B44" s="259" t="s">
        <v>2412</v>
      </c>
      <c r="C44" s="282">
        <f ca="1">ROUND(IF('数据-取费表'!B22&lt;=1,C40*F22*'数据-取费表'!B20/2,C40*(POWER((1+F22),'数据-取费表'!B20/2)-1)),4)</f>
        <v>1.4E-3</v>
      </c>
      <c r="D44" s="282"/>
      <c r="E44" s="282"/>
      <c r="F44" s="283"/>
      <c r="G44" s="3154"/>
    </row>
    <row r="45" spans="1:7" s="258" customFormat="1" ht="13.5" customHeight="1">
      <c r="A45" s="299" t="s">
        <v>2413</v>
      </c>
      <c r="B45" s="288" t="s">
        <v>2379</v>
      </c>
      <c r="C45" s="289">
        <f ca="1">C46</f>
        <v>10935822</v>
      </c>
      <c r="D45" s="279">
        <f ca="1">C47</f>
        <v>4.4999999999999997E-3</v>
      </c>
      <c r="E45" s="280" t="s">
        <v>2405</v>
      </c>
      <c r="F45" s="290"/>
      <c r="G45" s="291" t="s">
        <v>2414</v>
      </c>
    </row>
    <row r="46" spans="1:7" s="258" customFormat="1" ht="13.5" customHeight="1">
      <c r="A46" s="951" t="s">
        <v>791</v>
      </c>
      <c r="B46" s="292" t="s">
        <v>2415</v>
      </c>
      <c r="C46" s="293">
        <f ca="1">ROUND((C33+C39)*F27,0)</f>
        <v>10935822</v>
      </c>
      <c r="D46" s="307"/>
      <c r="E46" s="280"/>
      <c r="F46" s="290"/>
      <c r="G46" s="291"/>
    </row>
    <row r="47" spans="1:7" s="258" customFormat="1" ht="13.5" customHeight="1">
      <c r="A47" s="951" t="s">
        <v>792</v>
      </c>
      <c r="B47" s="292" t="s">
        <v>2416</v>
      </c>
      <c r="C47" s="282">
        <f ca="1">ROUND(C40*F27,4)</f>
        <v>4.4999999999999997E-3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95759910</v>
      </c>
      <c r="D49" s="276"/>
      <c r="E49" s="276"/>
      <c r="F49" s="308"/>
      <c r="G49" s="278" t="s">
        <v>2420</v>
      </c>
    </row>
    <row r="50" spans="1:7" s="302" customFormat="1">
      <c r="A50" s="299" t="s">
        <v>2421</v>
      </c>
      <c r="B50" s="254" t="s">
        <v>2422</v>
      </c>
      <c r="C50" s="276"/>
      <c r="D50" s="276"/>
      <c r="E50" s="276"/>
      <c r="F50" s="308">
        <f>IF('数据-取费表'!B24=0,'数据-取费表'!N16,1)</f>
        <v>0.96</v>
      </c>
      <c r="G50" s="291"/>
    </row>
    <row r="51" spans="1:7" ht="16.5" customHeight="1">
      <c r="A51" s="299" t="s">
        <v>2424</v>
      </c>
      <c r="B51" s="254" t="s">
        <v>2459</v>
      </c>
      <c r="C51" s="276">
        <f ca="1">ROUND(C49*F50,0)</f>
        <v>91929514</v>
      </c>
      <c r="D51" s="276"/>
      <c r="E51" s="276"/>
      <c r="F51" s="308"/>
      <c r="G51" s="278" t="s">
        <v>2426</v>
      </c>
    </row>
    <row r="52" spans="1:7" s="252" customFormat="1" ht="16.5" thickBot="1">
      <c r="A52" s="309" t="s">
        <v>2427</v>
      </c>
      <c r="B52" s="310"/>
      <c r="C52" s="311">
        <f ca="1">C31+C51</f>
        <v>98407996</v>
      </c>
      <c r="D52" s="310"/>
      <c r="E52" s="310"/>
      <c r="F52" s="310"/>
      <c r="G52" s="312"/>
    </row>
    <row r="55" spans="1:7" ht="15">
      <c r="B55" s="314" t="s">
        <v>2428</v>
      </c>
      <c r="C55" s="315"/>
    </row>
    <row r="56" spans="1:7">
      <c r="B56" s="317" t="s">
        <v>1508</v>
      </c>
      <c r="C56" s="319">
        <f ca="1">1-C57</f>
        <v>6.5999999999999948E-2</v>
      </c>
    </row>
    <row r="57" spans="1:7">
      <c r="B57" s="317" t="s">
        <v>1509</v>
      </c>
      <c r="C57" s="318">
        <f ca="1">ROUND(C51/C52,3)</f>
        <v>0.93400000000000005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6" t="str">
        <f>项目基本情况!B1</f>
        <v>北京市顺义区坞里路68号6号楼1至2层101出让国有建设用地使用权及在建建筑物房地产抵押价值预评估</v>
      </c>
      <c r="C37" s="2966"/>
      <c r="D37" s="2966"/>
      <c r="E37" s="2966"/>
      <c r="F37" s="2966"/>
      <c r="G37" s="2966"/>
      <c r="H37" s="2966"/>
      <c r="I37" s="2966"/>
    </row>
    <row r="38" spans="1:9">
      <c r="A38" s="1016"/>
      <c r="B38" s="1016"/>
    </row>
    <row r="39" spans="1:9">
      <c r="A39" s="1014" t="s">
        <v>818</v>
      </c>
      <c r="B39" s="1014" t="s">
        <v>820</v>
      </c>
    </row>
    <row r="40" spans="1:9">
      <c r="A40" s="1014"/>
      <c r="B40" s="1936" t="str">
        <f>项目基本情况!B5</f>
        <v>曲美家居集团股份有限公司</v>
      </c>
    </row>
    <row r="41" spans="1:9">
      <c r="A41" s="1014"/>
      <c r="B41" s="1014"/>
    </row>
    <row r="42" spans="1:9">
      <c r="A42" s="1014" t="s">
        <v>818</v>
      </c>
      <c r="B42" s="1014" t="s">
        <v>821</v>
      </c>
    </row>
    <row r="43" spans="1:9">
      <c r="A43" s="1014"/>
      <c r="B43" s="1936" t="s">
        <v>822</v>
      </c>
    </row>
    <row r="44" spans="1:9">
      <c r="A44" s="1014"/>
      <c r="B44" s="1014"/>
    </row>
    <row r="45" spans="1:9">
      <c r="A45" s="1014" t="s">
        <v>818</v>
      </c>
      <c r="B45" s="1014" t="s">
        <v>823</v>
      </c>
    </row>
    <row r="46" spans="1:9" s="1014" customFormat="1" ht="12.75">
      <c r="B46" s="1936" t="str">
        <f ca="1">项目基本情况!K4</f>
        <v>郑燚（注册号：0)、崔锴（注册号：1120100036)</v>
      </c>
    </row>
    <row r="47" spans="1:9">
      <c r="A47" s="1014"/>
      <c r="B47" s="1014" t="str">
        <f>项目基本情况!K5</f>
        <v/>
      </c>
    </row>
    <row r="48" spans="1:9">
      <c r="A48" s="1014" t="s">
        <v>818</v>
      </c>
      <c r="B48" s="1014"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76"/>
      <c r="C1" s="1577"/>
      <c r="D1" s="1575"/>
      <c r="E1" s="320"/>
      <c r="F1" s="320"/>
      <c r="G1" s="1576"/>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49" t="s">
        <v>2466</v>
      </c>
      <c r="D5" s="2549" t="s">
        <v>2467</v>
      </c>
      <c r="E5" s="2549" t="s">
        <v>2468</v>
      </c>
      <c r="F5" s="2549"/>
      <c r="G5" s="2549"/>
      <c r="H5" s="2549"/>
      <c r="I5" s="2549"/>
      <c r="J5" s="2549"/>
      <c r="K5" s="2549"/>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0"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0</v>
      </c>
      <c r="D12" s="973"/>
      <c r="E12" s="375"/>
      <c r="F12" s="976">
        <f>'数据-取费表'!B33</f>
        <v>0.05</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23014.799999999999</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0</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40"/>
      <c r="H16" s="1573"/>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23014.799999999999</v>
      </c>
      <c r="E17" s="24">
        <f>'数据-取费表'!B32</f>
        <v>0</v>
      </c>
      <c r="F17" s="978"/>
      <c r="G17" s="140" t="s">
        <v>2492</v>
      </c>
      <c r="H17" s="1573"/>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0</v>
      </c>
      <c r="D18" s="1033"/>
      <c r="E18" s="24"/>
      <c r="F18" s="976"/>
      <c r="G18" s="2551"/>
      <c r="H18" s="1572"/>
      <c r="I18" s="2552"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4"/>
      <c r="I19" s="981"/>
      <c r="J19" s="981"/>
      <c r="K19" s="982"/>
    </row>
    <row r="20" spans="1:33" s="975" customFormat="1" ht="13.5" customHeight="1">
      <c r="A20" s="971" t="s">
        <v>806</v>
      </c>
      <c r="B20" s="972" t="s">
        <v>2496</v>
      </c>
      <c r="C20" s="24">
        <f ca="1">ROUND(D20*E20/10000,0)</f>
        <v>0</v>
      </c>
      <c r="D20" s="1033">
        <f ca="1">IF(C1="",'数据-汇总表'!E6,IF(INDIRECT("'数据-取费表'!c"&amp;$K$1)="住宅",INDIRECT("'数据-取费表'!s"&amp;$K$1),INDIRECT("'数据-取费表'!k"&amp;$K$1)+INDIRECT("'数据-取费表'!s"&amp;$K$1)))</f>
        <v>23014.799999999999</v>
      </c>
      <c r="E20" s="24">
        <f>'数据-取费表'!B28</f>
        <v>0</v>
      </c>
      <c r="F20" s="976"/>
      <c r="G20" s="15"/>
      <c r="H20" s="981"/>
      <c r="I20" s="981"/>
      <c r="J20" s="981"/>
      <c r="K20" s="982"/>
    </row>
    <row r="21" spans="1:33" s="975" customFormat="1" ht="13.5" customHeight="1">
      <c r="A21" s="961" t="s">
        <v>802</v>
      </c>
      <c r="B21" s="985" t="s">
        <v>2497</v>
      </c>
      <c r="C21" s="986">
        <f ca="1">C16+C17+C18</f>
        <v>0</v>
      </c>
      <c r="D21" s="987"/>
      <c r="E21" s="325"/>
      <c r="F21" s="325"/>
      <c r="G21" s="140" t="s">
        <v>2498</v>
      </c>
      <c r="H21" s="979"/>
      <c r="I21" s="979"/>
      <c r="J21" s="979"/>
      <c r="K21" s="980"/>
    </row>
    <row r="22" spans="1:33" s="975" customFormat="1" ht="13.5" customHeight="1">
      <c r="A22" s="961" t="s">
        <v>2470</v>
      </c>
      <c r="B22" s="985" t="s">
        <v>2499</v>
      </c>
      <c r="C22" s="986">
        <f ca="1">ROUND(C21*F22,0)</f>
        <v>0</v>
      </c>
      <c r="D22" s="325"/>
      <c r="E22" s="325"/>
      <c r="F22" s="988">
        <f>'数据-取费表'!B37</f>
        <v>0.03</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0.03</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9"/>
      <c r="I27" s="979"/>
      <c r="J27" s="979"/>
      <c r="K27" s="980"/>
    </row>
    <row r="28" spans="1:33" s="333" customFormat="1" ht="13.5" customHeight="1">
      <c r="A28" s="961" t="s">
        <v>2510</v>
      </c>
      <c r="B28" s="2554" t="s">
        <v>2511</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0</v>
      </c>
      <c r="D30" s="328"/>
      <c r="E30" s="329"/>
      <c r="F30" s="334"/>
      <c r="G30" s="140"/>
      <c r="H30" s="979"/>
      <c r="I30" s="979"/>
      <c r="J30" s="979"/>
      <c r="K30" s="980"/>
    </row>
    <row r="31" spans="1:33" s="975" customFormat="1" ht="13.5" customHeight="1" thickBot="1">
      <c r="A31" s="2555" t="s">
        <v>2515</v>
      </c>
      <c r="B31" s="1005" t="s">
        <v>2516</v>
      </c>
      <c r="C31" s="1006">
        <f>ROUND(C4*F31/(1+'数据-取费表'!C42),0)</f>
        <v>0</v>
      </c>
      <c r="D31" s="1007"/>
      <c r="E31" s="1008"/>
      <c r="F31" s="1009">
        <f>'数据-取费表'!B41</f>
        <v>5.5000000000000007E-2</v>
      </c>
      <c r="G31" s="1010" t="s">
        <v>2517</v>
      </c>
      <c r="H31" s="1011"/>
      <c r="I31" s="1011"/>
      <c r="J31" s="1011"/>
      <c r="K31" s="1012"/>
    </row>
    <row r="32" spans="1:33" s="970" customFormat="1" ht="13.5" customHeight="1" thickBot="1">
      <c r="A32" s="1000" t="s">
        <v>2518</v>
      </c>
      <c r="B32" s="1001"/>
      <c r="C32" s="1002">
        <f ca="1">ROUND((C4-C21-C22-C23-C25-C28-C31)/(1+C24+D25+D28),0)</f>
        <v>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sheetPr codeName="Sheet7">
    <tabColor rgb="FF92D050"/>
  </sheetPr>
  <dimension ref="A1:AK83"/>
  <sheetViews>
    <sheetView topLeftCell="A25" zoomScale="70" zoomScaleNormal="70" zoomScaleSheetLayoutView="90" workbookViewId="0">
      <selection activeCell="E41" sqref="E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6</v>
      </c>
      <c r="D1" s="1815" t="s">
        <v>70</v>
      </c>
      <c r="E1" s="1816" t="s">
        <v>1382</v>
      </c>
      <c r="F1" s="1283">
        <f ca="1">J53</f>
        <v>40.630000000000003</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f ca="1">C40+J29+L46</f>
        <v>11604</v>
      </c>
      <c r="C2" s="1840" t="s">
        <v>1511</v>
      </c>
      <c r="D2" s="1840"/>
      <c r="E2" s="1841"/>
      <c r="F2" s="1842"/>
      <c r="G2" s="1843"/>
      <c r="H2" s="1835"/>
      <c r="I2" s="1835"/>
      <c r="J2" s="1835"/>
      <c r="K2" s="1836"/>
      <c r="L2" s="1835"/>
      <c r="M2" s="1835"/>
    </row>
    <row r="3" spans="1:37" ht="18" customHeight="1" thickBot="1">
      <c r="A3" s="1844" t="s">
        <v>1512</v>
      </c>
      <c r="B3" s="1845">
        <f ca="1">IF(ISERROR(B2*10000/F43),0,ROUND(B2*10000/F43,0))</f>
        <v>5042</v>
      </c>
      <c r="C3" s="1840" t="s">
        <v>1513</v>
      </c>
      <c r="D3" s="1840"/>
      <c r="E3" s="1841"/>
      <c r="F3" s="1842"/>
      <c r="G3" s="1843"/>
      <c r="H3" s="744" t="s">
        <v>1583</v>
      </c>
      <c r="I3" s="1835"/>
      <c r="J3" s="1835"/>
      <c r="K3" s="1836"/>
      <c r="L3" s="1835"/>
      <c r="M3" s="1835"/>
    </row>
    <row r="4" spans="1:37" ht="18" customHeight="1">
      <c r="A4" s="340" t="s">
        <v>1391</v>
      </c>
      <c r="B4" s="341" t="s">
        <v>1392</v>
      </c>
      <c r="C4" s="341" t="s">
        <v>1393</v>
      </c>
      <c r="D4" s="341" t="s">
        <v>1394</v>
      </c>
      <c r="E4" s="342" t="s">
        <v>1395</v>
      </c>
      <c r="F4" s="343"/>
      <c r="G4" s="1846"/>
      <c r="H4" s="340" t="s">
        <v>1391</v>
      </c>
      <c r="I4" s="341" t="s">
        <v>1392</v>
      </c>
      <c r="J4" s="341" t="s">
        <v>1393</v>
      </c>
      <c r="K4" s="341" t="s">
        <v>1394</v>
      </c>
      <c r="L4" s="342" t="s">
        <v>1395</v>
      </c>
      <c r="M4" s="343"/>
    </row>
    <row r="5" spans="1:37" ht="18" customHeight="1">
      <c r="A5" s="344">
        <v>1</v>
      </c>
      <c r="B5" s="345" t="s">
        <v>1396</v>
      </c>
      <c r="C5" s="1292">
        <f ca="1">C6+C10+C12</f>
        <v>984</v>
      </c>
      <c r="D5" s="1817" t="s">
        <v>1397</v>
      </c>
      <c r="E5" s="1293"/>
      <c r="F5" s="1294"/>
      <c r="G5" s="1846"/>
      <c r="H5" s="344">
        <v>1</v>
      </c>
      <c r="I5" s="345" t="s">
        <v>1396</v>
      </c>
      <c r="J5" s="1292">
        <f ca="1">J6+J10+J12</f>
        <v>0</v>
      </c>
      <c r="K5" s="1817" t="s">
        <v>1397</v>
      </c>
      <c r="L5" s="1293"/>
      <c r="M5" s="1294"/>
    </row>
    <row r="6" spans="1:37" ht="18" customHeight="1">
      <c r="A6" s="1291" t="s">
        <v>1032</v>
      </c>
      <c r="B6" s="3157" t="s">
        <v>1398</v>
      </c>
      <c r="C6" s="1296">
        <f ca="1">ROUND(F6*F8*F7*(1-F9)/10000,0)</f>
        <v>983</v>
      </c>
      <c r="D6" s="164" t="s">
        <v>3032</v>
      </c>
      <c r="E6" s="347" t="s">
        <v>1400</v>
      </c>
      <c r="F6" s="348">
        <f ca="1">INDIRECT("'数据-取费表'!u"&amp;$G$1)</f>
        <v>1.3</v>
      </c>
      <c r="G6" s="1846"/>
      <c r="H6" s="1291" t="s">
        <v>1032</v>
      </c>
      <c r="I6" s="3157" t="s">
        <v>1398</v>
      </c>
      <c r="J6" s="346">
        <f ca="1">ROUND(M6*M8*M7*(1-M9)/10000,0)</f>
        <v>0</v>
      </c>
      <c r="K6" s="164" t="s">
        <v>3031</v>
      </c>
      <c r="L6" s="347" t="s">
        <v>1400</v>
      </c>
      <c r="M6" s="348">
        <f ca="1">INDIRECT("'数据-取费表'!z"&amp;$G$1)</f>
        <v>0</v>
      </c>
    </row>
    <row r="7" spans="1:37" ht="18" customHeight="1">
      <c r="A7" s="1295"/>
      <c r="B7" s="3158"/>
      <c r="C7" s="1297"/>
      <c r="D7" s="352"/>
      <c r="E7" s="1298" t="s">
        <v>1401</v>
      </c>
      <c r="F7" s="348">
        <f ca="1">IF(INDIRECT("'数据-取费表'!ah"&amp;$G$1)="",INDIRECT("'数据-取费表'!k"&amp;$G$1),INDIRECT("'数据-取费表'!ah"&amp;$G$1))</f>
        <v>23014.799999999999</v>
      </c>
      <c r="G7" s="1846"/>
      <c r="H7" s="349"/>
      <c r="I7" s="3158"/>
      <c r="J7" s="351"/>
      <c r="K7" s="352"/>
      <c r="L7" s="347" t="s">
        <v>1401</v>
      </c>
      <c r="M7" s="348">
        <f ca="1">F7</f>
        <v>23014.799999999999</v>
      </c>
    </row>
    <row r="8" spans="1:37" ht="18" customHeight="1">
      <c r="A8" s="349"/>
      <c r="B8" s="3158"/>
      <c r="C8" s="351"/>
      <c r="D8" s="352"/>
      <c r="E8" s="347" t="s">
        <v>1402</v>
      </c>
      <c r="F8" s="348">
        <f ca="1">INDIRECT("'数据-取费表'!ai"&amp;$G$1)</f>
        <v>365</v>
      </c>
      <c r="G8" s="1846"/>
      <c r="H8" s="349"/>
      <c r="I8" s="3158"/>
      <c r="J8" s="351"/>
      <c r="K8" s="352"/>
      <c r="L8" s="347" t="s">
        <v>1402</v>
      </c>
      <c r="M8" s="348">
        <f ca="1">INDIRECT("'数据-取费表'!ai"&amp;$G$1)</f>
        <v>365</v>
      </c>
    </row>
    <row r="9" spans="1:37" ht="18" customHeight="1">
      <c r="A9" s="349"/>
      <c r="B9" s="3159"/>
      <c r="C9" s="351"/>
      <c r="D9" s="352"/>
      <c r="E9" s="347" t="s">
        <v>1403</v>
      </c>
      <c r="F9" s="357">
        <f ca="1">INDIRECT("'数据-取费表'!w"&amp;$G$1)</f>
        <v>0.1</v>
      </c>
      <c r="G9" s="1846"/>
      <c r="H9" s="349"/>
      <c r="I9" s="3159"/>
      <c r="J9" s="351"/>
      <c r="K9" s="352"/>
      <c r="L9" s="358" t="s">
        <v>1403</v>
      </c>
      <c r="M9" s="359">
        <f ca="1">INDIRECT("'数据-取费表'!ab"&amp;$G$1)</f>
        <v>0</v>
      </c>
    </row>
    <row r="10" spans="1:37" ht="18" customHeight="1">
      <c r="A10" s="1291" t="s">
        <v>1036</v>
      </c>
      <c r="B10" s="1818" t="s">
        <v>1404</v>
      </c>
      <c r="C10" s="361">
        <f ca="1">ROUND(IF(F10="押一",C6/12*F11,IF(F10="押二",C6/12*2*F11,IF(F10="押三",C6/12*3*F11,C11*F11))),0)</f>
        <v>1</v>
      </c>
      <c r="D10" s="1819" t="s">
        <v>3041</v>
      </c>
      <c r="E10" s="358" t="s">
        <v>1405</v>
      </c>
      <c r="F10" s="1366" t="s">
        <v>3085</v>
      </c>
      <c r="G10" s="1846"/>
      <c r="H10" s="1291" t="s">
        <v>1036</v>
      </c>
      <c r="I10" s="1818" t="s">
        <v>1404</v>
      </c>
      <c r="J10" s="346">
        <f ca="1">ROUND(IF(M10="押一",J6/12*M11,IF(M10="押二",J6/12*2*M11,IF(M10="押三",J6/12*3*M11,J11*M11))),0)</f>
        <v>0</v>
      </c>
      <c r="K10" s="1819" t="s">
        <v>3040</v>
      </c>
      <c r="L10" s="358" t="s">
        <v>1405</v>
      </c>
      <c r="M10" s="1366" t="s">
        <v>1406</v>
      </c>
    </row>
    <row r="11" spans="1:37" ht="18" customHeight="1">
      <c r="A11" s="353"/>
      <c r="B11" s="1820" t="s">
        <v>1383</v>
      </c>
      <c r="C11" s="1178"/>
      <c r="D11" s="1821"/>
      <c r="E11" s="358" t="s">
        <v>1407</v>
      </c>
      <c r="F11" s="359">
        <f ca="1">'数据-取费表'!B39</f>
        <v>1.4999999999999999E-2</v>
      </c>
      <c r="G11" s="1846"/>
      <c r="H11" s="1299"/>
      <c r="I11" s="1820" t="s">
        <v>1383</v>
      </c>
      <c r="J11" s="1178"/>
      <c r="K11" s="748"/>
      <c r="L11" s="358" t="s">
        <v>1407</v>
      </c>
      <c r="M11" s="1056">
        <f ca="1">'数据-取费表'!B39</f>
        <v>1.4999999999999999E-2</v>
      </c>
    </row>
    <row r="12" spans="1:37" ht="18" customHeight="1" thickBot="1">
      <c r="A12" s="1333" t="s">
        <v>1072</v>
      </c>
      <c r="B12" s="1822" t="s">
        <v>1408</v>
      </c>
      <c r="C12" s="1334"/>
      <c r="D12" s="1335"/>
      <c r="E12" s="1340"/>
      <c r="F12" s="1336"/>
      <c r="G12" s="1846"/>
      <c r="H12" s="1333" t="s">
        <v>1072</v>
      </c>
      <c r="I12" s="1822" t="s">
        <v>1408</v>
      </c>
      <c r="J12" s="1334"/>
      <c r="K12" s="1348"/>
      <c r="L12" s="1340"/>
      <c r="M12" s="1349"/>
    </row>
    <row r="13" spans="1:37" ht="18" customHeight="1" thickTop="1">
      <c r="A13" s="1329">
        <v>2</v>
      </c>
      <c r="B13" s="1330" t="s">
        <v>1409</v>
      </c>
      <c r="C13" s="355">
        <f ca="1">ROUND(C29*F13,0)</f>
        <v>9193</v>
      </c>
      <c r="D13" s="1331" t="s">
        <v>1410</v>
      </c>
      <c r="E13" s="1331" t="s">
        <v>1411</v>
      </c>
      <c r="F13" s="1332">
        <f ca="1">INDIRECT("'数据-取费表'!y"&amp;$G$1)</f>
        <v>0.96</v>
      </c>
      <c r="G13" s="1846"/>
      <c r="H13" s="1329">
        <v>2</v>
      </c>
      <c r="I13" s="1330" t="s">
        <v>1409</v>
      </c>
      <c r="J13" s="1290">
        <f ca="1">ROUND(J14*J15,0)</f>
        <v>0</v>
      </c>
      <c r="K13" s="1337" t="s">
        <v>1410</v>
      </c>
      <c r="L13" s="1847"/>
      <c r="M13" s="1848"/>
    </row>
    <row r="14" spans="1:37" ht="18" customHeight="1">
      <c r="A14" s="1201" t="s">
        <v>1031</v>
      </c>
      <c r="B14" s="347" t="s">
        <v>1412</v>
      </c>
      <c r="C14" s="363">
        <f ca="1">INDIRECT("'数据-取费表'!m"&amp;$G$1)+INDIRECT("'数据-取费表'!t"&amp;$G$1)</f>
        <v>6214</v>
      </c>
      <c r="D14" s="1795" t="s">
        <v>1413</v>
      </c>
      <c r="E14" s="1789"/>
      <c r="F14" s="364"/>
      <c r="G14" s="1846"/>
      <c r="H14" s="1201" t="s">
        <v>1032</v>
      </c>
      <c r="I14" s="347" t="s">
        <v>1414</v>
      </c>
      <c r="J14" s="24">
        <f ca="1">C29</f>
        <v>9576</v>
      </c>
      <c r="K14" s="15"/>
      <c r="L14" s="979"/>
      <c r="M14" s="980"/>
    </row>
    <row r="15" spans="1:37" s="1853" customFormat="1" ht="18" customHeight="1" thickBot="1">
      <c r="A15" s="1201" t="s">
        <v>1033</v>
      </c>
      <c r="B15" s="347" t="s">
        <v>1415</v>
      </c>
      <c r="C15" s="24">
        <f ca="1">ROUND(C14*F15,0)</f>
        <v>311</v>
      </c>
      <c r="D15" s="365" t="s">
        <v>1416</v>
      </c>
      <c r="E15" s="365" t="s">
        <v>1417</v>
      </c>
      <c r="F15" s="366">
        <f>'数据-取费表'!B33</f>
        <v>0.05</v>
      </c>
      <c r="G15" s="1849"/>
      <c r="H15" s="1339" t="s">
        <v>1036</v>
      </c>
      <c r="I15" s="1340" t="s">
        <v>1411</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46"/>
      <c r="H16" s="1329" t="s">
        <v>1027</v>
      </c>
      <c r="I16" s="1330" t="s">
        <v>1419</v>
      </c>
      <c r="J16" s="355">
        <f ca="1">ROUND(J17+J22+J23+J24,0)</f>
        <v>166</v>
      </c>
      <c r="K16" s="1337" t="s">
        <v>1420</v>
      </c>
      <c r="L16" s="1338"/>
      <c r="M16" s="1294"/>
    </row>
    <row r="17" spans="1:37" s="1853" customFormat="1" ht="18" customHeight="1">
      <c r="A17" s="1201" t="s">
        <v>1385</v>
      </c>
      <c r="B17" s="347" t="s">
        <v>1421</v>
      </c>
      <c r="C17" s="24">
        <f ca="1">ROUND(F17*(F43+INDIRECT("'数据-取费表'!S"&amp;$G$1))/10000,0)</f>
        <v>460</v>
      </c>
      <c r="D17" s="347" t="s">
        <v>1422</v>
      </c>
      <c r="E17" s="347" t="s">
        <v>1423</v>
      </c>
      <c r="F17" s="26">
        <f>'数据-取费表'!B35</f>
        <v>200</v>
      </c>
      <c r="G17" s="1849"/>
      <c r="H17" s="1201" t="s">
        <v>1032</v>
      </c>
      <c r="I17" s="347" t="s">
        <v>1424</v>
      </c>
      <c r="J17" s="24">
        <f ca="1">ROUND(IF(项目基本情况!B11="自然人",J6*M17/(1+'数据-取费表'!C42),J18+J19+J20),1)</f>
        <v>89.7</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1386</v>
      </c>
      <c r="B18" s="347" t="s">
        <v>1427</v>
      </c>
      <c r="C18" s="24">
        <f ca="1">ROUND(C14*F18,0)</f>
        <v>93</v>
      </c>
      <c r="D18" s="347" t="s">
        <v>1416</v>
      </c>
      <c r="E18" s="347" t="s">
        <v>1417</v>
      </c>
      <c r="F18" s="367">
        <f>'数据-取费表'!B36</f>
        <v>1.4999999999999999E-2</v>
      </c>
      <c r="G18" s="1849"/>
      <c r="H18" s="1201" t="s">
        <v>1031</v>
      </c>
      <c r="I18" s="347" t="s">
        <v>1428</v>
      </c>
      <c r="J18" s="24">
        <f ca="1">ROUND(J6*M18/(1+'数据-取费表'!C42),2)</f>
        <v>0</v>
      </c>
      <c r="K18" s="1793" t="s">
        <v>1429</v>
      </c>
      <c r="L18" s="347" t="s">
        <v>1417</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1430</v>
      </c>
      <c r="C19" s="24">
        <f ca="1">SUM(C14:C18)</f>
        <v>7078</v>
      </c>
      <c r="D19" s="140" t="s">
        <v>1431</v>
      </c>
      <c r="E19" s="1813"/>
      <c r="F19" s="26"/>
      <c r="G19" s="1846"/>
      <c r="H19" s="1201" t="s">
        <v>1033</v>
      </c>
      <c r="I19" s="347" t="s">
        <v>1432</v>
      </c>
      <c r="J19" s="24">
        <f ca="1">IF(K19="按租金收入计税",ROUND(J6*M19/(1+'数据-取费表'!C42),2),ROUND(C29*M19*0.7,2))</f>
        <v>80.44</v>
      </c>
      <c r="K19" s="1823" t="s">
        <v>1433</v>
      </c>
      <c r="L19" s="347" t="s">
        <v>1417</v>
      </c>
      <c r="M19" s="367">
        <f>IF(K19="按租金收入计税",'数据-取费表'!B51,'数据-取费表'!B50)</f>
        <v>1.2E-2</v>
      </c>
    </row>
    <row r="20" spans="1:37" s="1853" customFormat="1" ht="18" customHeight="1">
      <c r="A20" s="1201" t="s">
        <v>1036</v>
      </c>
      <c r="B20" s="347" t="s">
        <v>1434</v>
      </c>
      <c r="C20" s="24">
        <f ca="1">ROUND(C19*F20,0)</f>
        <v>212</v>
      </c>
      <c r="D20" s="369" t="s">
        <v>1435</v>
      </c>
      <c r="E20" s="347" t="s">
        <v>1417</v>
      </c>
      <c r="F20" s="367">
        <f>'数据-取费表'!B37</f>
        <v>0.03</v>
      </c>
      <c r="G20" s="1849"/>
      <c r="H20" s="1201" t="s">
        <v>1384</v>
      </c>
      <c r="I20" s="164" t="s">
        <v>1436</v>
      </c>
      <c r="J20" s="25">
        <f ca="1">ROUND(M20*M21/10000,2)</f>
        <v>9.24</v>
      </c>
      <c r="K20" s="370" t="s">
        <v>1437</v>
      </c>
      <c r="L20" s="347" t="s">
        <v>1438</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1439</v>
      </c>
      <c r="C21" s="24" t="s">
        <v>18</v>
      </c>
      <c r="D21" s="369" t="s">
        <v>1440</v>
      </c>
      <c r="E21" s="347" t="s">
        <v>1441</v>
      </c>
      <c r="F21" s="367">
        <f>'数据-取费表'!B38</f>
        <v>0.03</v>
      </c>
      <c r="G21" s="1849"/>
      <c r="H21" s="372"/>
      <c r="I21" s="356"/>
      <c r="J21" s="29"/>
      <c r="K21" s="373"/>
      <c r="L21" s="347" t="s">
        <v>1442</v>
      </c>
      <c r="M21" s="348">
        <f ca="1">INDIRECT("'数据-取费表'!r"&amp;$G$1)</f>
        <v>61612.73</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3"/>
      <c r="F22" s="26"/>
      <c r="G22" s="1846"/>
      <c r="H22" s="1201" t="s">
        <v>1036</v>
      </c>
      <c r="I22" s="347" t="s">
        <v>1444</v>
      </c>
      <c r="J22" s="24">
        <f ca="1">ROUND(J14*M22,1)</f>
        <v>76.599999999999994</v>
      </c>
      <c r="K22" s="1793" t="s">
        <v>1445</v>
      </c>
      <c r="L22" s="347" t="s">
        <v>1417</v>
      </c>
      <c r="M22" s="374">
        <f ca="1">INDIRECT("'数据-取费表'!Ak"&amp;$G$1)</f>
        <v>8.0000000000000002E-3</v>
      </c>
    </row>
    <row r="23" spans="1:37" s="1853" customFormat="1" ht="18" customHeight="1">
      <c r="A23" s="1201" t="s">
        <v>1031</v>
      </c>
      <c r="B23" s="347" t="s">
        <v>1446</v>
      </c>
      <c r="C23" s="24">
        <f ca="1">IF('数据-取费表'!B22&lt;=1,ROUND(C19*F24*F23/2,0)+ROUND(C20*F24*F23/2,0),ROUND(C19*(POWER((1+F24),F23/2)-1),0)+ROUND(C20*(POWER((1+F24),F23/2)-1),0))</f>
        <v>346</v>
      </c>
      <c r="D23" s="375" t="str">
        <f>IF(F23&lt;=1,"(建造成本+管理费用)×利率×(建设周期÷2)","(建造成本+管理费用)×((1+利率)^(建设周期÷2)-1)")</f>
        <v>(建造成本+管理费用)×((1+利率)^(建设周期÷2)-1)</v>
      </c>
      <c r="E23" s="347" t="s">
        <v>1447</v>
      </c>
      <c r="F23" s="371">
        <f>'数据-取费表'!B20</f>
        <v>2</v>
      </c>
      <c r="G23" s="1849"/>
      <c r="H23" s="1201" t="s">
        <v>1072</v>
      </c>
      <c r="I23" s="347" t="s">
        <v>1448</v>
      </c>
      <c r="J23" s="24">
        <f ca="1">ROUND(J13*M23,1)</f>
        <v>0</v>
      </c>
      <c r="K23" s="1793" t="s">
        <v>1449</v>
      </c>
      <c r="L23" s="347" t="s">
        <v>1450</v>
      </c>
      <c r="M23" s="376">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49"/>
      <c r="H24" s="1339" t="s">
        <v>1388</v>
      </c>
      <c r="I24" s="1340" t="s">
        <v>1434</v>
      </c>
      <c r="J24" s="1341">
        <f ca="1">ROUND(J5*M24,1)</f>
        <v>0</v>
      </c>
      <c r="K24" s="1342" t="s">
        <v>1454</v>
      </c>
      <c r="L24" s="1340" t="s">
        <v>1450</v>
      </c>
      <c r="M24" s="1336">
        <f ca="1">INDIRECT("'数据-取费表'!Am"&amp;$G$1)</f>
        <v>5.0000000000000001E-3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201" t="s">
        <v>1455</v>
      </c>
      <c r="B25" s="347" t="s">
        <v>1456</v>
      </c>
      <c r="C25" s="24"/>
      <c r="D25" s="140" t="s">
        <v>1457</v>
      </c>
      <c r="E25" s="1813"/>
      <c r="F25" s="26"/>
      <c r="G25" s="1846"/>
      <c r="H25" s="1329" t="s">
        <v>1028</v>
      </c>
      <c r="I25" s="1344" t="s">
        <v>1458</v>
      </c>
      <c r="J25" s="355">
        <f ca="1">J5-J16</f>
        <v>-166</v>
      </c>
      <c r="K25" s="1345" t="s">
        <v>1459</v>
      </c>
      <c r="L25" s="1346"/>
      <c r="M25" s="1347"/>
    </row>
    <row r="26" spans="1:37">
      <c r="A26" s="1201" t="s">
        <v>1031</v>
      </c>
      <c r="B26" s="347" t="s">
        <v>1460</v>
      </c>
      <c r="C26" s="24">
        <f ca="1">ROUND((C19+C20)*F26,0)</f>
        <v>1094</v>
      </c>
      <c r="D26" s="369" t="s">
        <v>1461</v>
      </c>
      <c r="E26" s="358" t="s">
        <v>1462</v>
      </c>
      <c r="F26" s="357">
        <f ca="1">INDIRECT("'数据-取费表'!q"&amp;$G$1)</f>
        <v>0.15</v>
      </c>
      <c r="G26" s="1846"/>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4.4999999999999997E-3</v>
      </c>
      <c r="D27" s="369" t="s">
        <v>1467</v>
      </c>
      <c r="E27" s="365"/>
      <c r="F27" s="366"/>
      <c r="G27" s="1846"/>
      <c r="H27" s="349"/>
      <c r="I27" s="350"/>
      <c r="J27" s="351"/>
      <c r="K27" s="378" t="s">
        <v>1468</v>
      </c>
      <c r="L27" s="347" t="s">
        <v>1469</v>
      </c>
      <c r="M27" s="379">
        <f ca="1">INDIRECT("'数据-取费表'!ag"&amp;$G$1)</f>
        <v>0</v>
      </c>
    </row>
    <row r="28" spans="1:37" s="1853" customFormat="1" ht="18" customHeight="1">
      <c r="A28" s="1201" t="s">
        <v>1034</v>
      </c>
      <c r="B28" s="347" t="s">
        <v>1470</v>
      </c>
      <c r="C28" s="24">
        <f>ROUND(F28/(1+'数据-取费表'!C42),4)</f>
        <v>5.2400000000000002E-2</v>
      </c>
      <c r="D28" s="369" t="s">
        <v>1471</v>
      </c>
      <c r="E28" s="347" t="s">
        <v>1417</v>
      </c>
      <c r="F28" s="367">
        <f>'数据-取费表'!B41</f>
        <v>5.5000000000000007E-2</v>
      </c>
      <c r="G28" s="1849"/>
      <c r="H28" s="353"/>
      <c r="I28" s="354"/>
      <c r="J28" s="355"/>
      <c r="K28" s="373"/>
      <c r="L28" s="347" t="s">
        <v>1472</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1473</v>
      </c>
      <c r="C29" s="1341">
        <f ca="1">ROUND((C19+C20+C23+C26)/(1-F21-C24-C27-C28),0)</f>
        <v>9576</v>
      </c>
      <c r="D29" s="1342"/>
      <c r="E29" s="1340"/>
      <c r="F29" s="1343"/>
      <c r="G29" s="1849"/>
      <c r="H29" s="380" t="s">
        <v>1030</v>
      </c>
      <c r="I29" s="381" t="s">
        <v>1474</v>
      </c>
      <c r="J29" s="382">
        <f ca="1">ROUND(J26/(1+F40)^F41,0)</f>
        <v>0</v>
      </c>
      <c r="K29" s="383" t="s">
        <v>1475</v>
      </c>
      <c r="L29" s="384"/>
      <c r="M29" s="385">
        <f ca="1">INDIRECT("'数据-取费表'!k"&amp;$G$1)</f>
        <v>23014.799999999999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1419</v>
      </c>
      <c r="C30" s="355">
        <f ca="1">ROUND(C31+C36+C37+C38,0)</f>
        <v>264</v>
      </c>
      <c r="D30" s="1337" t="s">
        <v>1420</v>
      </c>
      <c r="E30" s="1338"/>
      <c r="F30" s="1294"/>
      <c r="G30" s="1846"/>
      <c r="H30" s="745"/>
      <c r="I30" s="746"/>
      <c r="J30" s="747"/>
      <c r="K30" s="748"/>
      <c r="L30" s="749"/>
      <c r="M30" s="750"/>
    </row>
    <row r="31" spans="1:37" ht="18" customHeight="1">
      <c r="A31" s="1201" t="s">
        <v>1032</v>
      </c>
      <c r="B31" s="347" t="s">
        <v>1424</v>
      </c>
      <c r="C31" s="24">
        <f ca="1">ROUND(IF(项目基本情况!B11="自然人",C6*F31/(1+'数据-取费表'!C42),C32+C33+C34),1)</f>
        <v>173.1</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1428</v>
      </c>
      <c r="C32" s="24">
        <f ca="1">IF(项目基本情况!B11="自然人","——",ROUND(C6*F32/(1+'数据-取费表'!C42),2))</f>
        <v>51.49</v>
      </c>
      <c r="D32" s="1793" t="s">
        <v>1429</v>
      </c>
      <c r="E32" s="347" t="s">
        <v>1417</v>
      </c>
      <c r="F32" s="377">
        <f>'数据-取费表'!B41</f>
        <v>5.5000000000000007E-2</v>
      </c>
      <c r="G32" s="1846"/>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112.34</v>
      </c>
      <c r="D33" s="1823" t="s">
        <v>3086</v>
      </c>
      <c r="E33" s="347" t="s">
        <v>1417</v>
      </c>
      <c r="F33" s="367">
        <f>IF(D33="按票据","——",IF(D33="按租金收入计税",'数据-取费表'!B51,'数据-取费表'!B50))</f>
        <v>0.12</v>
      </c>
      <c r="G33" s="1846"/>
      <c r="H33" s="1854"/>
      <c r="I33" s="1855"/>
      <c r="J33" s="1856"/>
      <c r="K33" s="1857"/>
      <c r="L33" s="1854"/>
      <c r="M33" s="1854"/>
    </row>
    <row r="34" spans="1:18" ht="18" customHeight="1">
      <c r="A34" s="1291" t="s">
        <v>1384</v>
      </c>
      <c r="B34" s="164" t="s">
        <v>1436</v>
      </c>
      <c r="C34" s="25">
        <f ca="1">IF(项目基本情况!B11="自然人","——",ROUND(F34*F35/10000,2))</f>
        <v>9.24</v>
      </c>
      <c r="D34" s="370" t="s">
        <v>1437</v>
      </c>
      <c r="E34" s="347" t="s">
        <v>1438</v>
      </c>
      <c r="F34" s="371">
        <f>'数据-取费表'!B52</f>
        <v>1.5</v>
      </c>
      <c r="G34" s="1846"/>
      <c r="H34" s="745"/>
      <c r="I34" s="1855"/>
      <c r="J34" s="1856"/>
      <c r="K34" s="1858"/>
      <c r="L34" s="1859"/>
      <c r="M34" s="1859"/>
    </row>
    <row r="35" spans="1:18" ht="18" customHeight="1">
      <c r="A35" s="1353"/>
      <c r="B35" s="1351"/>
      <c r="C35" s="29"/>
      <c r="D35" s="373"/>
      <c r="E35" s="347" t="s">
        <v>1442</v>
      </c>
      <c r="F35" s="348">
        <f ca="1">INDIRECT("'数据-取费表'!r"&amp;$G$1)</f>
        <v>61612.73</v>
      </c>
      <c r="G35" s="1846"/>
      <c r="H35" s="745"/>
      <c r="I35" s="1855"/>
      <c r="J35" s="1856"/>
      <c r="K35" s="1857"/>
      <c r="L35" s="1854"/>
      <c r="M35" s="1854"/>
    </row>
    <row r="36" spans="1:18" ht="18" customHeight="1">
      <c r="A36" s="1352" t="s">
        <v>1036</v>
      </c>
      <c r="B36" s="347" t="s">
        <v>1444</v>
      </c>
      <c r="C36" s="24">
        <f ca="1">ROUND(C29*F36,1)</f>
        <v>76.599999999999994</v>
      </c>
      <c r="D36" s="1793" t="s">
        <v>1477</v>
      </c>
      <c r="E36" s="347" t="s">
        <v>1417</v>
      </c>
      <c r="F36" s="374">
        <f ca="1">INDIRECT("'数据-取费表'!Ak"&amp;$G$1)</f>
        <v>8.0000000000000002E-3</v>
      </c>
      <c r="G36" s="1846"/>
      <c r="H36" s="1854"/>
      <c r="I36" s="1855"/>
      <c r="J36" s="1856"/>
      <c r="K36" s="751"/>
      <c r="L36" s="1854"/>
      <c r="M36" s="1854"/>
    </row>
    <row r="37" spans="1:18" ht="18" customHeight="1">
      <c r="A37" s="1201" t="s">
        <v>1072</v>
      </c>
      <c r="B37" s="347" t="s">
        <v>1448</v>
      </c>
      <c r="C37" s="24">
        <f ca="1">ROUND(C13*F37,1)</f>
        <v>9.1999999999999993</v>
      </c>
      <c r="D37" s="1793" t="s">
        <v>1449</v>
      </c>
      <c r="E37" s="347" t="s">
        <v>1450</v>
      </c>
      <c r="F37" s="376">
        <f ca="1">INDIRECT("'数据-取费表'!Al"&amp;$G$1)</f>
        <v>1E-3</v>
      </c>
      <c r="G37" s="1846"/>
      <c r="H37" s="1854"/>
      <c r="I37" s="1855"/>
      <c r="J37" s="1856"/>
      <c r="K37" s="751"/>
      <c r="L37" s="1854"/>
      <c r="M37" s="1854"/>
    </row>
    <row r="38" spans="1:18" ht="18" customHeight="1" thickBot="1">
      <c r="A38" s="1339" t="s">
        <v>1388</v>
      </c>
      <c r="B38" s="1340" t="s">
        <v>1434</v>
      </c>
      <c r="C38" s="1341">
        <f ca="1">ROUND(C5*F38,1)</f>
        <v>4.9000000000000004</v>
      </c>
      <c r="D38" s="1342" t="s">
        <v>1454</v>
      </c>
      <c r="E38" s="1340" t="s">
        <v>1450</v>
      </c>
      <c r="F38" s="1336">
        <f ca="1">INDIRECT("'数据-取费表'!Am"&amp;$G$1)</f>
        <v>5.0000000000000001E-3</v>
      </c>
      <c r="G38" s="1846"/>
      <c r="H38" s="1854"/>
      <c r="I38" s="1855"/>
      <c r="J38" s="1856"/>
      <c r="K38" s="1860"/>
      <c r="L38" s="1854"/>
      <c r="M38" s="1854"/>
    </row>
    <row r="39" spans="1:18" ht="24.6" customHeight="1" thickTop="1">
      <c r="A39" s="1329" t="s">
        <v>1028</v>
      </c>
      <c r="B39" s="1344" t="s">
        <v>1478</v>
      </c>
      <c r="C39" s="355">
        <f ca="1">C5-C30</f>
        <v>720</v>
      </c>
      <c r="D39" s="1345" t="s">
        <v>1479</v>
      </c>
      <c r="E39" s="1346"/>
      <c r="F39" s="1347"/>
      <c r="G39" s="1846"/>
      <c r="H39" s="1854"/>
      <c r="I39" s="1855"/>
      <c r="J39" s="1856"/>
      <c r="K39" s="1860"/>
      <c r="L39" s="1854"/>
      <c r="M39" s="1854"/>
    </row>
    <row r="40" spans="1:18" ht="18" customHeight="1">
      <c r="A40" s="344" t="s">
        <v>1029</v>
      </c>
      <c r="B40" s="345" t="s">
        <v>1480</v>
      </c>
      <c r="C40" s="346">
        <f ca="1">ROUND(C39*(1-((1+F42)/(1+F40))^F41)/(F40-F42),0)</f>
        <v>11604</v>
      </c>
      <c r="D40" s="370" t="s">
        <v>1464</v>
      </c>
      <c r="E40" s="347" t="s">
        <v>1465</v>
      </c>
      <c r="F40" s="357">
        <f ca="1">INDIRECT("'数据-取费表'!I"&amp;$G$1)</f>
        <v>5.5E-2</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40.630000000000003</v>
      </c>
      <c r="G41" s="1846"/>
      <c r="H41" s="732"/>
      <c r="I41" s="1855"/>
      <c r="J41" s="1856"/>
      <c r="K41" s="751"/>
      <c r="L41" s="732"/>
      <c r="M41" s="732"/>
    </row>
    <row r="42" spans="1:18" ht="18" customHeight="1">
      <c r="A42" s="353"/>
      <c r="B42" s="354"/>
      <c r="C42" s="355"/>
      <c r="D42" s="373"/>
      <c r="E42" s="347" t="s">
        <v>1472</v>
      </c>
      <c r="F42" s="357">
        <f ca="1">INDIRECT("'数据-取费表'!v"&amp;$G$1)</f>
        <v>0</v>
      </c>
      <c r="G42" s="1846"/>
      <c r="H42" s="732"/>
      <c r="I42" s="1855"/>
      <c r="J42" s="1856"/>
      <c r="K42" s="751"/>
      <c r="L42" s="732"/>
      <c r="M42" s="732"/>
    </row>
    <row r="43" spans="1:18" ht="18" customHeight="1" thickBot="1">
      <c r="A43" s="380" t="s">
        <v>1030</v>
      </c>
      <c r="B43" s="381" t="s">
        <v>1482</v>
      </c>
      <c r="C43" s="382">
        <f ca="1">ROUND(C40*10000/F43,0)</f>
        <v>5042</v>
      </c>
      <c r="D43" s="383" t="s">
        <v>1483</v>
      </c>
      <c r="E43" s="384" t="s">
        <v>1484</v>
      </c>
      <c r="F43" s="385">
        <f ca="1">INDIRECT("'数据-取费表'!k"&amp;$G$1)</f>
        <v>23014.799999999999</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5" thickBot="1">
      <c r="A46" s="1865" t="s">
        <v>1515</v>
      </c>
      <c r="C46" s="1866">
        <f ca="1">C68-C40</f>
        <v>-26093</v>
      </c>
      <c r="D46" s="1867" t="str">
        <f>C2</f>
        <v>万元</v>
      </c>
      <c r="E46" s="1861"/>
      <c r="F46" s="1861"/>
      <c r="I46" s="1868" t="s">
        <v>1516</v>
      </c>
      <c r="J46" s="1869"/>
      <c r="K46" s="1870"/>
      <c r="L46" s="1871" t="str">
        <f ca="1">IF(M47="住宅",0,IF(L48&gt;J51,L60,J60))</f>
        <v>0</v>
      </c>
      <c r="O46" s="1872" t="s">
        <v>1517</v>
      </c>
      <c r="P46" s="1873" t="s">
        <v>1518</v>
      </c>
      <c r="Q46" s="1874" t="s">
        <v>1519</v>
      </c>
      <c r="R46" s="1874" t="s">
        <v>1520</v>
      </c>
    </row>
    <row r="47" spans="1:18" s="1837" customFormat="1" ht="13.5" thickBot="1">
      <c r="A47" s="1165" t="s">
        <v>1391</v>
      </c>
      <c r="B47" s="1197" t="s">
        <v>1392</v>
      </c>
      <c r="C47" s="1367" t="s">
        <v>1393</v>
      </c>
      <c r="D47" s="1197" t="s">
        <v>1394</v>
      </c>
      <c r="E47" s="1279" t="s">
        <v>1395</v>
      </c>
      <c r="F47" s="1280"/>
      <c r="G47" s="792"/>
      <c r="I47" s="1875" t="s">
        <v>1521</v>
      </c>
      <c r="J47" s="1876" t="s">
        <v>3073</v>
      </c>
      <c r="K47" s="1877" t="s">
        <v>1522</v>
      </c>
      <c r="L47" s="1878">
        <f ca="1">INDIRECT("'数据-取费表'!d"&amp;$G$1)</f>
        <v>50</v>
      </c>
      <c r="M47" s="1833" t="str">
        <f>IF(ISNUMBER(FIND("住宅",C1)),"住宅","非住宅")</f>
        <v>非住宅</v>
      </c>
      <c r="O47" s="1879" t="s">
        <v>1037</v>
      </c>
      <c r="P47" s="1880" t="s">
        <v>1523</v>
      </c>
      <c r="Q47" s="1881">
        <f ca="1">C40+J29</f>
        <v>11604</v>
      </c>
      <c r="R47" s="1881" t="s">
        <v>1524</v>
      </c>
    </row>
    <row r="48" spans="1:18" s="1837" customFormat="1" ht="28.5" thickBot="1">
      <c r="A48" s="1360" t="s">
        <v>1132</v>
      </c>
      <c r="B48" s="345" t="s">
        <v>1396</v>
      </c>
      <c r="C48" s="1812">
        <f ca="1">C49+C53+C55</f>
        <v>0</v>
      </c>
      <c r="D48" s="1362"/>
      <c r="E48" s="1363"/>
      <c r="F48" s="1181"/>
      <c r="G48" s="792"/>
      <c r="H48" s="793"/>
      <c r="I48" s="1882" t="s">
        <v>1525</v>
      </c>
      <c r="J48" s="1883" t="s">
        <v>3088</v>
      </c>
      <c r="K48" s="1884" t="s">
        <v>1526</v>
      </c>
      <c r="L48" s="1885">
        <f ca="1">INDIRECT("'数据-取费表'!f"&amp;$G$1)</f>
        <v>40.630000000000003</v>
      </c>
      <c r="O48" s="1879" t="s">
        <v>1038</v>
      </c>
      <c r="P48" s="1880" t="s">
        <v>1527</v>
      </c>
      <c r="Q48" s="1881" t="str">
        <f ca="1">J60</f>
        <v>0</v>
      </c>
      <c r="R48" s="1881" t="s">
        <v>1528</v>
      </c>
    </row>
    <row r="49" spans="1:18" s="1837" customFormat="1" ht="13.5" thickBot="1">
      <c r="A49" s="1194" t="s">
        <v>1133</v>
      </c>
      <c r="B49" s="1824" t="s">
        <v>1485</v>
      </c>
      <c r="C49" s="1364">
        <f ca="1">ROUND(F49*F51*F50*(1-F52)/10000,0)</f>
        <v>0</v>
      </c>
      <c r="D49" s="1276" t="s">
        <v>3033</v>
      </c>
      <c r="E49" s="1825" t="s">
        <v>1486</v>
      </c>
      <c r="F49" s="1281"/>
      <c r="G49" s="1886"/>
      <c r="H49" s="793"/>
      <c r="I49" s="1882" t="s">
        <v>1529</v>
      </c>
      <c r="J49" s="1887">
        <v>2017</v>
      </c>
      <c r="K49" s="1884" t="s">
        <v>1530</v>
      </c>
      <c r="L49" s="1888"/>
      <c r="O49" s="1889" t="s">
        <v>1039</v>
      </c>
      <c r="P49" s="1880" t="s">
        <v>1531</v>
      </c>
      <c r="Q49" s="1881">
        <f ca="1">C29</f>
        <v>9576</v>
      </c>
      <c r="R49" s="1881" t="s">
        <v>1524</v>
      </c>
    </row>
    <row r="50" spans="1:18" s="1837" customFormat="1" ht="13.5" thickBot="1">
      <c r="A50" s="1195"/>
      <c r="B50" s="1198"/>
      <c r="C50" s="1368"/>
      <c r="D50" s="1172"/>
      <c r="E50" s="1277" t="s">
        <v>1401</v>
      </c>
      <c r="F50" s="1278">
        <f ca="1">F7</f>
        <v>23014.799999999999</v>
      </c>
      <c r="H50" s="793"/>
      <c r="I50" s="1882" t="s">
        <v>1532</v>
      </c>
      <c r="J50" s="1890">
        <f>SUMPRODUCT((I63:I65=J47)*(J62:L62=J48)*(J63:L65))</f>
        <v>70</v>
      </c>
      <c r="K50" s="1884" t="s">
        <v>1533</v>
      </c>
      <c r="L50" s="1888"/>
      <c r="M50" s="1891"/>
      <c r="O50" s="1889" t="s">
        <v>1040</v>
      </c>
      <c r="P50" s="1880" t="s">
        <v>1534</v>
      </c>
      <c r="Q50" s="1892" t="e">
        <f ca="1">J58</f>
        <v>#VALUE!</v>
      </c>
      <c r="R50" s="1881"/>
    </row>
    <row r="51" spans="1:18" s="1837" customFormat="1" ht="13.5" thickBot="1">
      <c r="A51" s="1196"/>
      <c r="B51" s="1198"/>
      <c r="C51" s="1199"/>
      <c r="D51" s="1172"/>
      <c r="E51" s="1200" t="s">
        <v>1402</v>
      </c>
      <c r="F51" s="348">
        <f ca="1">F8</f>
        <v>365</v>
      </c>
      <c r="I51" s="1893" t="s">
        <v>1535</v>
      </c>
      <c r="J51" s="1894">
        <f>IF(J49="",J50,J49+J50-YEAR('数据-取费表'!B2))</f>
        <v>67</v>
      </c>
      <c r="K51" s="1895" t="s">
        <v>1536</v>
      </c>
      <c r="L51" s="1896">
        <f ca="1">ROUND(-PV(INDIRECT("'数据-取费表'!h"&amp;$G$1),L48,(C39-C13*C76),0),0)</f>
        <v>-1089</v>
      </c>
      <c r="M51" s="1897"/>
      <c r="O51" s="1889" t="s">
        <v>1041</v>
      </c>
      <c r="P51" s="1880" t="s">
        <v>1537</v>
      </c>
      <c r="Q51" s="1892">
        <f>J52</f>
        <v>0</v>
      </c>
      <c r="R51" s="1881"/>
    </row>
    <row r="52" spans="1:18" s="1837" customFormat="1" ht="13.5" thickBot="1">
      <c r="A52" s="1196"/>
      <c r="B52" s="1198"/>
      <c r="C52" s="1199"/>
      <c r="D52" s="1172"/>
      <c r="E52" s="1200" t="s">
        <v>1403</v>
      </c>
      <c r="F52" s="1275"/>
      <c r="I52" s="1898" t="s">
        <v>1538</v>
      </c>
      <c r="J52" s="1899"/>
      <c r="K52" s="1898" t="s">
        <v>1539</v>
      </c>
      <c r="L52" s="1899"/>
      <c r="O52" s="1889" t="s">
        <v>1042</v>
      </c>
      <c r="P52" s="1880" t="s">
        <v>1540</v>
      </c>
      <c r="Q52" s="1881">
        <f ca="1">J53</f>
        <v>40.630000000000003</v>
      </c>
      <c r="R52" s="1881" t="s">
        <v>1541</v>
      </c>
    </row>
    <row r="53" spans="1:18" s="1837" customFormat="1" ht="24.75" thickBot="1">
      <c r="A53" s="1405" t="s">
        <v>1134</v>
      </c>
      <c r="B53" s="1826" t="s">
        <v>1404</v>
      </c>
      <c r="C53" s="361">
        <f ca="1">ROUND(IF(F53="押一",C49/12*F11,IF(F53="押二",C49/12*2*F11,IF(F53="押三",C49/12*3*F11,C54*F11))),0)</f>
        <v>0</v>
      </c>
      <c r="D53" s="1819" t="s">
        <v>3040</v>
      </c>
      <c r="E53" s="358" t="s">
        <v>1405</v>
      </c>
      <c r="F53" s="1366"/>
      <c r="I53" s="1900" t="s">
        <v>1542</v>
      </c>
      <c r="J53" s="2944">
        <f ca="1">IF(M47="住宅",IF(D1="——",MAX(J51,L48),MAX(J51,L48-'数据-取费表'!B24)),IF(D1="——",MIN(J51,L48),MIN(J51,L48-'数据-取费表'!B24)))</f>
        <v>40.630000000000003</v>
      </c>
      <c r="K53" s="3155" t="s">
        <v>1543</v>
      </c>
      <c r="L53" s="3156"/>
      <c r="O53" s="1879" t="s">
        <v>1043</v>
      </c>
      <c r="P53" s="1880" t="s">
        <v>1544</v>
      </c>
      <c r="Q53" s="1881">
        <f ca="1">Q47+Q48</f>
        <v>11604</v>
      </c>
      <c r="R53" s="1881" t="s">
        <v>1044</v>
      </c>
    </row>
    <row r="54" spans="1:18" s="1837" customFormat="1" ht="13.5" thickBot="1">
      <c r="A54" s="1406"/>
      <c r="B54" s="1820" t="s">
        <v>1383</v>
      </c>
      <c r="C54" s="1178"/>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1545</v>
      </c>
      <c r="P54" s="1834"/>
      <c r="Q54" s="1834"/>
      <c r="R54" s="1834"/>
    </row>
    <row r="55" spans="1:18" s="1837" customFormat="1" ht="13.5" thickBot="1">
      <c r="A55" s="1333" t="s">
        <v>1072</v>
      </c>
      <c r="B55" s="1822" t="s">
        <v>1408</v>
      </c>
      <c r="C55" s="1334"/>
      <c r="D55" s="1819"/>
      <c r="E55" s="1827"/>
      <c r="F55" s="1901"/>
      <c r="I55" s="1904" t="s">
        <v>1546</v>
      </c>
      <c r="J55" s="1905" t="e">
        <f ca="1">ROUND(IF(J47="钢混",J57/J50,1-(1-2%)*(J50-J57)/J50),3)</f>
        <v>#VALUE!</v>
      </c>
      <c r="K55" s="1906" t="s">
        <v>1547</v>
      </c>
      <c r="L55" s="1907" t="s">
        <v>1548</v>
      </c>
      <c r="O55" s="1872" t="s">
        <v>1517</v>
      </c>
      <c r="P55" s="1873" t="s">
        <v>1518</v>
      </c>
      <c r="Q55" s="1874" t="s">
        <v>1519</v>
      </c>
      <c r="R55" s="1874" t="s">
        <v>1520</v>
      </c>
    </row>
    <row r="56" spans="1:18" s="1837" customFormat="1" ht="25.5" thickTop="1" thickBot="1">
      <c r="A56" s="1176">
        <v>2</v>
      </c>
      <c r="B56" s="1177" t="s">
        <v>1409</v>
      </c>
      <c r="C56" s="276">
        <f ca="1">C13</f>
        <v>9193</v>
      </c>
      <c r="D56" s="1908"/>
      <c r="E56" s="1909"/>
      <c r="F56" s="1901"/>
      <c r="I56" s="1910" t="s">
        <v>1549</v>
      </c>
      <c r="J56" s="1911" t="s">
        <v>3072</v>
      </c>
      <c r="K56" s="1882" t="s">
        <v>1550</v>
      </c>
      <c r="L56" s="1885" t="str">
        <f ca="1">IF(L48&lt;J51,"——",L48-J53)</f>
        <v>——</v>
      </c>
      <c r="O56" s="1879" t="s">
        <v>1037</v>
      </c>
      <c r="P56" s="1880" t="s">
        <v>1523</v>
      </c>
      <c r="Q56" s="1881">
        <f ca="1">C40+J29</f>
        <v>11604</v>
      </c>
      <c r="R56" s="1881" t="s">
        <v>1524</v>
      </c>
    </row>
    <row r="57" spans="1:18" s="1837" customFormat="1" ht="24.75" thickBot="1">
      <c r="A57" s="1912"/>
      <c r="B57" s="1169" t="s">
        <v>1473</v>
      </c>
      <c r="C57" s="282">
        <f ca="1">C29</f>
        <v>9576</v>
      </c>
      <c r="D57" s="1913"/>
      <c r="E57" s="1914"/>
      <c r="F57" s="1915"/>
      <c r="I57" s="1916" t="s">
        <v>1551</v>
      </c>
      <c r="J57" s="1917" t="str">
        <f ca="1">IF(OR(M47="住宅",J51&lt;L48,J56="是"),"——",J51-L48)</f>
        <v>——</v>
      </c>
      <c r="K57" s="1882" t="s">
        <v>1552</v>
      </c>
      <c r="L57" s="1885" t="str">
        <f ca="1">IF(L48&lt;J51,"——",IF(L55="比较法",L49,IF(L55="基准地价",L50,L51)))</f>
        <v>——</v>
      </c>
      <c r="O57" s="1879" t="s">
        <v>1038</v>
      </c>
      <c r="P57" s="1880" t="s">
        <v>1553</v>
      </c>
      <c r="Q57" s="1881">
        <f ca="1">L60</f>
        <v>0</v>
      </c>
      <c r="R57" s="1881" t="s">
        <v>1554</v>
      </c>
    </row>
    <row r="58" spans="1:18" s="1837" customFormat="1" ht="24.75" thickBot="1">
      <c r="A58" s="360" t="s">
        <v>1027</v>
      </c>
      <c r="B58" s="1177" t="s">
        <v>1419</v>
      </c>
      <c r="C58" s="361">
        <f ca="1">ROUND(C59+C64+C65+C66,0)</f>
        <v>899</v>
      </c>
      <c r="D58" s="1179" t="s">
        <v>1420</v>
      </c>
      <c r="E58" s="1180"/>
      <c r="F58" s="1181"/>
      <c r="I58" s="1916" t="s">
        <v>1555</v>
      </c>
      <c r="J58" s="1918" t="e">
        <f ca="1">IF(J55&lt;0.4,0.4,J55)</f>
        <v>#VALUE!</v>
      </c>
      <c r="K58" s="1895" t="s">
        <v>1556</v>
      </c>
      <c r="L58" s="1885" t="e">
        <f ca="1">ROUND(POWER(1+L52,L47-L48)*(POWER(1+L52,L48)-1)/(POWER(1+L52,L47)-1),4)</f>
        <v>#DIV/0!</v>
      </c>
      <c r="O58" s="1889" t="s">
        <v>1039</v>
      </c>
      <c r="P58" s="1880" t="s">
        <v>1557</v>
      </c>
      <c r="Q58" s="1881">
        <f>IF(L55="比较法",L49,IF(L55="基准地价",L50,0))</f>
        <v>0</v>
      </c>
      <c r="R58" s="1881" t="s">
        <v>1524</v>
      </c>
    </row>
    <row r="59" spans="1:18" s="1837" customFormat="1" ht="24.75" thickBot="1">
      <c r="A59" s="1201" t="s">
        <v>1032</v>
      </c>
      <c r="B59" s="1169" t="s">
        <v>1424</v>
      </c>
      <c r="C59" s="24">
        <f ca="1">ROUND(IF(项目基本情况!B11="自然人",C48*F59,C60+C61+C62),1)</f>
        <v>813.6</v>
      </c>
      <c r="D59" s="1182" t="s">
        <v>1425</v>
      </c>
      <c r="E59" s="1183" t="s">
        <v>1426</v>
      </c>
      <c r="F59" s="368" t="str">
        <f ca="1">IF(项目基本情况!B11="企业","",IF(INDIRECT("'数据-取费表'!c"&amp;$G$1)="住宅",5%,IF(F49*F50*F51/12/(1+'数据-取费表'!C42)&gt;20000,12%,7%)))</f>
        <v/>
      </c>
      <c r="I59" s="1916" t="s">
        <v>1558</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1559</v>
      </c>
      <c r="Q59" s="1892">
        <f>L52</f>
        <v>0</v>
      </c>
      <c r="R59" s="1881"/>
    </row>
    <row r="60" spans="1:18" s="1837"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19" t="s">
        <v>1560</v>
      </c>
      <c r="J60" s="1920" t="str">
        <f ca="1">IF(OR(M47="住宅",J51&lt;L48,J56="是"),"0",ROUND(J59/(1+J52)^J53,0))</f>
        <v>0</v>
      </c>
      <c r="K60" s="1921" t="s">
        <v>1561</v>
      </c>
      <c r="L60" s="1920">
        <f ca="1">IF(OR(M47="住宅",L48&lt;J51),0,ROUND(L57*(L58/L59-1),0))</f>
        <v>0</v>
      </c>
      <c r="O60" s="1889" t="s">
        <v>1041</v>
      </c>
      <c r="P60" s="1880" t="s">
        <v>1562</v>
      </c>
      <c r="Q60" s="1881" t="e">
        <f ca="1">L58</f>
        <v>#DIV/0!</v>
      </c>
      <c r="R60" s="1881" t="s">
        <v>1563</v>
      </c>
    </row>
    <row r="61" spans="1:18" s="1837" customFormat="1" ht="13.5" thickBot="1">
      <c r="A61" s="1201" t="s">
        <v>1487</v>
      </c>
      <c r="B61" s="1169" t="s">
        <v>1488</v>
      </c>
      <c r="C61" s="24">
        <f ca="1">IF(项目基本情况!B11="自然人","——",IF(D61="按租金收入计税",ROUND(C48*F61,2),IF(D61="按房产原值计税",ROUND(C57*F61*0.7,2),INDIRECT("'数据-取费表'!Aj"&amp;$G$1))))</f>
        <v>804.38</v>
      </c>
      <c r="D61" s="1823" t="s">
        <v>1433</v>
      </c>
      <c r="E61" s="1169" t="s">
        <v>1489</v>
      </c>
      <c r="F61" s="367">
        <f t="shared" si="0"/>
        <v>0.12</v>
      </c>
      <c r="I61" s="1922"/>
      <c r="J61" s="1922"/>
      <c r="K61" s="1922"/>
      <c r="L61" s="1922"/>
      <c r="O61" s="1889" t="s">
        <v>1042</v>
      </c>
      <c r="P61" s="1880" t="str">
        <f>K59</f>
        <v>建筑物剩余耐用年限下的土地年期修正系数Kn</v>
      </c>
      <c r="Q61" s="1881" t="e">
        <f ca="1">L59</f>
        <v>#DIV/0!</v>
      </c>
      <c r="R61" s="1881" t="s">
        <v>1564</v>
      </c>
    </row>
    <row r="62" spans="1:18" s="1837" customFormat="1" ht="13.5" thickBot="1">
      <c r="A62" s="1201" t="s">
        <v>1490</v>
      </c>
      <c r="B62" s="1168" t="s">
        <v>1491</v>
      </c>
      <c r="C62" s="25">
        <f ca="1">IF(项目基本情况!B11="自然人","——",ROUND(F62*F63/10000,2))</f>
        <v>9.24</v>
      </c>
      <c r="D62" s="1184" t="s">
        <v>1492</v>
      </c>
      <c r="E62" s="1169" t="s">
        <v>1493</v>
      </c>
      <c r="F62" s="371">
        <f t="shared" si="0"/>
        <v>1.5</v>
      </c>
      <c r="I62" s="1923" t="s">
        <v>1565</v>
      </c>
      <c r="J62" s="1924" t="s">
        <v>1566</v>
      </c>
      <c r="K62" s="1924" t="s">
        <v>1567</v>
      </c>
      <c r="L62" s="1924" t="s">
        <v>1568</v>
      </c>
      <c r="M62" s="1925" t="s">
        <v>1569</v>
      </c>
      <c r="O62" s="1879" t="s">
        <v>1043</v>
      </c>
      <c r="P62" s="1880" t="s">
        <v>1570</v>
      </c>
      <c r="Q62" s="1881">
        <f ca="1">Q56+Q57</f>
        <v>11604</v>
      </c>
      <c r="R62" s="1881" t="s">
        <v>1044</v>
      </c>
    </row>
    <row r="63" spans="1:18" s="1837" customFormat="1" ht="13.5" thickBot="1">
      <c r="A63" s="372"/>
      <c r="B63" s="1175"/>
      <c r="C63" s="29"/>
      <c r="D63" s="1185"/>
      <c r="E63" s="1169" t="s">
        <v>1494</v>
      </c>
      <c r="F63" s="348">
        <f t="shared" ca="1" si="0"/>
        <v>61612.73</v>
      </c>
      <c r="I63" s="1923" t="s">
        <v>1571</v>
      </c>
      <c r="J63" s="1924">
        <v>70</v>
      </c>
      <c r="K63" s="1924">
        <v>50</v>
      </c>
      <c r="L63" s="1924">
        <v>80</v>
      </c>
      <c r="M63" s="1926">
        <v>0.02</v>
      </c>
      <c r="O63" s="1864" t="s">
        <v>1572</v>
      </c>
      <c r="P63" s="1834"/>
      <c r="Q63" s="1834"/>
      <c r="R63" s="1834"/>
    </row>
    <row r="64" spans="1:18" s="1837" customFormat="1" ht="13.5" thickBot="1">
      <c r="A64" s="1201" t="s">
        <v>1495</v>
      </c>
      <c r="B64" s="1169" t="s">
        <v>1496</v>
      </c>
      <c r="C64" s="24">
        <f ca="1">ROUND(C57*F64,1)</f>
        <v>76.599999999999994</v>
      </c>
      <c r="D64" s="1183" t="s">
        <v>1497</v>
      </c>
      <c r="E64" s="1169" t="s">
        <v>1489</v>
      </c>
      <c r="F64" s="374">
        <f t="shared" ca="1" si="0"/>
        <v>8.0000000000000002E-3</v>
      </c>
      <c r="I64" s="1923" t="s">
        <v>1573</v>
      </c>
      <c r="J64" s="1924">
        <v>50</v>
      </c>
      <c r="K64" s="1924">
        <v>35</v>
      </c>
      <c r="L64" s="1924">
        <v>60</v>
      </c>
      <c r="M64" s="1925">
        <v>0</v>
      </c>
      <c r="O64" s="1872" t="s">
        <v>1517</v>
      </c>
      <c r="P64" s="1873" t="s">
        <v>1518</v>
      </c>
      <c r="Q64" s="1874" t="s">
        <v>1519</v>
      </c>
      <c r="R64" s="1874" t="s">
        <v>1520</v>
      </c>
    </row>
    <row r="65" spans="1:18" s="1837" customFormat="1" ht="13.5" thickBot="1">
      <c r="A65" s="1201" t="s">
        <v>1498</v>
      </c>
      <c r="B65" s="1169" t="s">
        <v>1448</v>
      </c>
      <c r="C65" s="24">
        <f ca="1">ROUND(C56*F65,1)</f>
        <v>9.1999999999999993</v>
      </c>
      <c r="D65" s="1183" t="s">
        <v>1449</v>
      </c>
      <c r="E65" s="1169" t="s">
        <v>1450</v>
      </c>
      <c r="F65" s="376">
        <f t="shared" ca="1" si="0"/>
        <v>1E-3</v>
      </c>
      <c r="I65" s="1923" t="s">
        <v>1574</v>
      </c>
      <c r="J65" s="1924">
        <v>40</v>
      </c>
      <c r="K65" s="1924">
        <v>30</v>
      </c>
      <c r="L65" s="1924">
        <v>50</v>
      </c>
      <c r="M65" s="1926">
        <v>0.02</v>
      </c>
      <c r="O65" s="1879" t="s">
        <v>1037</v>
      </c>
      <c r="P65" s="1880" t="s">
        <v>1575</v>
      </c>
      <c r="Q65" s="1881">
        <f ca="1">C40+J29</f>
        <v>11604</v>
      </c>
      <c r="R65" s="1881" t="s">
        <v>1524</v>
      </c>
    </row>
    <row r="66" spans="1:18" s="1837" customFormat="1" ht="16.5" thickBot="1">
      <c r="A66" s="1201" t="s">
        <v>1499</v>
      </c>
      <c r="B66" s="1169" t="s">
        <v>1434</v>
      </c>
      <c r="C66" s="24">
        <f ca="1">ROUND(C48*F66,1)</f>
        <v>0</v>
      </c>
      <c r="D66" s="1183" t="s">
        <v>1500</v>
      </c>
      <c r="E66" s="1169" t="s">
        <v>1417</v>
      </c>
      <c r="F66" s="357">
        <f t="shared" ca="1" si="0"/>
        <v>5.0000000000000001E-3</v>
      </c>
      <c r="O66" s="1879" t="s">
        <v>1038</v>
      </c>
      <c r="P66" s="1880" t="s">
        <v>1553</v>
      </c>
      <c r="Q66" s="1881">
        <f ca="1">L60</f>
        <v>0</v>
      </c>
      <c r="R66" s="1881" t="s">
        <v>1576</v>
      </c>
    </row>
    <row r="67" spans="1:18" s="1837" customFormat="1" ht="16.5" thickBot="1">
      <c r="A67" s="1176" t="s">
        <v>1028</v>
      </c>
      <c r="B67" s="1186" t="s">
        <v>1458</v>
      </c>
      <c r="C67" s="361">
        <f ca="1">C48-C58</f>
        <v>-899</v>
      </c>
      <c r="D67" s="1182" t="s">
        <v>1459</v>
      </c>
      <c r="E67" s="1187"/>
      <c r="F67" s="1188"/>
      <c r="O67" s="1889" t="s">
        <v>1039</v>
      </c>
      <c r="P67" s="1880" t="s">
        <v>1557</v>
      </c>
      <c r="Q67" s="1927">
        <f ca="1">L51</f>
        <v>-1089</v>
      </c>
      <c r="R67" s="1881" t="s">
        <v>1577</v>
      </c>
    </row>
    <row r="68" spans="1:18" s="1837" customFormat="1" ht="16.5" thickBot="1">
      <c r="A68" s="1166" t="s">
        <v>1029</v>
      </c>
      <c r="B68" s="1167" t="s">
        <v>1480</v>
      </c>
      <c r="C68" s="346">
        <f ca="1">ROUND(C67*(1-((1+F70)/(1+F68))^F69)/(F68-F70),0)</f>
        <v>-14489</v>
      </c>
      <c r="D68" s="1184" t="s">
        <v>1464</v>
      </c>
      <c r="E68" s="1169" t="s">
        <v>1465</v>
      </c>
      <c r="F68" s="357">
        <f ca="1">F40</f>
        <v>5.5E-2</v>
      </c>
      <c r="O68" s="1889" t="s">
        <v>1040</v>
      </c>
      <c r="P68" s="1928" t="s">
        <v>1578</v>
      </c>
      <c r="Q68" s="1881">
        <f ca="1">ROUND(Q69-Q70*Q71,0)</f>
        <v>-61</v>
      </c>
      <c r="R68" s="1881" t="s">
        <v>1048</v>
      </c>
    </row>
    <row r="69" spans="1:18" s="1837" customFormat="1" ht="13.5" thickBot="1">
      <c r="A69" s="1170"/>
      <c r="B69" s="1171"/>
      <c r="C69" s="351"/>
      <c r="D69" s="1189" t="s">
        <v>1468</v>
      </c>
      <c r="E69" s="1169" t="s">
        <v>1469</v>
      </c>
      <c r="F69" s="379">
        <f ca="1">F41</f>
        <v>40.630000000000003</v>
      </c>
      <c r="O69" s="1889" t="s">
        <v>1045</v>
      </c>
      <c r="P69" s="1928" t="s">
        <v>1579</v>
      </c>
      <c r="Q69" s="1881">
        <f ca="1">C39</f>
        <v>720</v>
      </c>
      <c r="R69" s="1881" t="s">
        <v>1524</v>
      </c>
    </row>
    <row r="70" spans="1:18" s="1837" customFormat="1" ht="13.5" thickBot="1">
      <c r="A70" s="1173"/>
      <c r="B70" s="1174"/>
      <c r="C70" s="355"/>
      <c r="D70" s="1185"/>
      <c r="E70" s="1169" t="s">
        <v>1472</v>
      </c>
      <c r="F70" s="1275"/>
      <c r="O70" s="1889" t="s">
        <v>1046</v>
      </c>
      <c r="P70" s="1928" t="s">
        <v>1580</v>
      </c>
      <c r="Q70" s="1881">
        <f ca="1">C13</f>
        <v>9193</v>
      </c>
      <c r="R70" s="1881" t="s">
        <v>1524</v>
      </c>
    </row>
    <row r="71" spans="1:18" s="1837" customFormat="1" ht="13.5" thickBot="1">
      <c r="A71" s="1190" t="s">
        <v>1030</v>
      </c>
      <c r="B71" s="1191" t="s">
        <v>1482</v>
      </c>
      <c r="C71" s="382">
        <f ca="1">ROUND(C68*10000/F71,0)</f>
        <v>-6296</v>
      </c>
      <c r="D71" s="1192" t="s">
        <v>1483</v>
      </c>
      <c r="E71" s="1193" t="s">
        <v>1484</v>
      </c>
      <c r="F71" s="385">
        <f ca="1">F43</f>
        <v>23014.799999999999</v>
      </c>
      <c r="O71" s="1889" t="s">
        <v>1047</v>
      </c>
      <c r="P71" s="1928" t="s">
        <v>1581</v>
      </c>
      <c r="Q71" s="1892">
        <f ca="1">C76</f>
        <v>8.5000000000000006E-2</v>
      </c>
      <c r="R71" s="1881"/>
    </row>
    <row r="72" spans="1:18" s="1837" customFormat="1" ht="13.5" thickBot="1">
      <c r="B72" s="796"/>
      <c r="C72" s="796"/>
      <c r="O72" s="1889" t="s">
        <v>1041</v>
      </c>
      <c r="P72" s="1880" t="s">
        <v>1559</v>
      </c>
      <c r="Q72" s="1892">
        <f>L52</f>
        <v>0</v>
      </c>
      <c r="R72" s="1881"/>
    </row>
    <row r="73" spans="1:18" ht="16.5" thickBot="1">
      <c r="A73" s="1837"/>
      <c r="B73" s="796"/>
      <c r="C73" s="796"/>
      <c r="D73" s="1837"/>
      <c r="E73" s="1837"/>
      <c r="F73" s="1837"/>
      <c r="O73" s="1889" t="s">
        <v>1042</v>
      </c>
      <c r="P73" s="1880" t="s">
        <v>1562</v>
      </c>
      <c r="Q73" s="1881" t="e">
        <f ca="1">L58</f>
        <v>#DIV/0!</v>
      </c>
      <c r="R73" s="1881" t="s">
        <v>1563</v>
      </c>
    </row>
    <row r="74" spans="1:18" ht="13.5" thickBot="1">
      <c r="A74" s="1837"/>
      <c r="B74" s="317" t="s">
        <v>1582</v>
      </c>
      <c r="C74" s="1930"/>
      <c r="D74" s="1837"/>
      <c r="E74" s="1837"/>
      <c r="F74" s="1837"/>
      <c r="O74" s="1889" t="s">
        <v>1049</v>
      </c>
      <c r="P74" s="1880" t="str">
        <f>K59</f>
        <v>建筑物剩余耐用年限下的土地年期修正系数Kn</v>
      </c>
      <c r="Q74" s="1881" t="e">
        <f ca="1">L59</f>
        <v>#DIV/0!</v>
      </c>
      <c r="R74" s="1881" t="s">
        <v>1564</v>
      </c>
    </row>
    <row r="75" spans="1:18" ht="13.5" thickBot="1">
      <c r="A75" s="1837"/>
      <c r="B75" s="386" t="s">
        <v>1501</v>
      </c>
      <c r="C75" s="387">
        <f ca="1">ROUND(C13*C76,0)</f>
        <v>781</v>
      </c>
      <c r="D75" s="1837"/>
      <c r="E75" s="1837"/>
      <c r="F75" s="1837"/>
      <c r="K75" s="1863"/>
      <c r="L75" s="1837"/>
      <c r="O75" s="1879" t="s">
        <v>1043</v>
      </c>
      <c r="P75" s="1880" t="s">
        <v>1544</v>
      </c>
      <c r="Q75" s="1881">
        <f ca="1">Q65+Q66</f>
        <v>11604</v>
      </c>
      <c r="R75" s="1881" t="s">
        <v>1044</v>
      </c>
    </row>
    <row r="76" spans="1:18">
      <c r="B76" s="388" t="s">
        <v>1502</v>
      </c>
      <c r="C76" s="389">
        <f ca="1">INDIRECT("'数据-取费表'!j"&amp;$G$1)</f>
        <v>8.5000000000000006E-2</v>
      </c>
      <c r="I76" s="1837"/>
      <c r="J76" s="1837"/>
      <c r="K76" s="1863"/>
      <c r="L76" s="1837"/>
    </row>
    <row r="77" spans="1:18">
      <c r="B77" s="390" t="s">
        <v>1503</v>
      </c>
      <c r="C77" s="391"/>
      <c r="I77" s="1837"/>
      <c r="J77" s="1837"/>
      <c r="K77" s="1863"/>
      <c r="L77" s="1837"/>
    </row>
    <row r="78" spans="1:18">
      <c r="B78" s="314" t="s">
        <v>1504</v>
      </c>
      <c r="C78" s="392"/>
    </row>
    <row r="79" spans="1:18">
      <c r="B79" s="386" t="s">
        <v>1505</v>
      </c>
      <c r="C79" s="318">
        <f ca="1">1-C80</f>
        <v>-8.4999999999999964E-2</v>
      </c>
    </row>
    <row r="80" spans="1:18">
      <c r="B80" s="386" t="s">
        <v>1506</v>
      </c>
      <c r="C80" s="318">
        <f ca="1">ROUND(C75/C39,3)</f>
        <v>1.085</v>
      </c>
    </row>
    <row r="81" spans="2:3">
      <c r="B81" s="314" t="s">
        <v>1507</v>
      </c>
      <c r="C81" s="282"/>
    </row>
    <row r="82" spans="2:3">
      <c r="B82" s="317" t="s">
        <v>1508</v>
      </c>
      <c r="C82" s="319">
        <f ca="1">1-C83</f>
        <v>0.20799999999999996</v>
      </c>
    </row>
    <row r="83" spans="2:3">
      <c r="B83" s="317" t="s">
        <v>1509</v>
      </c>
      <c r="C83" s="318">
        <f ca="1">ROUND(C13/C40,3)</f>
        <v>0.79200000000000004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c r="D1" s="1815"/>
      <c r="E1" s="1816" t="s">
        <v>1382</v>
      </c>
      <c r="F1" s="1283">
        <f ca="1">J53</f>
        <v>0</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1585</v>
      </c>
      <c r="B2" s="1839" t="e">
        <f ca="1">ROUND(D2/10000,0)</f>
        <v>#DIV/0!</v>
      </c>
      <c r="C2" s="1840" t="s">
        <v>1586</v>
      </c>
      <c r="D2" s="1932" t="e">
        <f ca="1">C40+J29+L46</f>
        <v>#DIV/0!</v>
      </c>
      <c r="E2" s="1841" t="s">
        <v>1587</v>
      </c>
      <c r="F2" s="1842"/>
      <c r="G2" s="1843"/>
      <c r="H2" s="1835"/>
      <c r="I2" s="1835"/>
      <c r="J2" s="1835"/>
      <c r="K2" s="1836"/>
      <c r="L2" s="1835"/>
      <c r="M2" s="1835"/>
    </row>
    <row r="3" spans="1:37" ht="18" customHeight="1" thickBot="1">
      <c r="A3" s="1844" t="s">
        <v>1588</v>
      </c>
      <c r="B3" s="1845">
        <f ca="1">IF(ISERROR(D2/F43),0,ROUND(D2/F43,0))</f>
        <v>0</v>
      </c>
      <c r="C3" s="1840" t="s">
        <v>1589</v>
      </c>
      <c r="D3" s="1840"/>
      <c r="E3" s="1841"/>
      <c r="F3" s="1842"/>
      <c r="G3" s="1843"/>
      <c r="H3" s="744" t="s">
        <v>1583</v>
      </c>
      <c r="I3" s="1835"/>
      <c r="J3" s="1835"/>
      <c r="K3" s="1836"/>
      <c r="L3" s="1835"/>
      <c r="M3" s="1835"/>
    </row>
    <row r="4" spans="1:37" ht="18" customHeight="1">
      <c r="A4" s="340" t="s">
        <v>1590</v>
      </c>
      <c r="B4" s="341" t="s">
        <v>1591</v>
      </c>
      <c r="C4" s="341" t="s">
        <v>1592</v>
      </c>
      <c r="D4" s="341" t="s">
        <v>1593</v>
      </c>
      <c r="E4" s="342" t="s">
        <v>1594</v>
      </c>
      <c r="F4" s="343"/>
      <c r="G4" s="1846"/>
      <c r="H4" s="340" t="s">
        <v>1590</v>
      </c>
      <c r="I4" s="341" t="s">
        <v>1591</v>
      </c>
      <c r="J4" s="341" t="s">
        <v>1592</v>
      </c>
      <c r="K4" s="341" t="s">
        <v>1593</v>
      </c>
      <c r="L4" s="342" t="s">
        <v>1594</v>
      </c>
      <c r="M4" s="343"/>
    </row>
    <row r="5" spans="1:37" ht="18" customHeight="1">
      <c r="A5" s="344">
        <v>1</v>
      </c>
      <c r="B5" s="345" t="s">
        <v>1595</v>
      </c>
      <c r="C5" s="1292">
        <f ca="1">C6+C10+C12</f>
        <v>0</v>
      </c>
      <c r="D5" s="1817" t="s">
        <v>1596</v>
      </c>
      <c r="E5" s="1293"/>
      <c r="F5" s="1294"/>
      <c r="G5" s="1846"/>
      <c r="H5" s="344">
        <v>1</v>
      </c>
      <c r="I5" s="345" t="s">
        <v>1595</v>
      </c>
      <c r="J5" s="1292">
        <f ca="1">J6+J10+J12</f>
        <v>0</v>
      </c>
      <c r="K5" s="1817" t="s">
        <v>1596</v>
      </c>
      <c r="L5" s="1293"/>
      <c r="M5" s="1294"/>
    </row>
    <row r="6" spans="1:37" ht="18" customHeight="1">
      <c r="A6" s="1291" t="s">
        <v>1032</v>
      </c>
      <c r="B6" s="3157" t="s">
        <v>1398</v>
      </c>
      <c r="C6" s="1296">
        <f ca="1">ROUND(F6*F8*F7*(1-F9),0)</f>
        <v>0</v>
      </c>
      <c r="D6" s="164" t="s">
        <v>3029</v>
      </c>
      <c r="E6" s="347" t="s">
        <v>1400</v>
      </c>
      <c r="F6" s="348">
        <f ca="1">INDIRECT("'数据-取费表'!u"&amp;$G$1)</f>
        <v>0</v>
      </c>
      <c r="G6" s="1846"/>
      <c r="H6" s="1291" t="s">
        <v>1032</v>
      </c>
      <c r="I6" s="3157" t="s">
        <v>1398</v>
      </c>
      <c r="J6" s="346">
        <f ca="1">ROUND(M6*M8*M7*(1-M9),0)</f>
        <v>0</v>
      </c>
      <c r="K6" s="1829" t="s">
        <v>3030</v>
      </c>
      <c r="L6" s="347" t="s">
        <v>1400</v>
      </c>
      <c r="M6" s="348">
        <f ca="1">INDIRECT("'数据-取费表'!z"&amp;$G$1)</f>
        <v>0</v>
      </c>
    </row>
    <row r="7" spans="1:37" ht="18" customHeight="1">
      <c r="A7" s="1295"/>
      <c r="B7" s="3158"/>
      <c r="C7" s="1297"/>
      <c r="D7" s="352"/>
      <c r="E7" s="1298" t="s">
        <v>1401</v>
      </c>
      <c r="F7" s="348">
        <f ca="1">IF(INDIRECT("'数据-取费表'!ah"&amp;$G$1)="",INDIRECT("'数据-取费表'!k"&amp;$G$1),INDIRECT("'数据-取费表'!ah"&amp;$G$1))</f>
        <v>0</v>
      </c>
      <c r="G7" s="1846"/>
      <c r="H7" s="349"/>
      <c r="I7" s="3158"/>
      <c r="J7" s="351"/>
      <c r="K7" s="352"/>
      <c r="L7" s="347" t="s">
        <v>1401</v>
      </c>
      <c r="M7" s="348">
        <f ca="1">F7</f>
        <v>0</v>
      </c>
    </row>
    <row r="8" spans="1:37" ht="18" customHeight="1">
      <c r="A8" s="349"/>
      <c r="B8" s="3158"/>
      <c r="C8" s="351"/>
      <c r="D8" s="352"/>
      <c r="E8" s="347" t="s">
        <v>1402</v>
      </c>
      <c r="F8" s="348">
        <f ca="1">INDIRECT("'数据-取费表'!ai"&amp;$G$1)</f>
        <v>0</v>
      </c>
      <c r="G8" s="1846"/>
      <c r="H8" s="349"/>
      <c r="I8" s="3158"/>
      <c r="J8" s="351"/>
      <c r="K8" s="352"/>
      <c r="L8" s="347" t="s">
        <v>1402</v>
      </c>
      <c r="M8" s="348">
        <f ca="1">INDIRECT("'数据-取费表'!ai"&amp;$G$1)</f>
        <v>0</v>
      </c>
    </row>
    <row r="9" spans="1:37" ht="18" customHeight="1">
      <c r="A9" s="349"/>
      <c r="B9" s="3159"/>
      <c r="C9" s="351"/>
      <c r="D9" s="352"/>
      <c r="E9" s="347" t="s">
        <v>1403</v>
      </c>
      <c r="F9" s="357">
        <f ca="1">INDIRECT("'数据-取费表'!w"&amp;$G$1)</f>
        <v>0</v>
      </c>
      <c r="G9" s="1846"/>
      <c r="H9" s="349"/>
      <c r="I9" s="3159"/>
      <c r="J9" s="351"/>
      <c r="K9" s="352"/>
      <c r="L9" s="358" t="s">
        <v>1403</v>
      </c>
      <c r="M9" s="359">
        <f ca="1">INDIRECT("'数据-取费表'!ab"&amp;$G$1)</f>
        <v>0</v>
      </c>
    </row>
    <row r="10" spans="1:37" ht="18" customHeight="1">
      <c r="A10" s="1291" t="s">
        <v>1036</v>
      </c>
      <c r="B10" s="1818" t="s">
        <v>1404</v>
      </c>
      <c r="C10" s="361">
        <f ca="1">ROUND(IF(F10="押一",C6/12*F11,IF(F10="押二",C6/12*2*F11,IF(F10="押三",C6/12*3*F11,C11*F11))),0)</f>
        <v>0</v>
      </c>
      <c r="D10" s="1819" t="s">
        <v>3040</v>
      </c>
      <c r="E10" s="358" t="s">
        <v>1405</v>
      </c>
      <c r="F10" s="1366"/>
      <c r="G10" s="1846"/>
      <c r="H10" s="1291" t="s">
        <v>1036</v>
      </c>
      <c r="I10" s="1818" t="s">
        <v>1404</v>
      </c>
      <c r="J10" s="346">
        <f ca="1">ROUND(IF(M10="押一",J6/12*M11,IF(M10="押二",J6/12*2*M11,IF(M10="押三",J6/12*3*M11,J11*M11))),0)</f>
        <v>0</v>
      </c>
      <c r="K10" s="1830" t="s">
        <v>3042</v>
      </c>
      <c r="L10" s="358" t="s">
        <v>1405</v>
      </c>
      <c r="M10" s="1366"/>
    </row>
    <row r="11" spans="1:37" ht="18" customHeight="1">
      <c r="A11" s="353"/>
      <c r="B11" s="1820" t="s">
        <v>1597</v>
      </c>
      <c r="C11" s="1178"/>
      <c r="D11" s="352"/>
      <c r="E11" s="358" t="s">
        <v>1407</v>
      </c>
      <c r="F11" s="359">
        <f ca="1">'数据-取费表'!B39</f>
        <v>1.4999999999999999E-2</v>
      </c>
      <c r="G11" s="1846"/>
      <c r="H11" s="1299"/>
      <c r="I11" s="1820" t="s">
        <v>1598</v>
      </c>
      <c r="J11" s="1178"/>
      <c r="K11" s="748"/>
      <c r="L11" s="358" t="s">
        <v>1407</v>
      </c>
      <c r="M11" s="1056">
        <f ca="1">'数据-取费表'!B39</f>
        <v>1.4999999999999999E-2</v>
      </c>
    </row>
    <row r="12" spans="1:37" ht="18" customHeight="1" thickBot="1">
      <c r="A12" s="1333" t="s">
        <v>1072</v>
      </c>
      <c r="B12" s="1822" t="s">
        <v>1408</v>
      </c>
      <c r="C12" s="1334"/>
      <c r="D12" s="1335"/>
      <c r="E12" s="1340"/>
      <c r="F12" s="1336"/>
      <c r="G12" s="1846"/>
      <c r="H12" s="1333" t="s">
        <v>1072</v>
      </c>
      <c r="I12" s="1822"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46"/>
      <c r="H13" s="1329">
        <v>2</v>
      </c>
      <c r="I13" s="1330" t="s">
        <v>1409</v>
      </c>
      <c r="J13" s="1290">
        <f ca="1">ROUND(J14*J15,0)</f>
        <v>0</v>
      </c>
      <c r="K13" s="1337" t="s">
        <v>1410</v>
      </c>
      <c r="L13" s="1847"/>
      <c r="M13" s="1848"/>
    </row>
    <row r="14" spans="1:37" ht="18" customHeight="1">
      <c r="A14" s="1201" t="s">
        <v>1031</v>
      </c>
      <c r="B14" s="347" t="s">
        <v>1412</v>
      </c>
      <c r="C14" s="363">
        <f ca="1">ROUND(INDIRECT("'数据-取费表'!l"&amp;$G$1)*F43+'数据-取费表'!L14*INDIRECT("'数据-取费表'!S"&amp;$G$1),0)</f>
        <v>0</v>
      </c>
      <c r="D14" s="1795" t="s">
        <v>1413</v>
      </c>
      <c r="E14" s="1789"/>
      <c r="F14" s="364"/>
      <c r="G14" s="1846"/>
      <c r="H14" s="1201" t="s">
        <v>1032</v>
      </c>
      <c r="I14" s="347" t="s">
        <v>1414</v>
      </c>
      <c r="J14" s="24">
        <f ca="1">C29</f>
        <v>0</v>
      </c>
      <c r="K14" s="15"/>
      <c r="L14" s="979"/>
      <c r="M14" s="980"/>
    </row>
    <row r="15" spans="1:37" s="1853" customFormat="1" ht="18" customHeight="1" thickBot="1">
      <c r="A15" s="1201" t="s">
        <v>1033</v>
      </c>
      <c r="B15" s="347" t="s">
        <v>1415</v>
      </c>
      <c r="C15" s="24">
        <f ca="1">ROUND(C14*F15,0)</f>
        <v>0</v>
      </c>
      <c r="D15" s="365" t="s">
        <v>1416</v>
      </c>
      <c r="E15" s="365" t="s">
        <v>1417</v>
      </c>
      <c r="F15" s="366">
        <f>'数据-取费表'!B33</f>
        <v>0.05</v>
      </c>
      <c r="G15" s="1849"/>
      <c r="H15" s="1339" t="s">
        <v>1036</v>
      </c>
      <c r="I15" s="1340" t="s">
        <v>1411</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46"/>
      <c r="H16" s="1329" t="s">
        <v>1027</v>
      </c>
      <c r="I16" s="1330" t="s">
        <v>1419</v>
      </c>
      <c r="J16" s="355">
        <f ca="1">ROUND(J17+J22+J23+J24,0)</f>
        <v>0</v>
      </c>
      <c r="K16" s="1337" t="s">
        <v>1420</v>
      </c>
      <c r="L16" s="1338"/>
      <c r="M16" s="1294"/>
    </row>
    <row r="17" spans="1:37" s="1853" customFormat="1" ht="18" customHeight="1">
      <c r="A17" s="1201" t="s">
        <v>1385</v>
      </c>
      <c r="B17" s="347" t="s">
        <v>1421</v>
      </c>
      <c r="C17" s="24">
        <f ca="1">ROUND(F17*(F43+INDIRECT("'数据-取费表'!S"&amp;$G$1)),0)</f>
        <v>0</v>
      </c>
      <c r="D17" s="347" t="s">
        <v>1422</v>
      </c>
      <c r="E17" s="347" t="s">
        <v>1423</v>
      </c>
      <c r="F17" s="26">
        <f>'数据-取费表'!B35</f>
        <v>200</v>
      </c>
      <c r="G17" s="1849"/>
      <c r="H17" s="1201" t="s">
        <v>1032</v>
      </c>
      <c r="I17" s="347" t="s">
        <v>1424</v>
      </c>
      <c r="J17" s="24">
        <f ca="1">ROUND(IF(项目基本情况!B11="自然人",J6*M17/(1+'数据-取费表'!C42),J18+J19+J20),0)</f>
        <v>0</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1386</v>
      </c>
      <c r="B18" s="347" t="s">
        <v>1427</v>
      </c>
      <c r="C18" s="24">
        <f ca="1">ROUND(C14*F18,0)</f>
        <v>0</v>
      </c>
      <c r="D18" s="347" t="s">
        <v>1416</v>
      </c>
      <c r="E18" s="347" t="s">
        <v>1417</v>
      </c>
      <c r="F18" s="367">
        <f>'数据-取费表'!B36</f>
        <v>1.4999999999999999E-2</v>
      </c>
      <c r="G18" s="1849"/>
      <c r="H18" s="1201" t="s">
        <v>1031</v>
      </c>
      <c r="I18" s="347" t="s">
        <v>1428</v>
      </c>
      <c r="J18" s="24">
        <f ca="1">ROUND(J6*M18/(1+'数据-取费表'!C42),0)</f>
        <v>0</v>
      </c>
      <c r="K18" s="1793" t="s">
        <v>1429</v>
      </c>
      <c r="L18" s="347" t="s">
        <v>1417</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1430</v>
      </c>
      <c r="C19" s="24">
        <f ca="1">SUM(C14:C18)</f>
        <v>0</v>
      </c>
      <c r="D19" s="140" t="s">
        <v>1431</v>
      </c>
      <c r="E19" s="1813"/>
      <c r="F19" s="26"/>
      <c r="G19" s="1846"/>
      <c r="H19" s="1201" t="s">
        <v>1033</v>
      </c>
      <c r="I19" s="347" t="s">
        <v>1432</v>
      </c>
      <c r="J19" s="24">
        <f ca="1">IF(K19="按租金收入计税",ROUND(J6*M19/(1+'数据-取费表'!C42),0),ROUND(C29*M19*0.7,0))</f>
        <v>0</v>
      </c>
      <c r="K19" s="1823" t="s">
        <v>1433</v>
      </c>
      <c r="L19" s="347" t="s">
        <v>1417</v>
      </c>
      <c r="M19" s="367">
        <f>IF(K19="按租金收入计税",'数据-取费表'!B51,'数据-取费表'!B50)</f>
        <v>1.2E-2</v>
      </c>
    </row>
    <row r="20" spans="1:37" s="1853" customFormat="1" ht="18" customHeight="1">
      <c r="A20" s="1201" t="s">
        <v>1036</v>
      </c>
      <c r="B20" s="347" t="s">
        <v>1434</v>
      </c>
      <c r="C20" s="24">
        <f ca="1">ROUND(C19*F20,0)</f>
        <v>0</v>
      </c>
      <c r="D20" s="369" t="s">
        <v>1435</v>
      </c>
      <c r="E20" s="347" t="s">
        <v>1417</v>
      </c>
      <c r="F20" s="367">
        <f>'数据-取费表'!B37</f>
        <v>0.03</v>
      </c>
      <c r="G20" s="1849"/>
      <c r="H20" s="1201" t="s">
        <v>1384</v>
      </c>
      <c r="I20" s="164" t="s">
        <v>1436</v>
      </c>
      <c r="J20" s="25">
        <f ca="1">ROUND(M20*M21,0)</f>
        <v>0</v>
      </c>
      <c r="K20" s="370" t="s">
        <v>1437</v>
      </c>
      <c r="L20" s="347" t="s">
        <v>1438</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1439</v>
      </c>
      <c r="C21" s="24" t="s">
        <v>1</v>
      </c>
      <c r="D21" s="369" t="s">
        <v>1440</v>
      </c>
      <c r="E21" s="347" t="s">
        <v>1441</v>
      </c>
      <c r="F21" s="367">
        <f>'数据-取费表'!B38</f>
        <v>0.03</v>
      </c>
      <c r="G21" s="1849"/>
      <c r="H21" s="372"/>
      <c r="I21" s="356"/>
      <c r="J21" s="29"/>
      <c r="K21" s="373"/>
      <c r="L21" s="347" t="s">
        <v>1442</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3"/>
      <c r="F22" s="26"/>
      <c r="G22" s="1846"/>
      <c r="H22" s="1201" t="s">
        <v>1036</v>
      </c>
      <c r="I22" s="347" t="s">
        <v>1444</v>
      </c>
      <c r="J22" s="24">
        <f ca="1">ROUND(J14*M22,0)</f>
        <v>0</v>
      </c>
      <c r="K22" s="1793" t="s">
        <v>1445</v>
      </c>
      <c r="L22" s="347" t="s">
        <v>1417</v>
      </c>
      <c r="M22" s="374">
        <f ca="1">INDIRECT("'数据-取费表'!Ak"&amp;$G$1)</f>
        <v>0</v>
      </c>
    </row>
    <row r="23" spans="1:37" s="1853"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49"/>
      <c r="H23" s="1201" t="s">
        <v>1072</v>
      </c>
      <c r="I23" s="347" t="s">
        <v>1448</v>
      </c>
      <c r="J23" s="24">
        <f ca="1">ROUND(J13*M23,0)</f>
        <v>0</v>
      </c>
      <c r="K23" s="1793" t="s">
        <v>1449</v>
      </c>
      <c r="L23" s="347" t="s">
        <v>1450</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49"/>
      <c r="H24" s="1339" t="s">
        <v>1388</v>
      </c>
      <c r="I24" s="1340" t="s">
        <v>1434</v>
      </c>
      <c r="J24" s="1341">
        <f ca="1">ROUND(J5*M24,0)</f>
        <v>0</v>
      </c>
      <c r="K24" s="1342" t="s">
        <v>1454</v>
      </c>
      <c r="L24" s="1340" t="s">
        <v>1450</v>
      </c>
      <c r="M24" s="1336">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201" t="s">
        <v>1455</v>
      </c>
      <c r="B25" s="347" t="s">
        <v>1456</v>
      </c>
      <c r="C25" s="24"/>
      <c r="D25" s="140" t="s">
        <v>1457</v>
      </c>
      <c r="E25" s="1813"/>
      <c r="F25" s="26"/>
      <c r="G25" s="1846"/>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46"/>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46"/>
      <c r="H27" s="349"/>
      <c r="I27" s="350"/>
      <c r="J27" s="351"/>
      <c r="K27" s="378" t="s">
        <v>1468</v>
      </c>
      <c r="L27" s="347" t="s">
        <v>1469</v>
      </c>
      <c r="M27" s="379">
        <f ca="1">INDIRECT("'数据-取费表'!ag"&amp;$G$1)</f>
        <v>0</v>
      </c>
    </row>
    <row r="28" spans="1:37" s="1853" customFormat="1" ht="18" customHeight="1">
      <c r="A28" s="1201" t="s">
        <v>1034</v>
      </c>
      <c r="B28" s="347" t="s">
        <v>1470</v>
      </c>
      <c r="C28" s="24">
        <f>ROUND(F28/(1+'数据-取费表'!C42),4)</f>
        <v>5.2400000000000002E-2</v>
      </c>
      <c r="D28" s="369" t="s">
        <v>1471</v>
      </c>
      <c r="E28" s="347" t="s">
        <v>1417</v>
      </c>
      <c r="F28" s="367">
        <f>'数据-取费表'!B41</f>
        <v>5.5000000000000007E-2</v>
      </c>
      <c r="G28" s="1849"/>
      <c r="H28" s="353"/>
      <c r="I28" s="354"/>
      <c r="J28" s="355"/>
      <c r="K28" s="373"/>
      <c r="L28" s="347" t="s">
        <v>1472</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1473</v>
      </c>
      <c r="C29" s="1341">
        <f ca="1">ROUND((C19+C20+C23+C26)/(1-F21-C24-C27-C28),0)</f>
        <v>0</v>
      </c>
      <c r="D29" s="1342"/>
      <c r="E29" s="1340"/>
      <c r="F29" s="1343"/>
      <c r="G29" s="1849"/>
      <c r="H29" s="380" t="s">
        <v>1030</v>
      </c>
      <c r="I29" s="381" t="s">
        <v>1474</v>
      </c>
      <c r="J29" s="382">
        <f ca="1">ROUND(J26/(1+F40)^F41,0)</f>
        <v>0</v>
      </c>
      <c r="K29" s="383" t="s">
        <v>1475</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1419</v>
      </c>
      <c r="C30" s="355">
        <f ca="1">ROUND(C31+C36+C37+C38,0)</f>
        <v>0</v>
      </c>
      <c r="D30" s="1337" t="s">
        <v>1420</v>
      </c>
      <c r="E30" s="1338"/>
      <c r="F30" s="1294"/>
      <c r="G30" s="1846"/>
      <c r="H30" s="745"/>
      <c r="I30" s="746"/>
      <c r="J30" s="747"/>
      <c r="K30" s="748"/>
      <c r="L30" s="749"/>
      <c r="M30" s="750"/>
    </row>
    <row r="31" spans="1:37" ht="18" customHeight="1">
      <c r="A31" s="1201" t="s">
        <v>1032</v>
      </c>
      <c r="B31" s="347" t="s">
        <v>1424</v>
      </c>
      <c r="C31" s="24">
        <f ca="1">ROUND(IF(项目基本情况!B11="自然人",C6*F31/(1+'数据-取费表'!C42),C32+C33+C34),0)</f>
        <v>0</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1428</v>
      </c>
      <c r="C32" s="24">
        <f ca="1">IF(项目基本情况!B11="自然人","——",ROUND(C6*F32/(1+'数据-取费表'!C42),0))</f>
        <v>0</v>
      </c>
      <c r="D32" s="1793" t="s">
        <v>1429</v>
      </c>
      <c r="E32" s="347" t="s">
        <v>1417</v>
      </c>
      <c r="F32" s="377">
        <f>'数据-取费表'!B41</f>
        <v>5.5000000000000007E-2</v>
      </c>
      <c r="G32" s="1846"/>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3" t="s">
        <v>1433</v>
      </c>
      <c r="E33" s="347" t="s">
        <v>1417</v>
      </c>
      <c r="F33" s="367">
        <f>IF(D33="按票据","——",IF(D33="按租金收入计税",'数据-取费表'!B51,'数据-取费表'!B50))</f>
        <v>1.2E-2</v>
      </c>
      <c r="G33" s="1846"/>
      <c r="H33" s="1854"/>
      <c r="I33" s="1855"/>
      <c r="J33" s="1856"/>
      <c r="K33" s="1857"/>
      <c r="L33" s="1854"/>
      <c r="M33" s="1854"/>
    </row>
    <row r="34" spans="1:18" ht="18" customHeight="1">
      <c r="A34" s="1291" t="s">
        <v>1384</v>
      </c>
      <c r="B34" s="164" t="s">
        <v>1436</v>
      </c>
      <c r="C34" s="25">
        <f ca="1">IF(项目基本情况!B11="自然人","——",ROUND(F34*F35,))</f>
        <v>0</v>
      </c>
      <c r="D34" s="370" t="s">
        <v>1437</v>
      </c>
      <c r="E34" s="347" t="s">
        <v>1438</v>
      </c>
      <c r="F34" s="371">
        <f>'数据-取费表'!B52</f>
        <v>1.5</v>
      </c>
      <c r="G34" s="1846"/>
      <c r="H34" s="745"/>
      <c r="I34" s="1855"/>
      <c r="J34" s="1856"/>
      <c r="K34" s="1858"/>
      <c r="L34" s="1859"/>
      <c r="M34" s="1859"/>
    </row>
    <row r="35" spans="1:18" ht="18" customHeight="1">
      <c r="A35" s="1353"/>
      <c r="B35" s="1351"/>
      <c r="C35" s="29"/>
      <c r="D35" s="373"/>
      <c r="E35" s="347" t="s">
        <v>1442</v>
      </c>
      <c r="F35" s="348">
        <f ca="1">INDIRECT("'数据-取费表'!r"&amp;$G$1)</f>
        <v>0</v>
      </c>
      <c r="G35" s="1846"/>
      <c r="H35" s="745"/>
      <c r="I35" s="1855"/>
      <c r="J35" s="1856"/>
      <c r="K35" s="1857"/>
      <c r="L35" s="1854"/>
      <c r="M35" s="1854"/>
    </row>
    <row r="36" spans="1:18" ht="18" customHeight="1">
      <c r="A36" s="1352" t="s">
        <v>1036</v>
      </c>
      <c r="B36" s="347" t="s">
        <v>1444</v>
      </c>
      <c r="C36" s="24">
        <f ca="1">ROUND(C29*F36,0)</f>
        <v>0</v>
      </c>
      <c r="D36" s="1793" t="s">
        <v>1477</v>
      </c>
      <c r="E36" s="347" t="s">
        <v>1417</v>
      </c>
      <c r="F36" s="374">
        <f ca="1">INDIRECT("'数据-取费表'!Ak"&amp;$G$1)</f>
        <v>0</v>
      </c>
      <c r="G36" s="1846"/>
      <c r="H36" s="1854"/>
      <c r="I36" s="1855"/>
      <c r="J36" s="1856"/>
      <c r="K36" s="751"/>
      <c r="L36" s="1854"/>
      <c r="M36" s="1854"/>
    </row>
    <row r="37" spans="1:18" ht="18" customHeight="1">
      <c r="A37" s="1201" t="s">
        <v>1072</v>
      </c>
      <c r="B37" s="347" t="s">
        <v>1448</v>
      </c>
      <c r="C37" s="24">
        <f ca="1">ROUND(C13*F37,0)</f>
        <v>0</v>
      </c>
      <c r="D37" s="1793" t="s">
        <v>1449</v>
      </c>
      <c r="E37" s="347" t="s">
        <v>1450</v>
      </c>
      <c r="F37" s="376">
        <f ca="1">INDIRECT("'数据-取费表'!Al"&amp;$G$1)</f>
        <v>0</v>
      </c>
      <c r="G37" s="1846"/>
      <c r="H37" s="1854"/>
      <c r="I37" s="1855"/>
      <c r="J37" s="1856"/>
      <c r="K37" s="751"/>
      <c r="L37" s="1854"/>
      <c r="M37" s="1854"/>
    </row>
    <row r="38" spans="1:18" ht="18" customHeight="1" thickBot="1">
      <c r="A38" s="1339" t="s">
        <v>1388</v>
      </c>
      <c r="B38" s="1340" t="s">
        <v>1434</v>
      </c>
      <c r="C38" s="1341">
        <f ca="1">ROUND(C5*F38,1)</f>
        <v>0</v>
      </c>
      <c r="D38" s="1342" t="s">
        <v>1454</v>
      </c>
      <c r="E38" s="1340" t="s">
        <v>1450</v>
      </c>
      <c r="F38" s="1336">
        <f ca="1">INDIRECT("'数据-取费表'!Am"&amp;$G$1)</f>
        <v>0</v>
      </c>
      <c r="G38" s="1846"/>
      <c r="H38" s="1854"/>
      <c r="I38" s="1855"/>
      <c r="J38" s="1856"/>
      <c r="K38" s="1860"/>
      <c r="L38" s="1854"/>
      <c r="M38" s="1854"/>
    </row>
    <row r="39" spans="1:18" ht="24.6" customHeight="1" thickTop="1">
      <c r="A39" s="1329" t="s">
        <v>1028</v>
      </c>
      <c r="B39" s="1344" t="s">
        <v>1478</v>
      </c>
      <c r="C39" s="355">
        <f ca="1">C5-C30</f>
        <v>0</v>
      </c>
      <c r="D39" s="1345" t="s">
        <v>1479</v>
      </c>
      <c r="E39" s="1346"/>
      <c r="F39" s="1347"/>
      <c r="G39" s="1846"/>
      <c r="H39" s="1854"/>
      <c r="I39" s="1855"/>
      <c r="J39" s="1856"/>
      <c r="K39" s="1860"/>
      <c r="L39" s="1854"/>
      <c r="M39" s="1854"/>
    </row>
    <row r="40" spans="1:18" ht="18" customHeight="1">
      <c r="A40" s="344" t="s">
        <v>1029</v>
      </c>
      <c r="B40" s="345" t="s">
        <v>1480</v>
      </c>
      <c r="C40" s="346" t="e">
        <f ca="1">ROUND(C39*(1-((1+F42)/(1+F40))^F41)/(F40-F42),0)</f>
        <v>#DIV/0!</v>
      </c>
      <c r="D40" s="370" t="s">
        <v>1464</v>
      </c>
      <c r="E40" s="347" t="s">
        <v>1465</v>
      </c>
      <c r="F40" s="357">
        <f ca="1">INDIRECT("'数据-取费表'!I"&amp;$G$1)</f>
        <v>0</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1472</v>
      </c>
      <c r="F42" s="357">
        <f ca="1">INDIRECT("'数据-取费表'!v"&amp;$G$1)</f>
        <v>0</v>
      </c>
      <c r="G42" s="1846"/>
      <c r="H42" s="732"/>
      <c r="I42" s="1855"/>
      <c r="J42" s="1856"/>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1599</v>
      </c>
      <c r="E45" s="1861"/>
      <c r="F45" s="1861"/>
      <c r="O45" s="1864" t="s">
        <v>1514</v>
      </c>
      <c r="P45" s="1834"/>
      <c r="Q45" s="1834"/>
      <c r="R45" s="1834"/>
    </row>
    <row r="46" spans="1:18" s="1837" customFormat="1" ht="13.5" thickBot="1">
      <c r="A46" s="1865" t="s">
        <v>1515</v>
      </c>
      <c r="C46" s="1866" t="e">
        <f ca="1">ROUND(C45/10000,0)</f>
        <v>#DIV/0!</v>
      </c>
      <c r="D46" s="1867" t="str">
        <f>C2</f>
        <v>万元</v>
      </c>
      <c r="I46" s="1868" t="s">
        <v>1516</v>
      </c>
      <c r="J46" s="1869"/>
      <c r="K46" s="1870"/>
      <c r="L46" s="1871" t="e">
        <f ca="1">IF(M47="住宅",0,IF(L48&gt;J51,L60,J60))</f>
        <v>#DIV/0!</v>
      </c>
      <c r="O46" s="1872" t="s">
        <v>1517</v>
      </c>
      <c r="P46" s="1873" t="s">
        <v>1518</v>
      </c>
      <c r="Q46" s="1874" t="s">
        <v>1519</v>
      </c>
      <c r="R46" s="1874" t="s">
        <v>1520</v>
      </c>
    </row>
    <row r="47" spans="1:18" s="1837" customFormat="1" ht="13.5" thickBot="1">
      <c r="A47" s="1165" t="s">
        <v>1391</v>
      </c>
      <c r="B47" s="1197" t="s">
        <v>1392</v>
      </c>
      <c r="C47" s="1197" t="s">
        <v>1393</v>
      </c>
      <c r="D47" s="1197" t="s">
        <v>1394</v>
      </c>
      <c r="E47" s="1279" t="s">
        <v>1395</v>
      </c>
      <c r="F47" s="1280"/>
      <c r="G47" s="792"/>
      <c r="I47" s="1875" t="s">
        <v>1521</v>
      </c>
      <c r="J47" s="1876"/>
      <c r="K47" s="1877" t="s">
        <v>1522</v>
      </c>
      <c r="L47" s="1878">
        <f ca="1">INDIRECT("'数据-取费表'!d"&amp;$G$1)</f>
        <v>0</v>
      </c>
      <c r="M47" s="1833" t="str">
        <f>IF(ISNUMBER(FIND("住宅",C1)),"住宅","非住宅")</f>
        <v>非住宅</v>
      </c>
      <c r="O47" s="1879" t="s">
        <v>1037</v>
      </c>
      <c r="P47" s="1880" t="s">
        <v>1523</v>
      </c>
      <c r="Q47" s="1881" t="e">
        <f ca="1">C40+J29</f>
        <v>#DIV/0!</v>
      </c>
      <c r="R47" s="1881" t="s">
        <v>1524</v>
      </c>
    </row>
    <row r="48" spans="1:18" s="1837" customFormat="1" ht="28.5" thickBot="1">
      <c r="A48" s="1360" t="s">
        <v>1132</v>
      </c>
      <c r="B48" s="345" t="s">
        <v>1396</v>
      </c>
      <c r="C48" s="1812">
        <f ca="1">C49+C53+C55</f>
        <v>0</v>
      </c>
      <c r="D48" s="1362"/>
      <c r="E48" s="1363"/>
      <c r="F48" s="1181"/>
      <c r="G48" s="792"/>
      <c r="H48" s="793"/>
      <c r="I48" s="1882" t="s">
        <v>1525</v>
      </c>
      <c r="J48" s="1883"/>
      <c r="K48" s="1884" t="s">
        <v>1526</v>
      </c>
      <c r="L48" s="1885">
        <f ca="1">INDIRECT("'数据-取费表'!f"&amp;$G$1)</f>
        <v>0</v>
      </c>
      <c r="O48" s="1879" t="s">
        <v>1038</v>
      </c>
      <c r="P48" s="1880" t="s">
        <v>1527</v>
      </c>
      <c r="Q48" s="1881" t="e">
        <f ca="1">J60</f>
        <v>#DIV/0!</v>
      </c>
      <c r="R48" s="1881" t="s">
        <v>1528</v>
      </c>
    </row>
    <row r="49" spans="1:18" s="1837" customFormat="1" ht="13.5" thickBot="1">
      <c r="A49" s="1194" t="s">
        <v>1133</v>
      </c>
      <c r="B49" s="1824" t="s">
        <v>1485</v>
      </c>
      <c r="C49" s="1364">
        <f ca="1">ROUND(F49*F51*F50*(1-F52),0)</f>
        <v>0</v>
      </c>
      <c r="D49" s="1276" t="s">
        <v>1399</v>
      </c>
      <c r="E49" s="1825" t="s">
        <v>1486</v>
      </c>
      <c r="F49" s="1281"/>
      <c r="G49" s="1886"/>
      <c r="H49" s="793"/>
      <c r="I49" s="1882" t="s">
        <v>1529</v>
      </c>
      <c r="J49" s="1887"/>
      <c r="K49" s="1884" t="s">
        <v>1530</v>
      </c>
      <c r="L49" s="1888"/>
      <c r="O49" s="1889" t="s">
        <v>1039</v>
      </c>
      <c r="P49" s="1880" t="s">
        <v>1531</v>
      </c>
      <c r="Q49" s="1881">
        <f ca="1">C29</f>
        <v>0</v>
      </c>
      <c r="R49" s="1881" t="s">
        <v>1524</v>
      </c>
    </row>
    <row r="50" spans="1:18" s="1837" customFormat="1" ht="13.5" thickBot="1">
      <c r="A50" s="1195"/>
      <c r="B50" s="1198"/>
      <c r="C50" s="1199"/>
      <c r="D50" s="1172"/>
      <c r="E50" s="1277" t="s">
        <v>1401</v>
      </c>
      <c r="F50" s="1278">
        <f ca="1">F7</f>
        <v>0</v>
      </c>
      <c r="H50" s="793"/>
      <c r="I50" s="1882" t="s">
        <v>1532</v>
      </c>
      <c r="J50" s="1890">
        <f>SUMPRODUCT((I63:I65=J47)*(J62:L62=J48)*(J63:L65))</f>
        <v>0</v>
      </c>
      <c r="K50" s="1884" t="s">
        <v>1533</v>
      </c>
      <c r="L50" s="1888"/>
      <c r="M50" s="1891"/>
      <c r="O50" s="1889" t="s">
        <v>1040</v>
      </c>
      <c r="P50" s="1880" t="s">
        <v>1534</v>
      </c>
      <c r="Q50" s="1892" t="e">
        <f ca="1">J58</f>
        <v>#DIV/0!</v>
      </c>
      <c r="R50" s="1881"/>
    </row>
    <row r="51" spans="1:18" s="1837" customFormat="1" ht="13.5" thickBot="1">
      <c r="A51" s="1196"/>
      <c r="B51" s="1198"/>
      <c r="C51" s="1199"/>
      <c r="D51" s="1172"/>
      <c r="E51" s="1200" t="s">
        <v>1402</v>
      </c>
      <c r="F51" s="348">
        <f ca="1">F8</f>
        <v>0</v>
      </c>
      <c r="I51" s="1893" t="s">
        <v>1535</v>
      </c>
      <c r="J51" s="1894">
        <f>IF(J49="",J50,J49+J50-YEAR('数据-取费表'!B2))</f>
        <v>0</v>
      </c>
      <c r="K51" s="1895" t="s">
        <v>1536</v>
      </c>
      <c r="L51" s="1896">
        <f ca="1">ROUND(-PV(INDIRECT("'数据-取费表'!h"&amp;$G$1),L48,(C39-C13*C76),0),0)</f>
        <v>0</v>
      </c>
      <c r="M51" s="1897"/>
      <c r="O51" s="1889" t="s">
        <v>1041</v>
      </c>
      <c r="P51" s="1880" t="s">
        <v>1537</v>
      </c>
      <c r="Q51" s="1892">
        <f>J52</f>
        <v>0</v>
      </c>
      <c r="R51" s="1881"/>
    </row>
    <row r="52" spans="1:18" s="1837" customFormat="1" ht="13.5" thickBot="1">
      <c r="A52" s="1196"/>
      <c r="B52" s="1198"/>
      <c r="C52" s="1199"/>
      <c r="D52" s="1172"/>
      <c r="E52" s="1200" t="s">
        <v>1403</v>
      </c>
      <c r="F52" s="1275"/>
      <c r="I52" s="1898" t="s">
        <v>1538</v>
      </c>
      <c r="J52" s="1899"/>
      <c r="K52" s="1898" t="s">
        <v>1539</v>
      </c>
      <c r="L52" s="1899"/>
      <c r="O52" s="1889" t="s">
        <v>1042</v>
      </c>
      <c r="P52" s="1880" t="s">
        <v>1540</v>
      </c>
      <c r="Q52" s="1881">
        <f ca="1">J53</f>
        <v>0</v>
      </c>
      <c r="R52" s="1881" t="s">
        <v>1541</v>
      </c>
    </row>
    <row r="53" spans="1:18" s="1837" customFormat="1" ht="30.75" customHeight="1" thickBot="1">
      <c r="A53" s="1361" t="s">
        <v>1134</v>
      </c>
      <c r="B53" s="369" t="s">
        <v>1404</v>
      </c>
      <c r="C53" s="361">
        <f ca="1">ROUND(IF(F53="押一",C49/12*F11,IF(F53="押二",C49/12*2*F11,IF(F53="押三",C49/12*3*F11,C54*F11))),0)</f>
        <v>0</v>
      </c>
      <c r="D53" s="1819" t="s">
        <v>3043</v>
      </c>
      <c r="E53" s="358" t="s">
        <v>1405</v>
      </c>
      <c r="F53" s="1366"/>
      <c r="I53" s="1900" t="s">
        <v>1542</v>
      </c>
      <c r="J53" s="2944">
        <f ca="1">IF(M47="住宅",IF(D1="——",MAX(J51,L48),MAX(J51,L48-'数据-取费表'!B24)),IF(D1="——",MIN(J51,L48),MIN(J51,L48-'数据-取费表'!B24)))</f>
        <v>0</v>
      </c>
      <c r="K53" s="3155" t="s">
        <v>1543</v>
      </c>
      <c r="L53" s="3156"/>
      <c r="O53" s="1879" t="s">
        <v>1043</v>
      </c>
      <c r="P53" s="1880" t="s">
        <v>1544</v>
      </c>
      <c r="Q53" s="1881" t="e">
        <f ca="1">Q47+Q48</f>
        <v>#DIV/0!</v>
      </c>
      <c r="R53" s="1881" t="s">
        <v>1044</v>
      </c>
    </row>
    <row r="54" spans="1:18" s="1837" customFormat="1" ht="13.5" thickBot="1">
      <c r="A54" s="1194"/>
      <c r="B54" s="1935" t="s">
        <v>1598</v>
      </c>
      <c r="C54" s="1178"/>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1545</v>
      </c>
      <c r="P54" s="1834"/>
      <c r="Q54" s="1834"/>
      <c r="R54" s="1834"/>
    </row>
    <row r="55" spans="1:18" s="1837" customFormat="1" ht="13.5" thickBot="1">
      <c r="A55" s="1333" t="s">
        <v>1072</v>
      </c>
      <c r="B55" s="1822" t="s">
        <v>1408</v>
      </c>
      <c r="C55" s="1334"/>
      <c r="D55" s="1819"/>
      <c r="E55" s="1827"/>
      <c r="F55" s="1901"/>
      <c r="I55" s="1904" t="s">
        <v>1546</v>
      </c>
      <c r="J55" s="1905" t="e">
        <f ca="1">ROUND(IF(J47="钢混",J57/J50,1-(1-2%)*(J50-J57)/J50),3)</f>
        <v>#DIV/0!</v>
      </c>
      <c r="K55" s="1906" t="s">
        <v>1547</v>
      </c>
      <c r="L55" s="1907"/>
      <c r="O55" s="1872" t="s">
        <v>1517</v>
      </c>
      <c r="P55" s="1873" t="s">
        <v>1518</v>
      </c>
      <c r="Q55" s="1874" t="s">
        <v>1519</v>
      </c>
      <c r="R55" s="1874" t="s">
        <v>1520</v>
      </c>
    </row>
    <row r="56" spans="1:18" s="1837" customFormat="1" ht="36" customHeight="1" thickTop="1" thickBot="1">
      <c r="A56" s="1176">
        <v>2</v>
      </c>
      <c r="B56" s="1177" t="s">
        <v>1409</v>
      </c>
      <c r="C56" s="276">
        <f ca="1">C13</f>
        <v>0</v>
      </c>
      <c r="D56" s="1908"/>
      <c r="E56" s="1909"/>
      <c r="F56" s="1901"/>
      <c r="I56" s="1910" t="s">
        <v>1549</v>
      </c>
      <c r="J56" s="1911"/>
      <c r="K56" s="1882" t="s">
        <v>1550</v>
      </c>
      <c r="L56" s="1885">
        <f ca="1">IF(L48&lt;J51,"——",L48-J51)</f>
        <v>0</v>
      </c>
      <c r="O56" s="1879" t="s">
        <v>1037</v>
      </c>
      <c r="P56" s="1880" t="s">
        <v>1523</v>
      </c>
      <c r="Q56" s="1881" t="e">
        <f ca="1">C40+J29</f>
        <v>#DIV/0!</v>
      </c>
      <c r="R56" s="1881" t="s">
        <v>1524</v>
      </c>
    </row>
    <row r="57" spans="1:18" s="1837" customFormat="1" ht="24.75" thickBot="1">
      <c r="A57" s="1912"/>
      <c r="B57" s="1169" t="s">
        <v>1473</v>
      </c>
      <c r="C57" s="282">
        <f ca="1">C29</f>
        <v>0</v>
      </c>
      <c r="D57" s="1913"/>
      <c r="E57" s="1914"/>
      <c r="F57" s="1915"/>
      <c r="I57" s="1916" t="s">
        <v>1551</v>
      </c>
      <c r="J57" s="1917">
        <f ca="1">IF(OR(M47="住宅",J51&lt;L48,J56="是"),"——",J51-L48)</f>
        <v>0</v>
      </c>
      <c r="K57" s="1882" t="s">
        <v>1600</v>
      </c>
      <c r="L57" s="1885">
        <f ca="1">IF(L48&lt;J51,"——",IF(L55="比较法",L49,IF(L55="基准地价",L50,L51)))</f>
        <v>0</v>
      </c>
      <c r="O57" s="1879" t="s">
        <v>1038</v>
      </c>
      <c r="P57" s="1880" t="s">
        <v>1601</v>
      </c>
      <c r="Q57" s="1881" t="e">
        <f ca="1">L60</f>
        <v>#DIV/0!</v>
      </c>
      <c r="R57" s="1881" t="s">
        <v>1602</v>
      </c>
    </row>
    <row r="58" spans="1:18" s="1837" customFormat="1" ht="24.75" thickBot="1">
      <c r="A58" s="360" t="s">
        <v>1027</v>
      </c>
      <c r="B58" s="1177" t="s">
        <v>1419</v>
      </c>
      <c r="C58" s="361">
        <f ca="1">ROUND(C59+C64+C65+C66,0)</f>
        <v>0</v>
      </c>
      <c r="D58" s="1179" t="s">
        <v>1420</v>
      </c>
      <c r="E58" s="1180"/>
      <c r="F58" s="1181"/>
      <c r="I58" s="1916" t="s">
        <v>1555</v>
      </c>
      <c r="J58" s="1918" t="e">
        <f ca="1">IF(J55&lt;0.4,0.4,J55)</f>
        <v>#DIV/0!</v>
      </c>
      <c r="K58" s="1895" t="s">
        <v>1603</v>
      </c>
      <c r="L58" s="1885" t="e">
        <f ca="1">ROUND(POWER(1+L52,L47-L48)*(POWER(1+L52,L48)-1)/(POWER(1+L52,L47)-1),4)</f>
        <v>#DIV/0!</v>
      </c>
      <c r="O58" s="1889" t="s">
        <v>1039</v>
      </c>
      <c r="P58" s="1880" t="s">
        <v>1557</v>
      </c>
      <c r="Q58" s="1881">
        <f>IF(L55="比较法",L49,IF(L55="基准地价",L50,0))</f>
        <v>0</v>
      </c>
      <c r="R58" s="1881" t="s">
        <v>1524</v>
      </c>
    </row>
    <row r="59" spans="1:18" s="1837"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16" t="s">
        <v>1558</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1559</v>
      </c>
      <c r="Q59" s="1892">
        <f>L52</f>
        <v>0</v>
      </c>
      <c r="R59" s="1881"/>
    </row>
    <row r="60" spans="1:18" s="1837"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19" t="s">
        <v>1560</v>
      </c>
      <c r="J60" s="1920" t="e">
        <f ca="1">IF(OR(M47="住宅",J51&lt;L48,J56="是"),"0",ROUND(J59/(1+J52)^J53,0))</f>
        <v>#DIV/0!</v>
      </c>
      <c r="K60" s="1921" t="s">
        <v>1561</v>
      </c>
      <c r="L60" s="1920" t="e">
        <f ca="1">IF(OR(M47="住宅",L48&lt;J51),0,ROUND(L57*(L58/L59-1),0))</f>
        <v>#DIV/0!</v>
      </c>
      <c r="O60" s="1889" t="s">
        <v>1041</v>
      </c>
      <c r="P60" s="1880" t="s">
        <v>1562</v>
      </c>
      <c r="Q60" s="1881" t="e">
        <f ca="1">L58</f>
        <v>#DIV/0!</v>
      </c>
      <c r="R60" s="1881" t="s">
        <v>1563</v>
      </c>
    </row>
    <row r="61" spans="1:18" s="1837" customFormat="1" ht="13.5" thickBot="1">
      <c r="A61" s="1201" t="s">
        <v>1487</v>
      </c>
      <c r="B61" s="1169" t="s">
        <v>1488</v>
      </c>
      <c r="C61" s="24">
        <f ca="1">IF(项目基本情况!B11="自然人","——",IF(D61="按租金收入计税",ROUND(C48*F61,0),IF(D61="按房产原值计税",ROUND(C57*F61*0.7,0),INDIRECT("'数据-取费表'!Aj"&amp;$G$1))))</f>
        <v>0</v>
      </c>
      <c r="D61" s="1823" t="s">
        <v>1433</v>
      </c>
      <c r="E61" s="1169" t="s">
        <v>1489</v>
      </c>
      <c r="F61" s="367">
        <f t="shared" si="0"/>
        <v>1.2E-2</v>
      </c>
      <c r="I61" s="1922"/>
      <c r="J61" s="1922"/>
      <c r="K61" s="1922"/>
      <c r="L61" s="1922"/>
      <c r="O61" s="1889" t="s">
        <v>1042</v>
      </c>
      <c r="P61" s="1880" t="str">
        <f>K59</f>
        <v>建设期及建筑物耐用年限下的土地年期修正系数Kn</v>
      </c>
      <c r="Q61" s="1881" t="e">
        <f ca="1">L59</f>
        <v>#DIV/0!</v>
      </c>
      <c r="R61" s="1881" t="s">
        <v>1564</v>
      </c>
    </row>
    <row r="62" spans="1:18" s="1837" customFormat="1" ht="13.5" thickBot="1">
      <c r="A62" s="1201" t="s">
        <v>1490</v>
      </c>
      <c r="B62" s="1168" t="s">
        <v>1491</v>
      </c>
      <c r="C62" s="25">
        <f ca="1">IF(项目基本情况!B11="自然人","——",ROUND(F62*F63,0))</f>
        <v>0</v>
      </c>
      <c r="D62" s="1184" t="s">
        <v>1492</v>
      </c>
      <c r="E62" s="1169" t="s">
        <v>1493</v>
      </c>
      <c r="F62" s="371">
        <f t="shared" si="0"/>
        <v>1.5</v>
      </c>
      <c r="I62" s="1923" t="s">
        <v>1565</v>
      </c>
      <c r="J62" s="1924" t="s">
        <v>1566</v>
      </c>
      <c r="K62" s="1924" t="s">
        <v>1567</v>
      </c>
      <c r="L62" s="1924" t="s">
        <v>1568</v>
      </c>
      <c r="M62" s="1925" t="s">
        <v>1569</v>
      </c>
      <c r="O62" s="1879" t="s">
        <v>1043</v>
      </c>
      <c r="P62" s="1880" t="s">
        <v>1570</v>
      </c>
      <c r="Q62" s="1881" t="e">
        <f ca="1">Q56+Q57</f>
        <v>#DIV/0!</v>
      </c>
      <c r="R62" s="1881" t="s">
        <v>1044</v>
      </c>
    </row>
    <row r="63" spans="1:18" s="1837" customFormat="1" ht="13.5" thickBot="1">
      <c r="A63" s="372"/>
      <c r="B63" s="1175"/>
      <c r="C63" s="29"/>
      <c r="D63" s="1185"/>
      <c r="E63" s="1169" t="s">
        <v>1494</v>
      </c>
      <c r="F63" s="348">
        <f t="shared" ca="1" si="0"/>
        <v>0</v>
      </c>
      <c r="I63" s="1923" t="s">
        <v>1571</v>
      </c>
      <c r="J63" s="1924">
        <v>70</v>
      </c>
      <c r="K63" s="1924">
        <v>50</v>
      </c>
      <c r="L63" s="1924">
        <v>80</v>
      </c>
      <c r="M63" s="1926">
        <v>0.02</v>
      </c>
      <c r="O63" s="1864" t="s">
        <v>1572</v>
      </c>
      <c r="P63" s="1834"/>
      <c r="Q63" s="1834"/>
      <c r="R63" s="1834"/>
    </row>
    <row r="64" spans="1:18" s="1837" customFormat="1" ht="13.5" thickBot="1">
      <c r="A64" s="1201" t="s">
        <v>1495</v>
      </c>
      <c r="B64" s="1169" t="s">
        <v>1496</v>
      </c>
      <c r="C64" s="24">
        <f ca="1">ROUND(C57*F64,0)</f>
        <v>0</v>
      </c>
      <c r="D64" s="1183" t="s">
        <v>1497</v>
      </c>
      <c r="E64" s="1169" t="s">
        <v>1489</v>
      </c>
      <c r="F64" s="374">
        <f t="shared" ca="1" si="0"/>
        <v>0</v>
      </c>
      <c r="I64" s="1923" t="s">
        <v>1573</v>
      </c>
      <c r="J64" s="1924">
        <v>50</v>
      </c>
      <c r="K64" s="1924">
        <v>35</v>
      </c>
      <c r="L64" s="1924">
        <v>60</v>
      </c>
      <c r="M64" s="1925">
        <v>0</v>
      </c>
      <c r="O64" s="1872" t="s">
        <v>1517</v>
      </c>
      <c r="P64" s="1873" t="s">
        <v>1518</v>
      </c>
      <c r="Q64" s="1874" t="s">
        <v>1519</v>
      </c>
      <c r="R64" s="1874" t="s">
        <v>1520</v>
      </c>
    </row>
    <row r="65" spans="1:18" s="1837" customFormat="1" ht="13.5" thickBot="1">
      <c r="A65" s="1201" t="s">
        <v>1498</v>
      </c>
      <c r="B65" s="1169" t="s">
        <v>1448</v>
      </c>
      <c r="C65" s="24">
        <f ca="1">ROUND(C56*F65,0)</f>
        <v>0</v>
      </c>
      <c r="D65" s="1183" t="s">
        <v>1449</v>
      </c>
      <c r="E65" s="1169" t="s">
        <v>1450</v>
      </c>
      <c r="F65" s="376">
        <f t="shared" ca="1" si="0"/>
        <v>0</v>
      </c>
      <c r="I65" s="1923" t="s">
        <v>1574</v>
      </c>
      <c r="J65" s="1924">
        <v>40</v>
      </c>
      <c r="K65" s="1924">
        <v>30</v>
      </c>
      <c r="L65" s="1924">
        <v>50</v>
      </c>
      <c r="M65" s="1926">
        <v>0.02</v>
      </c>
      <c r="O65" s="1879" t="s">
        <v>1037</v>
      </c>
      <c r="P65" s="1880" t="s">
        <v>1575</v>
      </c>
      <c r="Q65" s="1881" t="e">
        <f ca="1">C40+J29</f>
        <v>#DIV/0!</v>
      </c>
      <c r="R65" s="1881" t="s">
        <v>1524</v>
      </c>
    </row>
    <row r="66" spans="1:18" s="1837" customFormat="1" ht="16.5" thickBot="1">
      <c r="A66" s="1201" t="s">
        <v>1499</v>
      </c>
      <c r="B66" s="1169" t="s">
        <v>1434</v>
      </c>
      <c r="C66" s="24">
        <f ca="1">ROUND(C48*F66,0)</f>
        <v>0</v>
      </c>
      <c r="D66" s="1183" t="s">
        <v>1500</v>
      </c>
      <c r="E66" s="1169" t="s">
        <v>1417</v>
      </c>
      <c r="F66" s="357">
        <f t="shared" ca="1" si="0"/>
        <v>0</v>
      </c>
      <c r="O66" s="1879" t="s">
        <v>1038</v>
      </c>
      <c r="P66" s="1880" t="s">
        <v>1553</v>
      </c>
      <c r="Q66" s="1881" t="e">
        <f ca="1">L60</f>
        <v>#DIV/0!</v>
      </c>
      <c r="R66" s="1881" t="s">
        <v>1576</v>
      </c>
    </row>
    <row r="67" spans="1:18" s="1837" customFormat="1" ht="16.5" thickBot="1">
      <c r="A67" s="1176" t="s">
        <v>1028</v>
      </c>
      <c r="B67" s="1186" t="s">
        <v>1458</v>
      </c>
      <c r="C67" s="361">
        <f ca="1">C48-C58</f>
        <v>0</v>
      </c>
      <c r="D67" s="1182" t="s">
        <v>1459</v>
      </c>
      <c r="E67" s="1187"/>
      <c r="F67" s="1188"/>
      <c r="O67" s="1889" t="s">
        <v>1039</v>
      </c>
      <c r="P67" s="1880" t="s">
        <v>1557</v>
      </c>
      <c r="Q67" s="1927">
        <f ca="1">L51</f>
        <v>0</v>
      </c>
      <c r="R67" s="1881" t="s">
        <v>1577</v>
      </c>
    </row>
    <row r="68" spans="1:18" s="1837" customFormat="1" ht="16.5" thickBot="1">
      <c r="A68" s="1166" t="s">
        <v>1029</v>
      </c>
      <c r="B68" s="1167" t="s">
        <v>1480</v>
      </c>
      <c r="C68" s="346" t="e">
        <f ca="1">ROUND(C67*(1-((1+F70)/(1+F68))^F69)/(F68-F70),0)</f>
        <v>#DIV/0!</v>
      </c>
      <c r="D68" s="1184" t="s">
        <v>1464</v>
      </c>
      <c r="E68" s="1169" t="s">
        <v>1465</v>
      </c>
      <c r="F68" s="357">
        <f ca="1">F40</f>
        <v>0</v>
      </c>
      <c r="O68" s="1889" t="s">
        <v>1040</v>
      </c>
      <c r="P68" s="1928" t="s">
        <v>1578</v>
      </c>
      <c r="Q68" s="1881">
        <f ca="1">ROUND(Q69-Q70*Q71,0)</f>
        <v>0</v>
      </c>
      <c r="R68" s="1881" t="s">
        <v>1048</v>
      </c>
    </row>
    <row r="69" spans="1:18" s="1837" customFormat="1" ht="13.5" thickBot="1">
      <c r="A69" s="1170"/>
      <c r="B69" s="1171"/>
      <c r="C69" s="351"/>
      <c r="D69" s="1189" t="s">
        <v>1468</v>
      </c>
      <c r="E69" s="1169" t="s">
        <v>1469</v>
      </c>
      <c r="F69" s="379">
        <f ca="1">F41</f>
        <v>0</v>
      </c>
      <c r="O69" s="1889" t="s">
        <v>1045</v>
      </c>
      <c r="P69" s="1928" t="s">
        <v>1579</v>
      </c>
      <c r="Q69" s="1881">
        <f ca="1">C39</f>
        <v>0</v>
      </c>
      <c r="R69" s="1881" t="s">
        <v>1524</v>
      </c>
    </row>
    <row r="70" spans="1:18" s="1837" customFormat="1" ht="13.5" thickBot="1">
      <c r="A70" s="1173"/>
      <c r="B70" s="1174"/>
      <c r="C70" s="355"/>
      <c r="D70" s="1185"/>
      <c r="E70" s="1169" t="s">
        <v>1472</v>
      </c>
      <c r="F70" s="1275">
        <f ca="1">F42</f>
        <v>0</v>
      </c>
      <c r="O70" s="1889" t="s">
        <v>1046</v>
      </c>
      <c r="P70" s="1928" t="s">
        <v>1580</v>
      </c>
      <c r="Q70" s="1881">
        <f ca="1">C13</f>
        <v>0</v>
      </c>
      <c r="R70" s="1881" t="s">
        <v>1524</v>
      </c>
    </row>
    <row r="71" spans="1:18" s="1837" customFormat="1" ht="13.5" thickBot="1">
      <c r="A71" s="1190" t="s">
        <v>1030</v>
      </c>
      <c r="B71" s="1191" t="s">
        <v>1482</v>
      </c>
      <c r="C71" s="382" t="e">
        <f ca="1">ROUND(C68/F71,0)</f>
        <v>#DIV/0!</v>
      </c>
      <c r="D71" s="1192" t="s">
        <v>1483</v>
      </c>
      <c r="E71" s="1193" t="s">
        <v>1484</v>
      </c>
      <c r="F71" s="385">
        <f ca="1">F43</f>
        <v>0</v>
      </c>
      <c r="O71" s="1889" t="s">
        <v>1047</v>
      </c>
      <c r="P71" s="1928" t="s">
        <v>1581</v>
      </c>
      <c r="Q71" s="1892">
        <f ca="1">C76</f>
        <v>0</v>
      </c>
      <c r="R71" s="1881"/>
    </row>
    <row r="72" spans="1:18" s="1837" customFormat="1" ht="13.5" thickBot="1">
      <c r="B72" s="796"/>
      <c r="C72" s="796"/>
      <c r="O72" s="1889" t="s">
        <v>1041</v>
      </c>
      <c r="P72" s="1880" t="s">
        <v>1559</v>
      </c>
      <c r="Q72" s="1892">
        <f>L52</f>
        <v>0</v>
      </c>
      <c r="R72" s="1881"/>
    </row>
    <row r="73" spans="1:18" ht="16.5" thickBot="1">
      <c r="A73" s="1837"/>
      <c r="B73" s="796"/>
      <c r="C73" s="796"/>
      <c r="D73" s="1837"/>
      <c r="E73" s="1837"/>
      <c r="F73" s="1837"/>
      <c r="O73" s="1889" t="s">
        <v>1042</v>
      </c>
      <c r="P73" s="1880" t="s">
        <v>1562</v>
      </c>
      <c r="Q73" s="1881" t="e">
        <f ca="1">L58</f>
        <v>#DIV/0!</v>
      </c>
      <c r="R73" s="1881" t="s">
        <v>1563</v>
      </c>
    </row>
    <row r="74" spans="1:18" ht="13.5" thickBot="1">
      <c r="A74" s="1837"/>
      <c r="B74" s="317" t="s">
        <v>1582</v>
      </c>
      <c r="C74" s="1930"/>
      <c r="D74" s="1837"/>
      <c r="E74" s="1837"/>
      <c r="F74" s="1837"/>
      <c r="O74" s="1889" t="s">
        <v>1049</v>
      </c>
      <c r="P74" s="1880" t="str">
        <f>K59</f>
        <v>建设期及建筑物耐用年限下的土地年期修正系数Kn</v>
      </c>
      <c r="Q74" s="1881" t="e">
        <f ca="1">L59</f>
        <v>#DIV/0!</v>
      </c>
      <c r="R74" s="1881" t="s">
        <v>1564</v>
      </c>
    </row>
    <row r="75" spans="1:18" ht="13.5" thickBot="1">
      <c r="A75" s="1837"/>
      <c r="B75" s="386" t="s">
        <v>1501</v>
      </c>
      <c r="C75" s="387">
        <f ca="1">ROUND(C13*C76,0)</f>
        <v>0</v>
      </c>
      <c r="D75" s="1837"/>
      <c r="E75" s="1837"/>
      <c r="F75" s="1837"/>
      <c r="K75" s="1863"/>
      <c r="L75" s="1837"/>
      <c r="O75" s="1879" t="s">
        <v>1043</v>
      </c>
      <c r="P75" s="1880" t="s">
        <v>1544</v>
      </c>
      <c r="Q75" s="1881" t="e">
        <f ca="1">Q65+Q66</f>
        <v>#DIV/0!</v>
      </c>
      <c r="R75" s="1881" t="s">
        <v>1044</v>
      </c>
    </row>
    <row r="76" spans="1:18">
      <c r="B76" s="388" t="s">
        <v>1502</v>
      </c>
      <c r="C76" s="389">
        <f ca="1">INDIRECT("'数据-取费表'!j"&amp;$G$1)</f>
        <v>0</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4" priority="4">
      <formula>$L$48&gt;$J$51</formula>
    </cfRule>
  </conditionalFormatting>
  <conditionalFormatting sqref="I55 I60">
    <cfRule type="expression" dxfId="123"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6" t="s">
        <v>2527</v>
      </c>
      <c r="B1" s="2557"/>
      <c r="C1" s="2557"/>
      <c r="D1" s="2557"/>
      <c r="E1" s="2558"/>
    </row>
    <row r="2" spans="1:6" ht="15.75">
      <c r="A2" s="2559" t="s">
        <v>2328</v>
      </c>
      <c r="B2" s="2560">
        <f ca="1">SUMIF(B6:B13,"&lt;&gt;#ref!",B6:B13)</f>
        <v>11604</v>
      </c>
      <c r="C2" s="2561" t="s">
        <v>2520</v>
      </c>
      <c r="D2" s="2562" t="s">
        <v>2521</v>
      </c>
      <c r="E2" s="2563">
        <f>SUM(E6:E13)</f>
        <v>23014.799999999999</v>
      </c>
    </row>
    <row r="3" spans="1:6" ht="15.75">
      <c r="A3" s="2559" t="s">
        <v>1390</v>
      </c>
      <c r="B3" s="2560">
        <f ca="1">ROUND(B2*10000/E2,0)</f>
        <v>5042</v>
      </c>
      <c r="C3" s="2561" t="s">
        <v>2528</v>
      </c>
      <c r="D3" s="2564"/>
      <c r="E3" s="2565"/>
    </row>
    <row r="4" spans="1:6" ht="15.75">
      <c r="A4" s="2566"/>
      <c r="B4" s="2564"/>
      <c r="C4" s="2564"/>
      <c r="D4" s="2564"/>
      <c r="E4" s="2565"/>
    </row>
    <row r="5" spans="1:6" ht="15">
      <c r="A5" s="2567" t="s">
        <v>2522</v>
      </c>
      <c r="B5" s="3160" t="s">
        <v>2523</v>
      </c>
      <c r="C5" s="3160"/>
      <c r="D5" s="2568"/>
      <c r="E5" s="2569" t="s">
        <v>2524</v>
      </c>
      <c r="F5" s="2570" t="s">
        <v>2525</v>
      </c>
    </row>
    <row r="6" spans="1:6">
      <c r="A6" s="2571" t="str">
        <f>'数据-取费表'!AN6</f>
        <v>收益法</v>
      </c>
      <c r="B6" s="2570">
        <f ca="1">IF(F6="是",'数据-取费表'!AO6,0)</f>
        <v>11604</v>
      </c>
      <c r="C6" s="2561" t="s">
        <v>2520</v>
      </c>
      <c r="D6" s="2564"/>
      <c r="E6" s="2572">
        <f>IF(OR(A6=0,F6="否"),0,'数据-取费表'!K6+'数据-取费表'!S6)</f>
        <v>23014.799999999999</v>
      </c>
      <c r="F6" s="2573" t="s">
        <v>2526</v>
      </c>
    </row>
    <row r="7" spans="1:6">
      <c r="A7" s="2571">
        <f>'数据-取费表'!AN7</f>
        <v>0</v>
      </c>
      <c r="B7" s="2570" t="e">
        <f ca="1">IF(F7="是",'数据-取费表'!AO7,0)</f>
        <v>#REF!</v>
      </c>
      <c r="C7" s="2561" t="s">
        <v>2520</v>
      </c>
      <c r="D7" s="2564"/>
      <c r="E7" s="2572">
        <f>IF(OR(A7=0,F7="否"),0,'数据-取费表'!K7+'数据-取费表'!S7)</f>
        <v>0</v>
      </c>
      <c r="F7" s="2573" t="s">
        <v>2526</v>
      </c>
    </row>
    <row r="8" spans="1:6">
      <c r="A8" s="2571">
        <f>'数据-取费表'!AN8</f>
        <v>0</v>
      </c>
      <c r="B8" s="2570" t="e">
        <f ca="1">IF(F8="是",'数据-取费表'!AO8,0)</f>
        <v>#REF!</v>
      </c>
      <c r="C8" s="2561" t="s">
        <v>2520</v>
      </c>
      <c r="D8" s="2564"/>
      <c r="E8" s="2572">
        <f>IF(OR(A8=0,F8="否"),0,'数据-取费表'!K8+'数据-取费表'!S8)</f>
        <v>0</v>
      </c>
      <c r="F8" s="2573" t="s">
        <v>2526</v>
      </c>
    </row>
    <row r="9" spans="1:6">
      <c r="A9" s="2571">
        <f>'数据-取费表'!AN9</f>
        <v>0</v>
      </c>
      <c r="B9" s="2570" t="e">
        <f ca="1">IF(F9="是",'数据-取费表'!AO9,0)</f>
        <v>#REF!</v>
      </c>
      <c r="C9" s="2561" t="s">
        <v>2520</v>
      </c>
      <c r="D9" s="2564"/>
      <c r="E9" s="2572">
        <f>IF(OR(A9=0,F9="否"),0,'数据-取费表'!K9+'数据-取费表'!S9)</f>
        <v>0</v>
      </c>
      <c r="F9" s="2573" t="s">
        <v>2526</v>
      </c>
    </row>
    <row r="10" spans="1:6">
      <c r="A10" s="2571">
        <f>'数据-取费表'!AN10</f>
        <v>0</v>
      </c>
      <c r="B10" s="2570" t="e">
        <f ca="1">IF(F10="是",'数据-取费表'!AO10,0)</f>
        <v>#REF!</v>
      </c>
      <c r="C10" s="2561" t="s">
        <v>2520</v>
      </c>
      <c r="D10" s="2564"/>
      <c r="E10" s="2572">
        <f>IF(OR(A10=0,F10="否"),0,'数据-取费表'!K10+'数据-取费表'!S10)</f>
        <v>0</v>
      </c>
      <c r="F10" s="2573" t="s">
        <v>2526</v>
      </c>
    </row>
    <row r="11" spans="1:6">
      <c r="A11" s="2571">
        <f>'数据-取费表'!AN11</f>
        <v>0</v>
      </c>
      <c r="B11" s="2570" t="e">
        <f ca="1">IF(F11="是",'数据-取费表'!AO11,0)</f>
        <v>#REF!</v>
      </c>
      <c r="C11" s="2561" t="s">
        <v>2520</v>
      </c>
      <c r="D11" s="2564"/>
      <c r="E11" s="2572">
        <f>IF(OR(A11=0,F11="否"),0,'数据-取费表'!K11+'数据-取费表'!S11)</f>
        <v>0</v>
      </c>
      <c r="F11" s="2573" t="s">
        <v>2526</v>
      </c>
    </row>
    <row r="12" spans="1:6">
      <c r="A12" s="2571">
        <f>'数据-取费表'!AN12</f>
        <v>0</v>
      </c>
      <c r="B12" s="2570" t="e">
        <f ca="1">IF(F12="是",'数据-取费表'!AO12,0)</f>
        <v>#REF!</v>
      </c>
      <c r="C12" s="2561" t="s">
        <v>2520</v>
      </c>
      <c r="D12" s="2564"/>
      <c r="E12" s="2572">
        <f>IF(OR(A12=0,F12="否"),0,'数据-取费表'!K12+'数据-取费表'!S12)</f>
        <v>0</v>
      </c>
      <c r="F12" s="2573" t="s">
        <v>2526</v>
      </c>
    </row>
    <row r="13" spans="1:6" ht="15" thickBot="1">
      <c r="A13" s="2574">
        <f>'数据-取费表'!AN13</f>
        <v>0</v>
      </c>
      <c r="B13" s="2570" t="e">
        <f ca="1">IF(F13="是",'数据-取费表'!AO13,0)</f>
        <v>#REF!</v>
      </c>
      <c r="C13" s="2575" t="s">
        <v>2520</v>
      </c>
      <c r="D13" s="2576"/>
      <c r="E13" s="2572">
        <f>IF(OR(A13=0,F13="否"),0,'数据-取费表'!K13+'数据-取费表'!S13)</f>
        <v>0</v>
      </c>
      <c r="F13" s="2573"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1" t="s">
        <v>1073</v>
      </c>
      <c r="B1" s="3162"/>
      <c r="C1" s="3163"/>
      <c r="D1" s="3164">
        <f>SUM(I10,I15,I20,I21,I23)</f>
        <v>0</v>
      </c>
      <c r="E1" s="3164"/>
      <c r="F1" s="3164"/>
      <c r="G1" s="3164"/>
      <c r="H1" s="3164"/>
      <c r="I1" s="3165"/>
    </row>
    <row r="2" spans="1:9">
      <c r="A2" s="3166" t="s">
        <v>1074</v>
      </c>
      <c r="B2" s="3167" t="s">
        <v>1075</v>
      </c>
      <c r="C2" s="3167"/>
      <c r="D2" s="1301" t="s">
        <v>1076</v>
      </c>
      <c r="E2" s="1301" t="s">
        <v>1077</v>
      </c>
      <c r="F2" s="1301" t="s">
        <v>1078</v>
      </c>
      <c r="G2" s="1301" t="s">
        <v>1079</v>
      </c>
      <c r="H2" s="1301" t="s">
        <v>1080</v>
      </c>
      <c r="I2" s="1302" t="s">
        <v>1081</v>
      </c>
    </row>
    <row r="3" spans="1:9">
      <c r="A3" s="3166"/>
      <c r="B3" s="3167" t="s">
        <v>1082</v>
      </c>
      <c r="C3" s="3167"/>
      <c r="D3" s="1303"/>
      <c r="E3" s="1301"/>
      <c r="F3" s="1304"/>
      <c r="G3" s="1304"/>
      <c r="H3" s="1305"/>
      <c r="I3" s="1306">
        <f>ROUND(D3*E3*F3*G3*H3/10000,0)</f>
        <v>0</v>
      </c>
    </row>
    <row r="4" spans="1:9">
      <c r="A4" s="3166"/>
      <c r="B4" s="3167" t="s">
        <v>1083</v>
      </c>
      <c r="C4" s="3167"/>
      <c r="D4" s="1303"/>
      <c r="E4" s="1301"/>
      <c r="F4" s="1304"/>
      <c r="G4" s="1304"/>
      <c r="H4" s="1305"/>
      <c r="I4" s="1306">
        <f t="shared" ref="I4:I9" si="0">ROUND(D4*E4*F4*G4*H4/10000,0)</f>
        <v>0</v>
      </c>
    </row>
    <row r="5" spans="1:9">
      <c r="A5" s="3166"/>
      <c r="B5" s="3167" t="s">
        <v>1084</v>
      </c>
      <c r="C5" s="3167"/>
      <c r="D5" s="1303"/>
      <c r="E5" s="1301"/>
      <c r="F5" s="1304"/>
      <c r="G5" s="1304"/>
      <c r="H5" s="1305"/>
      <c r="I5" s="1306">
        <f t="shared" si="0"/>
        <v>0</v>
      </c>
    </row>
    <row r="6" spans="1:9">
      <c r="A6" s="3166"/>
      <c r="B6" s="3167" t="s">
        <v>1085</v>
      </c>
      <c r="C6" s="3167"/>
      <c r="D6" s="1303"/>
      <c r="E6" s="1301"/>
      <c r="F6" s="1304"/>
      <c r="G6" s="1304"/>
      <c r="H6" s="1305"/>
      <c r="I6" s="1306">
        <f t="shared" si="0"/>
        <v>0</v>
      </c>
    </row>
    <row r="7" spans="1:9">
      <c r="A7" s="3166"/>
      <c r="B7" s="3167" t="s">
        <v>1086</v>
      </c>
      <c r="C7" s="3167"/>
      <c r="D7" s="1303"/>
      <c r="E7" s="1301"/>
      <c r="F7" s="1304"/>
      <c r="G7" s="1304"/>
      <c r="H7" s="1305"/>
      <c r="I7" s="1306">
        <f t="shared" si="0"/>
        <v>0</v>
      </c>
    </row>
    <row r="8" spans="1:9">
      <c r="A8" s="3166"/>
      <c r="B8" s="3167" t="s">
        <v>1087</v>
      </c>
      <c r="C8" s="3167"/>
      <c r="D8" s="1303"/>
      <c r="E8" s="1301"/>
      <c r="F8" s="1304"/>
      <c r="G8" s="1304"/>
      <c r="H8" s="1305"/>
      <c r="I8" s="1306">
        <f t="shared" si="0"/>
        <v>0</v>
      </c>
    </row>
    <row r="9" spans="1:9">
      <c r="A9" s="3166"/>
      <c r="B9" s="3167" t="s">
        <v>1088</v>
      </c>
      <c r="C9" s="3167"/>
      <c r="D9" s="1303"/>
      <c r="E9" s="1301"/>
      <c r="F9" s="1304"/>
      <c r="G9" s="1304"/>
      <c r="H9" s="1305"/>
      <c r="I9" s="1306">
        <f t="shared" si="0"/>
        <v>0</v>
      </c>
    </row>
    <row r="10" spans="1:9">
      <c r="A10" s="3166"/>
      <c r="B10" s="3168" t="s">
        <v>1089</v>
      </c>
      <c r="C10" s="3168"/>
      <c r="D10" s="1307"/>
      <c r="E10" s="1307" t="e">
        <f>ROUND(D1*10000/D10/H9,0)</f>
        <v>#DIV/0!</v>
      </c>
      <c r="F10" s="1308"/>
      <c r="G10" s="1308"/>
      <c r="H10" s="1309"/>
      <c r="I10" s="1310">
        <f>SUM(I3:I9)</f>
        <v>0</v>
      </c>
    </row>
    <row r="11" spans="1:9" ht="14.25">
      <c r="A11" s="3166" t="s">
        <v>1090</v>
      </c>
      <c r="B11" s="3167" t="s">
        <v>1091</v>
      </c>
      <c r="C11" s="3167"/>
      <c r="D11" s="1303" t="s">
        <v>1092</v>
      </c>
      <c r="E11" s="1303" t="s">
        <v>1093</v>
      </c>
      <c r="F11" s="1304" t="s">
        <v>1094</v>
      </c>
      <c r="G11" s="1304" t="s">
        <v>1080</v>
      </c>
      <c r="H11" s="1311" t="s">
        <v>1095</v>
      </c>
      <c r="I11" s="1302" t="s">
        <v>1081</v>
      </c>
    </row>
    <row r="12" spans="1:9">
      <c r="A12" s="3166"/>
      <c r="B12" s="3167" t="s">
        <v>1096</v>
      </c>
      <c r="C12" s="3167"/>
      <c r="D12" s="1303"/>
      <c r="E12" s="1303"/>
      <c r="F12" s="1304"/>
      <c r="G12" s="1305"/>
      <c r="H12" s="1312"/>
      <c r="I12" s="1302">
        <f>ROUND(D12*E12*F12*G12/10000,0)</f>
        <v>0</v>
      </c>
    </row>
    <row r="13" spans="1:9">
      <c r="A13" s="3166"/>
      <c r="B13" s="3167" t="s">
        <v>1097</v>
      </c>
      <c r="C13" s="3167"/>
      <c r="D13" s="1303"/>
      <c r="E13" s="1303"/>
      <c r="F13" s="1304"/>
      <c r="G13" s="1305"/>
      <c r="H13" s="1312"/>
      <c r="I13" s="1302">
        <f>ROUND(D13*E13*F13*G13/10000,0)</f>
        <v>0</v>
      </c>
    </row>
    <row r="14" spans="1:9">
      <c r="A14" s="3166"/>
      <c r="B14" s="3167" t="s">
        <v>1098</v>
      </c>
      <c r="C14" s="3167"/>
      <c r="D14" s="1303"/>
      <c r="E14" s="1303"/>
      <c r="F14" s="1304"/>
      <c r="G14" s="1305"/>
      <c r="H14" s="1312"/>
      <c r="I14" s="1302">
        <f>ROUND(D14*E14*F14*G14/10000,0)</f>
        <v>0</v>
      </c>
    </row>
    <row r="15" spans="1:9">
      <c r="A15" s="3166"/>
      <c r="B15" s="3168" t="s">
        <v>1089</v>
      </c>
      <c r="C15" s="3168"/>
      <c r="D15" s="1307"/>
      <c r="E15" s="1307">
        <f>SUM(E12:E14)</f>
        <v>0</v>
      </c>
      <c r="F15" s="1308"/>
      <c r="G15" s="1305"/>
      <c r="H15" s="1312"/>
      <c r="I15" s="1313">
        <f>SUM(I12:I14)</f>
        <v>0</v>
      </c>
    </row>
    <row r="16" spans="1:9" ht="24">
      <c r="A16" s="3166" t="s">
        <v>1099</v>
      </c>
      <c r="B16" s="3167" t="s">
        <v>1100</v>
      </c>
      <c r="C16" s="3167"/>
      <c r="D16" s="1303" t="s">
        <v>1076</v>
      </c>
      <c r="E16" s="1314" t="s">
        <v>1101</v>
      </c>
      <c r="F16" s="1304" t="s">
        <v>1102</v>
      </c>
      <c r="G16" s="1305" t="s">
        <v>1080</v>
      </c>
      <c r="H16" s="1311" t="s">
        <v>1095</v>
      </c>
      <c r="I16" s="1302" t="s">
        <v>1081</v>
      </c>
    </row>
    <row r="17" spans="1:9" ht="14.25">
      <c r="A17" s="3166"/>
      <c r="B17" s="3167" t="s">
        <v>1103</v>
      </c>
      <c r="C17" s="3167"/>
      <c r="D17" s="1303"/>
      <c r="E17" s="1303"/>
      <c r="F17" s="1304"/>
      <c r="G17" s="1305"/>
      <c r="H17" s="1315"/>
      <c r="I17" s="1316">
        <f>ROUND(D17*E17*F17*G17/10000,0)</f>
        <v>0</v>
      </c>
    </row>
    <row r="18" spans="1:9" ht="14.25">
      <c r="A18" s="3166"/>
      <c r="B18" s="3167" t="s">
        <v>1104</v>
      </c>
      <c r="C18" s="3167"/>
      <c r="D18" s="1303"/>
      <c r="E18" s="1303"/>
      <c r="F18" s="1304"/>
      <c r="G18" s="1305"/>
      <c r="H18" s="1315"/>
      <c r="I18" s="1316">
        <f>ROUND(D18*E18*F18*G18/10000,0)</f>
        <v>0</v>
      </c>
    </row>
    <row r="19" spans="1:9" ht="14.25">
      <c r="A19" s="3166"/>
      <c r="B19" s="3167" t="s">
        <v>1105</v>
      </c>
      <c r="C19" s="3167"/>
      <c r="D19" s="1303"/>
      <c r="E19" s="1303"/>
      <c r="F19" s="1304"/>
      <c r="G19" s="1305"/>
      <c r="H19" s="1315"/>
      <c r="I19" s="1316">
        <f>ROUND(D19*E19*F19*G19/10000,0)</f>
        <v>0</v>
      </c>
    </row>
    <row r="20" spans="1:9">
      <c r="A20" s="3166"/>
      <c r="B20" s="3168" t="s">
        <v>1089</v>
      </c>
      <c r="C20" s="3168"/>
      <c r="D20" s="1307">
        <f>SUM(D17:D19)</f>
        <v>0</v>
      </c>
      <c r="E20" s="1307"/>
      <c r="F20" s="1308"/>
      <c r="G20" s="1305"/>
      <c r="H20" s="1312"/>
      <c r="I20" s="1313">
        <f>SUM(I17:I19)</f>
        <v>0</v>
      </c>
    </row>
    <row r="21" spans="1:9">
      <c r="A21" s="3166" t="s">
        <v>1106</v>
      </c>
      <c r="B21" s="3170"/>
      <c r="C21" s="3170"/>
      <c r="D21" s="3170"/>
      <c r="E21" s="3170"/>
      <c r="F21" s="3170"/>
      <c r="G21" s="3170"/>
      <c r="H21" s="1760">
        <v>0.1</v>
      </c>
      <c r="I21" s="1310">
        <f>ROUND(I10*H21,0)</f>
        <v>0</v>
      </c>
    </row>
    <row r="22" spans="1:9" ht="14.25">
      <c r="A22" s="3171" t="s">
        <v>1107</v>
      </c>
      <c r="B22" s="3172"/>
      <c r="C22" s="3173"/>
      <c r="D22" s="1317" t="s">
        <v>1108</v>
      </c>
      <c r="E22" s="1317" t="s">
        <v>1109</v>
      </c>
      <c r="F22" s="1318" t="s">
        <v>1110</v>
      </c>
      <c r="G22" s="1318" t="s">
        <v>1111</v>
      </c>
      <c r="H22" s="1311" t="s">
        <v>1112</v>
      </c>
      <c r="I22" s="1302" t="s">
        <v>1113</v>
      </c>
    </row>
    <row r="23" spans="1:9" ht="14.25" thickBot="1">
      <c r="A23" s="3174"/>
      <c r="B23" s="3175"/>
      <c r="C23" s="3176"/>
      <c r="D23" s="1319"/>
      <c r="E23" s="1319"/>
      <c r="F23" s="1319"/>
      <c r="G23" s="1320"/>
      <c r="H23" s="1321"/>
      <c r="I23" s="1322">
        <f>ROUND(E23*D23*F23*(1-G23)/10000,0)</f>
        <v>0</v>
      </c>
    </row>
    <row r="26" spans="1:9">
      <c r="A26" s="1323" t="s">
        <v>1114</v>
      </c>
      <c r="B26" s="1323"/>
      <c r="C26" s="1323"/>
      <c r="D26" s="1323"/>
      <c r="E26" s="3177">
        <f>C27-C30-C31-C32</f>
        <v>0</v>
      </c>
      <c r="F26" s="3177"/>
      <c r="G26" s="3177"/>
      <c r="H26" s="1732" t="s">
        <v>1336</v>
      </c>
    </row>
    <row r="27" spans="1:9">
      <c r="A27" s="1324">
        <v>1</v>
      </c>
      <c r="B27" s="1325" t="s">
        <v>1115</v>
      </c>
      <c r="C27" s="1325">
        <f>C28+C29</f>
        <v>0</v>
      </c>
      <c r="D27" s="1325"/>
      <c r="E27" s="3178"/>
      <c r="F27" s="3178"/>
      <c r="G27" s="3178"/>
    </row>
    <row r="28" spans="1:9">
      <c r="A28" s="1326" t="s">
        <v>1116</v>
      </c>
      <c r="B28" s="1325" t="s">
        <v>1117</v>
      </c>
      <c r="C28" s="1325"/>
      <c r="D28" s="1325"/>
      <c r="E28" s="3178"/>
      <c r="F28" s="3178"/>
      <c r="G28" s="317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9"/>
      <c r="F32" s="3169"/>
      <c r="G32" s="3169"/>
    </row>
    <row r="33" spans="1:7" hidden="1">
      <c r="A33" s="3179" t="s">
        <v>1126</v>
      </c>
      <c r="B33" s="3180"/>
      <c r="C33" s="3180"/>
      <c r="D33" s="3181"/>
      <c r="E33" s="3177"/>
      <c r="F33" s="3177"/>
      <c r="G33" s="3177"/>
    </row>
    <row r="34" spans="1:7" hidden="1">
      <c r="A34" s="1328">
        <v>1</v>
      </c>
      <c r="B34" s="1325" t="s">
        <v>1127</v>
      </c>
      <c r="C34" s="1325"/>
      <c r="D34" s="1325"/>
      <c r="E34" s="3178"/>
      <c r="F34" s="3178"/>
      <c r="G34" s="3178"/>
    </row>
    <row r="35" spans="1:7" hidden="1">
      <c r="A35" s="1328">
        <v>2</v>
      </c>
      <c r="B35" s="1325" t="s">
        <v>1128</v>
      </c>
      <c r="C35" s="1325"/>
      <c r="D35" s="1325"/>
      <c r="E35" s="3178"/>
      <c r="F35" s="3178"/>
      <c r="G35" s="3178"/>
    </row>
    <row r="36" spans="1:7" hidden="1">
      <c r="A36" s="1328">
        <v>3</v>
      </c>
      <c r="B36" s="1325" t="s">
        <v>1129</v>
      </c>
      <c r="C36" s="1325"/>
      <c r="D36" s="1325"/>
      <c r="E36" s="3178"/>
      <c r="F36" s="3178"/>
      <c r="G36" s="3178"/>
    </row>
    <row r="37" spans="1:7" hidden="1">
      <c r="A37" s="1328">
        <v>4</v>
      </c>
      <c r="B37" s="1325" t="s">
        <v>1130</v>
      </c>
      <c r="C37" s="1325"/>
      <c r="D37" s="1325"/>
      <c r="E37" s="3178"/>
      <c r="F37" s="3178"/>
      <c r="G37" s="3178"/>
    </row>
    <row r="38" spans="1:7" hidden="1">
      <c r="A38" s="3179" t="s">
        <v>1131</v>
      </c>
      <c r="B38" s="3180"/>
      <c r="C38" s="3180"/>
      <c r="D38" s="3181"/>
      <c r="E38" s="3177"/>
      <c r="F38" s="3177"/>
      <c r="G38" s="31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2529</v>
      </c>
      <c r="B1" s="2577" t="s">
        <v>2530</v>
      </c>
      <c r="C1" s="1629" t="s">
        <v>2531</v>
      </c>
      <c r="D1" s="1616"/>
      <c r="E1" s="2578"/>
      <c r="F1" s="2579" t="s">
        <v>2532</v>
      </c>
      <c r="G1" s="1626" t="s">
        <v>2533</v>
      </c>
      <c r="H1" s="1625"/>
      <c r="I1" s="1625"/>
      <c r="J1" s="1625"/>
      <c r="K1" s="1627"/>
      <c r="L1" s="1628"/>
      <c r="M1" s="1629"/>
      <c r="N1" s="1629"/>
      <c r="O1" s="1629"/>
      <c r="P1" s="2580"/>
      <c r="Q1" s="1615"/>
      <c r="R1" s="1615"/>
      <c r="S1" s="1615"/>
      <c r="T1" s="1615"/>
      <c r="U1" s="1615"/>
      <c r="V1" s="1615"/>
      <c r="W1" s="1615"/>
      <c r="X1" s="1615"/>
      <c r="Y1" s="1615"/>
      <c r="Z1" s="1615"/>
      <c r="AA1" s="1615"/>
      <c r="AB1" s="1615"/>
      <c r="AC1" s="1623"/>
    </row>
    <row r="2" spans="1:29" s="393" customFormat="1" ht="28.5" customHeight="1" thickTop="1">
      <c r="A2" s="1612" t="s">
        <v>1389</v>
      </c>
      <c r="B2" s="1418" t="e">
        <f ca="1">IF(C2="——",ROUND(C49*D3/10000,0),ROUND(C49*D3/10000,0)-D2)</f>
        <v>#DIV/0!</v>
      </c>
      <c r="C2" s="2581"/>
      <c r="D2" s="1365" t="e">
        <f ca="1">SUMIF(INDIRECT("'"&amp;F2&amp;"'"&amp;"!A:A"),"承租人权益价值",INDIRECT("'"&amp;F2&amp;"'"&amp;"!c:c"))</f>
        <v>#REF!</v>
      </c>
      <c r="E2" s="2582" t="s">
        <v>2534</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1390</v>
      </c>
      <c r="B3" s="399" t="e">
        <f ca="1">IF(C2="——",C49,ROUND(B2*10000/D3,0))</f>
        <v>#DIV/0!</v>
      </c>
      <c r="C3" s="400" t="s">
        <v>2535</v>
      </c>
      <c r="D3" s="399">
        <f>IF(D1="",'数据-汇总表'!E3,SUMIF('数据-汇总表'!$C19:$C33,D1,'数据-汇总表'!$E19:$E33))</f>
        <v>23014.799999999999</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82"/>
    </row>
    <row r="4" spans="1:29" ht="15">
      <c r="A4" s="401" t="s">
        <v>2536</v>
      </c>
      <c r="B4" s="402"/>
      <c r="C4" s="3200" t="s">
        <v>2537</v>
      </c>
      <c r="D4" s="3201"/>
      <c r="E4" s="3202" t="s">
        <v>2538</v>
      </c>
      <c r="F4" s="3203"/>
      <c r="G4" s="3200" t="s">
        <v>2539</v>
      </c>
      <c r="H4" s="3201"/>
      <c r="I4" s="3200" t="s">
        <v>2540</v>
      </c>
      <c r="J4" s="3201"/>
      <c r="K4" s="2591" t="s">
        <v>2541</v>
      </c>
      <c r="L4" s="1130"/>
      <c r="M4" s="1131"/>
      <c r="N4" s="1131"/>
      <c r="O4" s="1131"/>
      <c r="P4" s="3204" t="s">
        <v>2542</v>
      </c>
      <c r="Q4" s="3205"/>
      <c r="R4" s="3187" t="s">
        <v>2538</v>
      </c>
      <c r="S4" s="3188"/>
      <c r="T4" s="3187" t="s">
        <v>2539</v>
      </c>
      <c r="U4" s="3188"/>
      <c r="V4" s="3212" t="s">
        <v>2540</v>
      </c>
      <c r="W4" s="3212"/>
      <c r="X4" s="1808"/>
      <c r="Y4" s="3187" t="s">
        <v>2542</v>
      </c>
      <c r="Z4" s="3188"/>
      <c r="AA4" s="3182" t="s">
        <v>2538</v>
      </c>
      <c r="AB4" s="3182" t="s">
        <v>2539</v>
      </c>
      <c r="AC4" s="3182" t="s">
        <v>2540</v>
      </c>
    </row>
    <row r="5" spans="1:29" ht="15">
      <c r="A5" s="404"/>
      <c r="B5" s="405"/>
      <c r="C5" s="3193" t="s">
        <v>2543</v>
      </c>
      <c r="D5" s="3194"/>
      <c r="E5" s="3191" t="s">
        <v>2544</v>
      </c>
      <c r="F5" s="3192"/>
      <c r="G5" s="3193" t="s">
        <v>2545</v>
      </c>
      <c r="H5" s="3194"/>
      <c r="I5" s="3193" t="s">
        <v>2546</v>
      </c>
      <c r="J5" s="3194"/>
      <c r="K5" s="2592"/>
      <c r="L5" s="1130"/>
      <c r="M5" s="1131"/>
      <c r="N5" s="1131"/>
      <c r="O5" s="1131"/>
      <c r="P5" s="3206"/>
      <c r="Q5" s="3207"/>
      <c r="R5" s="3189"/>
      <c r="S5" s="3190"/>
      <c r="T5" s="3189"/>
      <c r="U5" s="3190"/>
      <c r="V5" s="3212"/>
      <c r="W5" s="3212"/>
      <c r="X5" s="1808"/>
      <c r="Y5" s="3189"/>
      <c r="Z5" s="3190"/>
      <c r="AA5" s="3183"/>
      <c r="AB5" s="3183"/>
      <c r="AC5" s="3183"/>
    </row>
    <row r="6" spans="1:29" ht="15.75" thickBot="1">
      <c r="A6" s="406"/>
      <c r="B6" s="407"/>
      <c r="C6" s="3195" t="s">
        <v>2547</v>
      </c>
      <c r="D6" s="3196"/>
      <c r="E6" s="3197" t="s">
        <v>2547</v>
      </c>
      <c r="F6" s="3198"/>
      <c r="G6" s="3195" t="s">
        <v>2547</v>
      </c>
      <c r="H6" s="3196"/>
      <c r="I6" s="3195" t="s">
        <v>2547</v>
      </c>
      <c r="J6" s="3196"/>
      <c r="K6" s="2592" t="s">
        <v>2548</v>
      </c>
      <c r="L6" s="1130"/>
      <c r="M6" s="1131"/>
      <c r="N6" s="1131"/>
      <c r="O6" s="1131"/>
      <c r="P6" s="3208"/>
      <c r="Q6" s="3209"/>
      <c r="R6" s="3189"/>
      <c r="S6" s="3190"/>
      <c r="T6" s="3210"/>
      <c r="U6" s="3211"/>
      <c r="V6" s="3212"/>
      <c r="W6" s="3212"/>
      <c r="X6" s="1808"/>
      <c r="Y6" s="3210"/>
      <c r="Z6" s="3211"/>
      <c r="AA6" s="3184"/>
      <c r="AB6" s="3184"/>
      <c r="AC6" s="3184"/>
    </row>
    <row r="7" spans="1:29" s="117" customFormat="1" ht="15.75" thickBot="1">
      <c r="A7" s="408" t="s">
        <v>2549</v>
      </c>
      <c r="B7" s="409"/>
      <c r="C7" s="410">
        <f>'数据-取费表'!B2</f>
        <v>43894</v>
      </c>
      <c r="D7" s="411">
        <v>100</v>
      </c>
      <c r="E7" s="412"/>
      <c r="F7" s="413">
        <f>SUMIF(58:58,YEAR(E7)&amp;"-"&amp;MONTH(E7),59:59)</f>
        <v>0</v>
      </c>
      <c r="G7" s="412"/>
      <c r="H7" s="411">
        <f>SUMIF(58:58,YEAR(G7)&amp;"-"&amp;MONTH(G7),59:59)</f>
        <v>0</v>
      </c>
      <c r="I7" s="412"/>
      <c r="J7" s="411">
        <f>SUMIF(58:58,YEAR(I7)&amp;"-"&amp;MONTH(I7),59:59)</f>
        <v>0</v>
      </c>
      <c r="K7" s="2593"/>
      <c r="L7" s="1132"/>
      <c r="M7" s="1133"/>
      <c r="N7" s="1133"/>
      <c r="O7" s="1133"/>
      <c r="P7" s="3185" t="s">
        <v>2550</v>
      </c>
      <c r="Q7" s="3213"/>
      <c r="R7" s="770" t="s">
        <v>23</v>
      </c>
      <c r="S7" s="771">
        <f t="shared" ref="S7:S15" si="0">F7</f>
        <v>0</v>
      </c>
      <c r="T7" s="770" t="s">
        <v>23</v>
      </c>
      <c r="U7" s="771">
        <f t="shared" ref="U7:U15" si="1">H7</f>
        <v>0</v>
      </c>
      <c r="V7" s="770" t="s">
        <v>23</v>
      </c>
      <c r="W7" s="771">
        <f t="shared" ref="W7:W15" si="2">J7</f>
        <v>0</v>
      </c>
      <c r="X7" s="772"/>
      <c r="Y7" s="3185" t="s">
        <v>2550</v>
      </c>
      <c r="Z7" s="3186"/>
      <c r="AA7" s="773" t="e">
        <f>D7/F7</f>
        <v>#DIV/0!</v>
      </c>
      <c r="AB7" s="773" t="e">
        <f>D7/H7</f>
        <v>#DIV/0!</v>
      </c>
      <c r="AC7" s="773" t="e">
        <f>D7/J7</f>
        <v>#DIV/0!</v>
      </c>
    </row>
    <row r="8" spans="1:29" s="117" customFormat="1" ht="15.75" thickBot="1">
      <c r="A8" s="408" t="s">
        <v>2551</v>
      </c>
      <c r="B8" s="409"/>
      <c r="C8" s="414" t="s">
        <v>2552</v>
      </c>
      <c r="D8" s="411">
        <v>100</v>
      </c>
      <c r="E8" s="2594"/>
      <c r="F8" s="413">
        <f>SUMIF(61:61,E8,62:62)-SUMIF(61:61,C8,62:62)+100</f>
        <v>0</v>
      </c>
      <c r="G8" s="414"/>
      <c r="H8" s="411">
        <f>SUMIF(61:61,G8,62:62)-SUMIF(61:61,C8,62:62)+100</f>
        <v>0</v>
      </c>
      <c r="I8" s="2594"/>
      <c r="J8" s="411">
        <f>SUMIF(61:61,I8,62:62)-SUMIF(61:61,C8,62:62)+100</f>
        <v>0</v>
      </c>
      <c r="K8" s="2593"/>
      <c r="L8" s="1132"/>
      <c r="M8" s="1133"/>
      <c r="N8" s="1133"/>
      <c r="O8" s="1133"/>
      <c r="P8" s="3185" t="s">
        <v>2553</v>
      </c>
      <c r="Q8" s="3186"/>
      <c r="R8" s="770" t="s">
        <v>23</v>
      </c>
      <c r="S8" s="771">
        <f t="shared" si="0"/>
        <v>0</v>
      </c>
      <c r="T8" s="770" t="s">
        <v>23</v>
      </c>
      <c r="U8" s="771">
        <f t="shared" si="1"/>
        <v>0</v>
      </c>
      <c r="V8" s="770" t="s">
        <v>23</v>
      </c>
      <c r="W8" s="771">
        <f t="shared" si="2"/>
        <v>0</v>
      </c>
      <c r="X8" s="772"/>
      <c r="Y8" s="3185" t="s">
        <v>2553</v>
      </c>
      <c r="Z8" s="318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3"/>
      <c r="L9" s="1132"/>
      <c r="M9" s="1133"/>
      <c r="N9" s="1133"/>
      <c r="O9" s="1133"/>
      <c r="P9" s="3199" t="s">
        <v>2556</v>
      </c>
      <c r="Q9" s="1790" t="str">
        <f t="shared" ref="Q9:Q15" si="6">B9</f>
        <v>用途</v>
      </c>
      <c r="R9" s="770" t="s">
        <v>17</v>
      </c>
      <c r="S9" s="771">
        <f t="shared" si="0"/>
        <v>100</v>
      </c>
      <c r="T9" s="770" t="s">
        <v>17</v>
      </c>
      <c r="U9" s="771">
        <f t="shared" si="1"/>
        <v>100</v>
      </c>
      <c r="V9" s="770" t="s">
        <v>17</v>
      </c>
      <c r="W9" s="771">
        <f t="shared" si="2"/>
        <v>100</v>
      </c>
      <c r="X9" s="772"/>
      <c r="Y9" s="303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9"/>
      <c r="Q10" s="1790"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9"/>
      <c r="Q11" s="1790"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2"/>
      <c r="M12" s="1133"/>
      <c r="N12" s="1133"/>
      <c r="O12" s="1133"/>
      <c r="P12" s="3199"/>
      <c r="Q12" s="1790">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0"/>
      <c r="M13" s="1131"/>
      <c r="N13" s="1131"/>
      <c r="O13" s="1131"/>
      <c r="P13" s="3199"/>
      <c r="Q13" s="1790">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0"/>
      <c r="M14" s="1131"/>
      <c r="N14" s="1131"/>
      <c r="O14" s="1131"/>
      <c r="P14" s="3199"/>
      <c r="Q14" s="1790">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99.75">
      <c r="A15" s="440" t="s">
        <v>2560</v>
      </c>
      <c r="B15" s="69" t="s">
        <v>2084</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6" t="s">
        <v>2561</v>
      </c>
      <c r="Q15" s="1805" t="str">
        <f t="shared" si="6"/>
        <v>居住社区成熟度</v>
      </c>
      <c r="R15" s="774" t="s">
        <v>21</v>
      </c>
      <c r="S15" s="775">
        <f t="shared" si="0"/>
        <v>100</v>
      </c>
      <c r="T15" s="774" t="s">
        <v>21</v>
      </c>
      <c r="U15" s="775">
        <f t="shared" si="1"/>
        <v>100</v>
      </c>
      <c r="V15" s="774" t="s">
        <v>21</v>
      </c>
      <c r="W15" s="775">
        <f t="shared" si="2"/>
        <v>100</v>
      </c>
      <c r="X15" s="1808"/>
      <c r="Y15" s="3219" t="s">
        <v>2561</v>
      </c>
      <c r="Z15" s="1809" t="str">
        <f t="shared" si="7"/>
        <v>居住社区成熟度</v>
      </c>
      <c r="AA15" s="1806">
        <f t="shared" si="3"/>
        <v>1</v>
      </c>
      <c r="AB15" s="1806">
        <f t="shared" si="4"/>
        <v>1</v>
      </c>
      <c r="AC15" s="1806">
        <f t="shared" si="5"/>
        <v>1</v>
      </c>
    </row>
    <row r="16" spans="1:29" ht="15">
      <c r="A16" s="428"/>
      <c r="B16" s="446"/>
      <c r="C16" s="447"/>
      <c r="D16" s="448"/>
      <c r="E16" s="2599"/>
      <c r="F16" s="448"/>
      <c r="G16" s="2600"/>
      <c r="H16" s="450"/>
      <c r="I16" s="2600"/>
      <c r="J16" s="448"/>
      <c r="K16" s="2601"/>
      <c r="L16" s="1140"/>
      <c r="M16" s="1131"/>
      <c r="N16" s="1131"/>
      <c r="O16" s="1131"/>
      <c r="P16" s="3227"/>
      <c r="Q16" s="1805"/>
      <c r="R16" s="774"/>
      <c r="S16" s="775"/>
      <c r="T16" s="774"/>
      <c r="U16" s="775"/>
      <c r="V16" s="774"/>
      <c r="W16" s="775"/>
      <c r="X16" s="1808"/>
      <c r="Y16" s="3220"/>
      <c r="Z16" s="1809"/>
      <c r="AA16" s="1806">
        <v>1</v>
      </c>
      <c r="AB16" s="1806">
        <v>1</v>
      </c>
      <c r="AC16" s="1806">
        <v>1</v>
      </c>
    </row>
    <row r="17" spans="1:29" ht="85.5">
      <c r="A17" s="428"/>
      <c r="B17" s="451" t="s">
        <v>2096</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7"/>
      <c r="Q17" s="1805" t="str">
        <f>B17</f>
        <v>交通便捷度</v>
      </c>
      <c r="R17" s="774" t="s">
        <v>21</v>
      </c>
      <c r="S17" s="775">
        <f>F17</f>
        <v>100</v>
      </c>
      <c r="T17" s="774" t="s">
        <v>21</v>
      </c>
      <c r="U17" s="775">
        <f>H17</f>
        <v>100</v>
      </c>
      <c r="V17" s="774" t="s">
        <v>21</v>
      </c>
      <c r="W17" s="775">
        <f>J17</f>
        <v>100</v>
      </c>
      <c r="X17" s="1808"/>
      <c r="Y17" s="3220"/>
      <c r="Z17" s="1809" t="str">
        <f>Q17</f>
        <v>交通便捷度</v>
      </c>
      <c r="AA17" s="1806">
        <f t="shared" si="3"/>
        <v>1</v>
      </c>
      <c r="AB17" s="1806">
        <f t="shared" si="4"/>
        <v>1</v>
      </c>
      <c r="AC17" s="1806">
        <f t="shared" si="5"/>
        <v>1</v>
      </c>
    </row>
    <row r="18" spans="1:29" ht="15">
      <c r="A18" s="428"/>
      <c r="B18" s="456"/>
      <c r="C18" s="2603"/>
      <c r="D18" s="450"/>
      <c r="E18" s="2604"/>
      <c r="F18" s="450"/>
      <c r="G18" s="2605"/>
      <c r="H18" s="448"/>
      <c r="I18" s="2605"/>
      <c r="J18" s="448"/>
      <c r="K18" s="2601"/>
      <c r="L18" s="1140"/>
      <c r="M18" s="1131"/>
      <c r="N18" s="1131"/>
      <c r="O18" s="1131"/>
      <c r="P18" s="3227"/>
      <c r="Q18" s="1805"/>
      <c r="R18" s="774"/>
      <c r="S18" s="775"/>
      <c r="T18" s="774"/>
      <c r="U18" s="775"/>
      <c r="V18" s="774"/>
      <c r="W18" s="775"/>
      <c r="X18" s="1808"/>
      <c r="Y18" s="3220"/>
      <c r="Z18" s="1809"/>
      <c r="AA18" s="1806">
        <v>1</v>
      </c>
      <c r="AB18" s="1806">
        <v>1</v>
      </c>
      <c r="AC18" s="1806">
        <v>1</v>
      </c>
    </row>
    <row r="19" spans="1:29" ht="42.75">
      <c r="A19" s="428"/>
      <c r="B19" s="451" t="s">
        <v>2094</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7"/>
      <c r="Q19" s="1805" t="str">
        <f>B19</f>
        <v>公共配套设施</v>
      </c>
      <c r="R19" s="774" t="s">
        <v>21</v>
      </c>
      <c r="S19" s="775">
        <f>F19</f>
        <v>100</v>
      </c>
      <c r="T19" s="774" t="s">
        <v>21</v>
      </c>
      <c r="U19" s="775">
        <f>H19</f>
        <v>100</v>
      </c>
      <c r="V19" s="774" t="s">
        <v>21</v>
      </c>
      <c r="W19" s="775">
        <f>J19</f>
        <v>100</v>
      </c>
      <c r="X19" s="1808"/>
      <c r="Y19" s="3220"/>
      <c r="Z19" s="1809" t="str">
        <f>Q19</f>
        <v>公共配套设施</v>
      </c>
      <c r="AA19" s="1806">
        <f t="shared" si="3"/>
        <v>1</v>
      </c>
      <c r="AB19" s="1806">
        <f t="shared" si="4"/>
        <v>1</v>
      </c>
      <c r="AC19" s="1806">
        <f t="shared" si="5"/>
        <v>1</v>
      </c>
    </row>
    <row r="20" spans="1:29" ht="15">
      <c r="A20" s="428"/>
      <c r="B20" s="456"/>
      <c r="C20" s="447"/>
      <c r="D20" s="448"/>
      <c r="E20" s="2599"/>
      <c r="F20" s="448"/>
      <c r="G20" s="2600"/>
      <c r="H20" s="448"/>
      <c r="I20" s="2600"/>
      <c r="J20" s="448"/>
      <c r="K20" s="2601"/>
      <c r="L20" s="1140"/>
      <c r="M20" s="1131"/>
      <c r="N20" s="1131"/>
      <c r="O20" s="1131"/>
      <c r="P20" s="3227"/>
      <c r="Q20" s="1805"/>
      <c r="R20" s="774"/>
      <c r="S20" s="775"/>
      <c r="T20" s="774"/>
      <c r="U20" s="775"/>
      <c r="V20" s="774"/>
      <c r="W20" s="775"/>
      <c r="X20" s="1808"/>
      <c r="Y20" s="3220"/>
      <c r="Z20" s="1809"/>
      <c r="AA20" s="1806">
        <v>1</v>
      </c>
      <c r="AB20" s="1806">
        <v>1</v>
      </c>
      <c r="AC20" s="1806">
        <v>1</v>
      </c>
    </row>
    <row r="21" spans="1:29" ht="28.5">
      <c r="A21" s="428"/>
      <c r="B21" s="1384" t="s">
        <v>2097</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7"/>
      <c r="Q21" s="1805" t="str">
        <f>B21</f>
        <v>基础设施水平</v>
      </c>
      <c r="R21" s="774" t="s">
        <v>17</v>
      </c>
      <c r="S21" s="775">
        <f>F21</f>
        <v>100</v>
      </c>
      <c r="T21" s="774" t="s">
        <v>17</v>
      </c>
      <c r="U21" s="775">
        <f>H21</f>
        <v>100</v>
      </c>
      <c r="V21" s="774" t="s">
        <v>17</v>
      </c>
      <c r="W21" s="775">
        <f>J21</f>
        <v>100</v>
      </c>
      <c r="X21" s="1808"/>
      <c r="Y21" s="3220"/>
      <c r="Z21" s="1809" t="str">
        <f>Q21</f>
        <v>基础设施水平</v>
      </c>
      <c r="AA21" s="1806">
        <f>D21/F21</f>
        <v>1</v>
      </c>
      <c r="AB21" s="1806">
        <f>D21/H21</f>
        <v>1</v>
      </c>
      <c r="AC21" s="1806">
        <f>D21/J21</f>
        <v>1</v>
      </c>
    </row>
    <row r="22" spans="1:29" ht="15">
      <c r="A22" s="428"/>
      <c r="B22" s="1384"/>
      <c r="C22" s="2603"/>
      <c r="D22" s="448"/>
      <c r="E22" s="447"/>
      <c r="F22" s="448"/>
      <c r="G22" s="2606"/>
      <c r="H22" s="448"/>
      <c r="I22" s="447"/>
      <c r="J22" s="448"/>
      <c r="K22" s="2607"/>
      <c r="L22" s="1140"/>
      <c r="M22" s="1131"/>
      <c r="N22" s="1131"/>
      <c r="O22" s="1131"/>
      <c r="P22" s="3227"/>
      <c r="Q22" s="1805"/>
      <c r="R22" s="774"/>
      <c r="S22" s="775"/>
      <c r="T22" s="774"/>
      <c r="U22" s="775"/>
      <c r="V22" s="774"/>
      <c r="W22" s="775"/>
      <c r="X22" s="1808"/>
      <c r="Y22" s="3220"/>
      <c r="Z22" s="1809"/>
      <c r="AA22" s="1806">
        <v>1</v>
      </c>
      <c r="AB22" s="1806">
        <v>1</v>
      </c>
      <c r="AC22" s="1806">
        <v>1</v>
      </c>
    </row>
    <row r="23" spans="1:29" ht="57">
      <c r="A23" s="428"/>
      <c r="B23" s="451" t="s">
        <v>2101</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7"/>
      <c r="Q23" s="1805" t="str">
        <f>B23</f>
        <v>自然及人文环境</v>
      </c>
      <c r="R23" s="774" t="s">
        <v>21</v>
      </c>
      <c r="S23" s="775">
        <f>F23</f>
        <v>100</v>
      </c>
      <c r="T23" s="774" t="s">
        <v>21</v>
      </c>
      <c r="U23" s="775">
        <f>H23</f>
        <v>100</v>
      </c>
      <c r="V23" s="774" t="s">
        <v>21</v>
      </c>
      <c r="W23" s="775">
        <f>J23</f>
        <v>100</v>
      </c>
      <c r="X23" s="1808"/>
      <c r="Y23" s="3220"/>
      <c r="Z23" s="1809" t="str">
        <f>Q23</f>
        <v>自然及人文环境</v>
      </c>
      <c r="AA23" s="1806">
        <f>D23/F23</f>
        <v>1</v>
      </c>
      <c r="AB23" s="1806">
        <f>D23/H23</f>
        <v>1</v>
      </c>
      <c r="AC23" s="1806">
        <f>D23/J23</f>
        <v>1</v>
      </c>
    </row>
    <row r="24" spans="1:29" ht="15">
      <c r="A24" s="428"/>
      <c r="B24" s="456"/>
      <c r="C24" s="447"/>
      <c r="D24" s="448"/>
      <c r="E24" s="2599"/>
      <c r="F24" s="448"/>
      <c r="G24" s="2600"/>
      <c r="H24" s="448"/>
      <c r="I24" s="2600"/>
      <c r="J24" s="448"/>
      <c r="K24" s="2601"/>
      <c r="L24" s="1140"/>
      <c r="M24" s="1131"/>
      <c r="N24" s="1131"/>
      <c r="O24" s="1131"/>
      <c r="P24" s="3227"/>
      <c r="Q24" s="1805"/>
      <c r="R24" s="774"/>
      <c r="S24" s="775"/>
      <c r="T24" s="774"/>
      <c r="U24" s="775"/>
      <c r="V24" s="774"/>
      <c r="W24" s="775"/>
      <c r="X24" s="1808"/>
      <c r="Y24" s="3220"/>
      <c r="Z24" s="1809"/>
      <c r="AA24" s="1806">
        <v>1</v>
      </c>
      <c r="AB24" s="1806">
        <v>1</v>
      </c>
      <c r="AC24" s="1806">
        <v>1</v>
      </c>
    </row>
    <row r="25" spans="1:29" ht="15">
      <c r="A25" s="428"/>
      <c r="B25" s="422" t="s">
        <v>2562</v>
      </c>
      <c r="C25" s="460"/>
      <c r="D25" s="435">
        <v>100</v>
      </c>
      <c r="E25" s="2608"/>
      <c r="F25" s="435">
        <f>SUMIF(86:86,E25,87:87)-SUMIF(86:86,C25,87:87)+100</f>
        <v>100</v>
      </c>
      <c r="G25" s="2609"/>
      <c r="H25" s="435">
        <f>SUMIF(86:86,G25,87:87)-SUMIF(86:86,C25,87:87)+100</f>
        <v>100</v>
      </c>
      <c r="I25" s="2609"/>
      <c r="J25" s="435">
        <f>SUMIF(86:86,I25,87:87)-SUMIF(86:86,C25,87:87)+100</f>
        <v>100</v>
      </c>
      <c r="K25" s="426"/>
      <c r="L25" s="1140"/>
      <c r="M25" s="1131"/>
      <c r="N25" s="1131"/>
      <c r="O25" s="1131"/>
      <c r="P25" s="3227"/>
      <c r="Q25" s="1805" t="str">
        <f t="shared" ref="Q25:Q46" si="8">B25</f>
        <v>楼层-1</v>
      </c>
      <c r="R25" s="774" t="s">
        <v>21</v>
      </c>
      <c r="S25" s="775">
        <f t="shared" ref="S25:S46" si="9">F25</f>
        <v>100</v>
      </c>
      <c r="T25" s="774" t="s">
        <v>21</v>
      </c>
      <c r="U25" s="775">
        <f t="shared" ref="U25:U46" si="10">H25</f>
        <v>100</v>
      </c>
      <c r="V25" s="774" t="s">
        <v>21</v>
      </c>
      <c r="W25" s="775">
        <f t="shared" ref="W25:W46" si="11">J25</f>
        <v>100</v>
      </c>
      <c r="X25" s="1808"/>
      <c r="Y25" s="3220"/>
      <c r="Z25" s="1809" t="str">
        <f>Q25</f>
        <v>楼层-1</v>
      </c>
      <c r="AA25" s="1806">
        <f t="shared" ref="AA25:AA46" si="12">D25/F25</f>
        <v>1</v>
      </c>
      <c r="AB25" s="1806">
        <f t="shared" ref="AB25:AB46" si="13">D25/H25</f>
        <v>1</v>
      </c>
      <c r="AC25" s="1806">
        <f t="shared" ref="AC25:AC46" si="14">D25/J25</f>
        <v>1</v>
      </c>
    </row>
    <row r="26" spans="1:29" ht="15">
      <c r="A26" s="428"/>
      <c r="B26" s="422" t="s">
        <v>2563</v>
      </c>
      <c r="C26" s="460"/>
      <c r="D26" s="435">
        <v>100</v>
      </c>
      <c r="E26" s="2608"/>
      <c r="F26" s="435">
        <f>SUMIF(88:88,E26,89:89)-SUMIF(88:88,C26,89:89)+100</f>
        <v>100</v>
      </c>
      <c r="G26" s="2609"/>
      <c r="H26" s="435">
        <f>SUMIF(88:88,G26,89:89)-SUMIF(88:88,C26,89:89)+100</f>
        <v>100</v>
      </c>
      <c r="I26" s="2609"/>
      <c r="J26" s="435">
        <f>SUMIF(88:88,I26,89:89)-SUMIF(88:88,C26,89:89)+100</f>
        <v>100</v>
      </c>
      <c r="K26" s="426"/>
      <c r="L26" s="1140"/>
      <c r="M26" s="1131"/>
      <c r="N26" s="1131"/>
      <c r="O26" s="1131"/>
      <c r="P26" s="3227"/>
      <c r="Q26" s="1805" t="str">
        <f t="shared" si="8"/>
        <v>朝向</v>
      </c>
      <c r="R26" s="774" t="s">
        <v>21</v>
      </c>
      <c r="S26" s="775">
        <f t="shared" si="9"/>
        <v>100</v>
      </c>
      <c r="T26" s="774" t="s">
        <v>21</v>
      </c>
      <c r="U26" s="775">
        <f t="shared" si="10"/>
        <v>100</v>
      </c>
      <c r="V26" s="774" t="s">
        <v>21</v>
      </c>
      <c r="W26" s="775">
        <f t="shared" si="11"/>
        <v>100</v>
      </c>
      <c r="X26" s="1808"/>
      <c r="Y26" s="3220"/>
      <c r="Z26" s="1809" t="str">
        <f>Q26</f>
        <v>朝向</v>
      </c>
      <c r="AA26" s="1806">
        <f t="shared" si="12"/>
        <v>1</v>
      </c>
      <c r="AB26" s="1806">
        <f t="shared" si="13"/>
        <v>1</v>
      </c>
      <c r="AC26" s="1806">
        <f t="shared" si="14"/>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6"/>
      <c r="L27" s="1132"/>
      <c r="M27" s="1133"/>
      <c r="N27" s="1133"/>
      <c r="O27" s="1133"/>
      <c r="P27" s="3227"/>
      <c r="Q27" s="1790">
        <f t="shared" si="8"/>
        <v>111</v>
      </c>
      <c r="R27" s="770" t="s">
        <v>21</v>
      </c>
      <c r="S27" s="771">
        <f t="shared" si="9"/>
        <v>100</v>
      </c>
      <c r="T27" s="770" t="s">
        <v>21</v>
      </c>
      <c r="U27" s="771">
        <f t="shared" si="10"/>
        <v>100</v>
      </c>
      <c r="V27" s="770" t="s">
        <v>21</v>
      </c>
      <c r="W27" s="771">
        <f t="shared" si="11"/>
        <v>100</v>
      </c>
      <c r="X27" s="772"/>
      <c r="Y27" s="3220"/>
      <c r="Z27" s="55">
        <f>Q27</f>
        <v>111</v>
      </c>
      <c r="AA27" s="1806">
        <f t="shared" si="12"/>
        <v>1</v>
      </c>
      <c r="AB27" s="1806">
        <f t="shared" si="13"/>
        <v>1</v>
      </c>
      <c r="AC27" s="1806">
        <f t="shared" si="14"/>
        <v>1</v>
      </c>
    </row>
    <row r="28" spans="1:29" ht="15">
      <c r="A28" s="428"/>
      <c r="B28" s="1386">
        <v>111</v>
      </c>
      <c r="C28" s="434"/>
      <c r="D28" s="435">
        <v>100</v>
      </c>
      <c r="E28" s="434"/>
      <c r="F28" s="435">
        <f>SUMIF(92:92,E28,93:93)-SUMIF(92:92,C28,93:93)+100</f>
        <v>100</v>
      </c>
      <c r="G28" s="2610"/>
      <c r="H28" s="435">
        <f>SUMIF(92:92,G28,93:93)-SUMIF(92:92,C28,93:93)+100</f>
        <v>100</v>
      </c>
      <c r="I28" s="434"/>
      <c r="J28" s="435">
        <f>SUMIF(92:92,I28,93:93)-SUMIF(92:92,C28,93:93)+100</f>
        <v>100</v>
      </c>
      <c r="K28" s="2596"/>
      <c r="L28" s="1140"/>
      <c r="M28" s="1131"/>
      <c r="N28" s="1131"/>
      <c r="O28" s="1131"/>
      <c r="P28" s="3227"/>
      <c r="Q28" s="1805">
        <f t="shared" si="8"/>
        <v>111</v>
      </c>
      <c r="R28" s="774" t="s">
        <v>21</v>
      </c>
      <c r="S28" s="775">
        <f t="shared" si="9"/>
        <v>100</v>
      </c>
      <c r="T28" s="774" t="s">
        <v>21</v>
      </c>
      <c r="U28" s="775">
        <f t="shared" si="10"/>
        <v>100</v>
      </c>
      <c r="V28" s="774" t="s">
        <v>21</v>
      </c>
      <c r="W28" s="775">
        <f t="shared" si="11"/>
        <v>100</v>
      </c>
      <c r="X28" s="1808"/>
      <c r="Y28" s="3220"/>
      <c r="Z28" s="1809">
        <f t="shared" ref="Z28:Z46" si="15">Q28</f>
        <v>111</v>
      </c>
      <c r="AA28" s="1806">
        <f t="shared" si="12"/>
        <v>1</v>
      </c>
      <c r="AB28" s="1806">
        <f t="shared" si="13"/>
        <v>1</v>
      </c>
      <c r="AC28" s="1806">
        <f t="shared" si="14"/>
        <v>1</v>
      </c>
    </row>
    <row r="29" spans="1:29" ht="15">
      <c r="A29" s="428"/>
      <c r="B29" s="1386">
        <v>111</v>
      </c>
      <c r="C29" s="434"/>
      <c r="D29" s="435">
        <v>100</v>
      </c>
      <c r="E29" s="434"/>
      <c r="F29" s="435">
        <f>SUMIF(94:94,E29,95:95)-SUMIF(94:94,C29,95:95)+100</f>
        <v>100</v>
      </c>
      <c r="G29" s="2610"/>
      <c r="H29" s="435">
        <f>SUMIF(94:94,G29,95:95)-SUMIF(94:94,C29,95:95)+100</f>
        <v>100</v>
      </c>
      <c r="I29" s="434"/>
      <c r="J29" s="435">
        <f>SUMIF(94:94,I29,95:95)-SUMIF(94:94,C29,95:95)+100</f>
        <v>100</v>
      </c>
      <c r="K29" s="2596"/>
      <c r="L29" s="1140"/>
      <c r="M29" s="1131"/>
      <c r="N29" s="1131"/>
      <c r="O29" s="1131"/>
      <c r="P29" s="3227"/>
      <c r="Q29" s="1805">
        <f t="shared" si="8"/>
        <v>111</v>
      </c>
      <c r="R29" s="774" t="s">
        <v>21</v>
      </c>
      <c r="S29" s="775">
        <f t="shared" si="9"/>
        <v>100</v>
      </c>
      <c r="T29" s="774" t="s">
        <v>21</v>
      </c>
      <c r="U29" s="775">
        <f t="shared" si="10"/>
        <v>100</v>
      </c>
      <c r="V29" s="774" t="s">
        <v>21</v>
      </c>
      <c r="W29" s="775">
        <f t="shared" si="11"/>
        <v>100</v>
      </c>
      <c r="X29" s="1808"/>
      <c r="Y29" s="3220"/>
      <c r="Z29" s="1809">
        <f t="shared" si="15"/>
        <v>111</v>
      </c>
      <c r="AA29" s="1806">
        <f t="shared" si="12"/>
        <v>1</v>
      </c>
      <c r="AB29" s="1806">
        <f t="shared" si="13"/>
        <v>1</v>
      </c>
      <c r="AC29" s="1806">
        <f t="shared" si="14"/>
        <v>1</v>
      </c>
    </row>
    <row r="30" spans="1:29" ht="15">
      <c r="A30" s="428"/>
      <c r="B30" s="1386">
        <v>111</v>
      </c>
      <c r="C30" s="434"/>
      <c r="D30" s="435">
        <v>100</v>
      </c>
      <c r="E30" s="434"/>
      <c r="F30" s="435">
        <f>SUMIF(96:96,E30,97:97)-SUMIF(96:96,C30,97:97)+100</f>
        <v>100</v>
      </c>
      <c r="G30" s="2610"/>
      <c r="H30" s="435">
        <f>SUMIF(96:96,G30,97:97)-SUMIF(96:96,C30,97:97)+100</f>
        <v>100</v>
      </c>
      <c r="I30" s="434"/>
      <c r="J30" s="435">
        <f>SUMIF(96:96,I30,97:97)-SUMIF(96:96,C30,97:97)+100</f>
        <v>100</v>
      </c>
      <c r="K30" s="2596"/>
      <c r="L30" s="1140"/>
      <c r="M30" s="1131"/>
      <c r="N30" s="1131"/>
      <c r="O30" s="1131"/>
      <c r="P30" s="3227"/>
      <c r="Q30" s="1805">
        <f t="shared" si="8"/>
        <v>111</v>
      </c>
      <c r="R30" s="774" t="s">
        <v>21</v>
      </c>
      <c r="S30" s="775">
        <f t="shared" si="9"/>
        <v>100</v>
      </c>
      <c r="T30" s="774" t="s">
        <v>21</v>
      </c>
      <c r="U30" s="775">
        <f t="shared" si="10"/>
        <v>100</v>
      </c>
      <c r="V30" s="774" t="s">
        <v>21</v>
      </c>
      <c r="W30" s="775">
        <f t="shared" si="11"/>
        <v>100</v>
      </c>
      <c r="X30" s="1808"/>
      <c r="Y30" s="3220"/>
      <c r="Z30" s="1809">
        <f t="shared" si="15"/>
        <v>111</v>
      </c>
      <c r="AA30" s="1806">
        <f t="shared" si="12"/>
        <v>1</v>
      </c>
      <c r="AB30" s="1806">
        <f t="shared" si="13"/>
        <v>1</v>
      </c>
      <c r="AC30" s="1806">
        <f t="shared" si="14"/>
        <v>1</v>
      </c>
    </row>
    <row r="31" spans="1:29" ht="15.75" thickBot="1">
      <c r="A31" s="436"/>
      <c r="B31" s="1386">
        <v>111</v>
      </c>
      <c r="C31" s="437"/>
      <c r="D31" s="438">
        <v>100</v>
      </c>
      <c r="E31" s="437"/>
      <c r="F31" s="438">
        <f>SUMIF(98:98,E31,99:99)-SUMIF(98:98,C31,99:99)+100</f>
        <v>100</v>
      </c>
      <c r="G31" s="2611"/>
      <c r="H31" s="438">
        <f>SUMIF(98:98,G31,99:99)-SUMIF(98:98,C31,99:99)+100</f>
        <v>100</v>
      </c>
      <c r="I31" s="437"/>
      <c r="J31" s="438">
        <f>SUMIF(98:98,I31,99:99)-SUMIF(98:98,C31,99:99)+100</f>
        <v>100</v>
      </c>
      <c r="K31" s="2596"/>
      <c r="L31" s="1140"/>
      <c r="M31" s="1131"/>
      <c r="N31" s="1131"/>
      <c r="O31" s="1131"/>
      <c r="P31" s="3227"/>
      <c r="Q31" s="1805">
        <f t="shared" si="8"/>
        <v>111</v>
      </c>
      <c r="R31" s="774" t="s">
        <v>21</v>
      </c>
      <c r="S31" s="775">
        <f t="shared" si="9"/>
        <v>100</v>
      </c>
      <c r="T31" s="774" t="s">
        <v>21</v>
      </c>
      <c r="U31" s="775">
        <f t="shared" si="10"/>
        <v>100</v>
      </c>
      <c r="V31" s="774" t="s">
        <v>21</v>
      </c>
      <c r="W31" s="775">
        <f t="shared" si="11"/>
        <v>100</v>
      </c>
      <c r="X31" s="1808"/>
      <c r="Y31" s="3220"/>
      <c r="Z31" s="1809">
        <f t="shared" si="15"/>
        <v>111</v>
      </c>
      <c r="AA31" s="1806">
        <f t="shared" si="12"/>
        <v>1</v>
      </c>
      <c r="AB31" s="1806">
        <f t="shared" si="13"/>
        <v>1</v>
      </c>
      <c r="AC31" s="1806">
        <f t="shared" si="14"/>
        <v>1</v>
      </c>
    </row>
    <row r="32" spans="1:29" ht="15">
      <c r="A32" s="440" t="s">
        <v>2564</v>
      </c>
      <c r="B32" s="71" t="s">
        <v>2565</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0"/>
      <c r="M32" s="1131"/>
      <c r="N32" s="1131"/>
      <c r="O32" s="1131"/>
      <c r="P32" s="3221" t="s">
        <v>2566</v>
      </c>
      <c r="Q32" s="1805" t="str">
        <f t="shared" si="8"/>
        <v>建筑类型</v>
      </c>
      <c r="R32" s="774" t="s">
        <v>21</v>
      </c>
      <c r="S32" s="775">
        <f t="shared" si="9"/>
        <v>100</v>
      </c>
      <c r="T32" s="774" t="s">
        <v>21</v>
      </c>
      <c r="U32" s="775">
        <f t="shared" si="10"/>
        <v>100</v>
      </c>
      <c r="V32" s="774" t="s">
        <v>21</v>
      </c>
      <c r="W32" s="775">
        <f t="shared" si="11"/>
        <v>100</v>
      </c>
      <c r="X32" s="1808"/>
      <c r="Y32" s="3224" t="s">
        <v>2566</v>
      </c>
      <c r="Z32" s="1809" t="str">
        <f t="shared" si="15"/>
        <v>建筑类型</v>
      </c>
      <c r="AA32" s="1806">
        <f t="shared" si="12"/>
        <v>1</v>
      </c>
      <c r="AB32" s="1806">
        <f t="shared" si="13"/>
        <v>1</v>
      </c>
      <c r="AC32" s="1806">
        <f t="shared" si="14"/>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8"/>
      <c r="M33" s="1141"/>
      <c r="N33" s="1141"/>
      <c r="O33" s="1141"/>
      <c r="P33" s="3222"/>
      <c r="Q33" s="776" t="str">
        <f t="shared" si="8"/>
        <v>项目建筑规模</v>
      </c>
      <c r="R33" s="777" t="s">
        <v>21</v>
      </c>
      <c r="S33" s="778" t="e">
        <f t="shared" si="9"/>
        <v>#N/A</v>
      </c>
      <c r="T33" s="777" t="s">
        <v>21</v>
      </c>
      <c r="U33" s="778" t="e">
        <f t="shared" si="10"/>
        <v>#N/A</v>
      </c>
      <c r="V33" s="777" t="s">
        <v>21</v>
      </c>
      <c r="W33" s="778" t="e">
        <f t="shared" si="11"/>
        <v>#N/A</v>
      </c>
      <c r="X33" s="779"/>
      <c r="Y33" s="3224"/>
      <c r="Z33" s="780" t="str">
        <f t="shared" si="15"/>
        <v>项目建筑规模</v>
      </c>
      <c r="AA33" s="1806" t="e">
        <f t="shared" si="12"/>
        <v>#N/A</v>
      </c>
      <c r="AB33" s="1806" t="e">
        <f t="shared" si="13"/>
        <v>#N/A</v>
      </c>
      <c r="AC33" s="1806" t="e">
        <f t="shared" si="14"/>
        <v>#N/A</v>
      </c>
    </row>
    <row r="34" spans="1:29" ht="15">
      <c r="A34" s="472"/>
      <c r="B34" s="422" t="s">
        <v>2568</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0"/>
      <c r="M34" s="1131"/>
      <c r="N34" s="1131"/>
      <c r="O34" s="1131"/>
      <c r="P34" s="3222"/>
      <c r="Q34" s="1805" t="str">
        <f t="shared" si="8"/>
        <v>建筑结构</v>
      </c>
      <c r="R34" s="774" t="s">
        <v>21</v>
      </c>
      <c r="S34" s="775">
        <f t="shared" si="9"/>
        <v>100</v>
      </c>
      <c r="T34" s="774" t="s">
        <v>21</v>
      </c>
      <c r="U34" s="775">
        <f t="shared" si="10"/>
        <v>100</v>
      </c>
      <c r="V34" s="774" t="s">
        <v>21</v>
      </c>
      <c r="W34" s="775">
        <f t="shared" si="11"/>
        <v>100</v>
      </c>
      <c r="X34" s="1808"/>
      <c r="Y34" s="3224"/>
      <c r="Z34" s="1809" t="str">
        <f t="shared" si="15"/>
        <v>建筑结构</v>
      </c>
      <c r="AA34" s="1806">
        <f t="shared" si="12"/>
        <v>1</v>
      </c>
      <c r="AB34" s="1806">
        <f t="shared" si="13"/>
        <v>1</v>
      </c>
      <c r="AC34" s="1806">
        <f t="shared" si="14"/>
        <v>1</v>
      </c>
    </row>
    <row r="35" spans="1:29" ht="15">
      <c r="A35" s="472"/>
      <c r="B35" s="422" t="s">
        <v>2569</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0"/>
      <c r="M35" s="1131"/>
      <c r="N35" s="1131"/>
      <c r="O35" s="1131"/>
      <c r="P35" s="3222"/>
      <c r="Q35" s="1805" t="str">
        <f t="shared" si="8"/>
        <v>建筑品质</v>
      </c>
      <c r="R35" s="774" t="s">
        <v>21</v>
      </c>
      <c r="S35" s="775">
        <f t="shared" si="9"/>
        <v>100</v>
      </c>
      <c r="T35" s="774" t="s">
        <v>21</v>
      </c>
      <c r="U35" s="775">
        <f t="shared" si="10"/>
        <v>100</v>
      </c>
      <c r="V35" s="774" t="s">
        <v>21</v>
      </c>
      <c r="W35" s="775">
        <f t="shared" si="11"/>
        <v>100</v>
      </c>
      <c r="X35" s="1808"/>
      <c r="Y35" s="3224"/>
      <c r="Z35" s="1809" t="str">
        <f t="shared" si="15"/>
        <v>建筑品质</v>
      </c>
      <c r="AA35" s="1806">
        <f t="shared" si="12"/>
        <v>1</v>
      </c>
      <c r="AB35" s="1806">
        <f t="shared" si="13"/>
        <v>1</v>
      </c>
      <c r="AC35" s="1806">
        <f t="shared" si="14"/>
        <v>1</v>
      </c>
    </row>
    <row r="36" spans="1:29" ht="15">
      <c r="A36" s="472"/>
      <c r="B36" s="422" t="s">
        <v>2570</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0"/>
      <c r="M36" s="1131"/>
      <c r="N36" s="1131"/>
      <c r="O36" s="1131"/>
      <c r="P36" s="3222"/>
      <c r="Q36" s="1805" t="str">
        <f t="shared" si="8"/>
        <v>公共部分装修</v>
      </c>
      <c r="R36" s="774" t="s">
        <v>21</v>
      </c>
      <c r="S36" s="775">
        <f t="shared" si="9"/>
        <v>100</v>
      </c>
      <c r="T36" s="774" t="s">
        <v>21</v>
      </c>
      <c r="U36" s="775">
        <f t="shared" si="10"/>
        <v>100</v>
      </c>
      <c r="V36" s="774" t="s">
        <v>21</v>
      </c>
      <c r="W36" s="775">
        <f t="shared" si="11"/>
        <v>100</v>
      </c>
      <c r="X36" s="1808"/>
      <c r="Y36" s="3224"/>
      <c r="Z36" s="1809" t="str">
        <f t="shared" si="15"/>
        <v>公共部分装修</v>
      </c>
      <c r="AA36" s="1806">
        <f t="shared" si="12"/>
        <v>1</v>
      </c>
      <c r="AB36" s="1806">
        <f t="shared" si="13"/>
        <v>1</v>
      </c>
      <c r="AC36" s="1806">
        <f t="shared" si="14"/>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2"/>
      <c r="Q37" s="1790" t="str">
        <f t="shared" si="8"/>
        <v>成新度</v>
      </c>
      <c r="R37" s="770" t="s">
        <v>21</v>
      </c>
      <c r="S37" s="771" t="e">
        <f t="shared" si="9"/>
        <v>#N/A</v>
      </c>
      <c r="T37" s="770" t="s">
        <v>21</v>
      </c>
      <c r="U37" s="771" t="e">
        <f t="shared" si="10"/>
        <v>#N/A</v>
      </c>
      <c r="V37" s="770" t="s">
        <v>21</v>
      </c>
      <c r="W37" s="771" t="e">
        <f t="shared" si="11"/>
        <v>#N/A</v>
      </c>
      <c r="X37" s="772"/>
      <c r="Y37" s="3224"/>
      <c r="Z37" s="55" t="str">
        <f t="shared" si="15"/>
        <v>成新度</v>
      </c>
      <c r="AA37" s="773" t="e">
        <f t="shared" si="12"/>
        <v>#N/A</v>
      </c>
      <c r="AB37" s="773" t="e">
        <f t="shared" si="13"/>
        <v>#N/A</v>
      </c>
      <c r="AC37" s="773" t="e">
        <f t="shared" si="14"/>
        <v>#N/A</v>
      </c>
    </row>
    <row r="38" spans="1:29" ht="15">
      <c r="A38" s="472"/>
      <c r="B38" s="422" t="s">
        <v>2572</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0"/>
      <c r="M38" s="1131"/>
      <c r="N38" s="1131"/>
      <c r="O38" s="1131"/>
      <c r="P38" s="3222" t="s">
        <v>2566</v>
      </c>
      <c r="Q38" s="1805" t="str">
        <f t="shared" si="8"/>
        <v>物业管理</v>
      </c>
      <c r="R38" s="774" t="s">
        <v>21</v>
      </c>
      <c r="S38" s="775">
        <f t="shared" si="9"/>
        <v>100</v>
      </c>
      <c r="T38" s="774" t="s">
        <v>21</v>
      </c>
      <c r="U38" s="775">
        <f t="shared" si="10"/>
        <v>100</v>
      </c>
      <c r="V38" s="774" t="s">
        <v>21</v>
      </c>
      <c r="W38" s="775">
        <f t="shared" si="11"/>
        <v>100</v>
      </c>
      <c r="X38" s="1808"/>
      <c r="Y38" s="3224" t="s">
        <v>2566</v>
      </c>
      <c r="Z38" s="1809" t="str">
        <f t="shared" si="15"/>
        <v>物业管理</v>
      </c>
      <c r="AA38" s="1806">
        <f t="shared" si="12"/>
        <v>1</v>
      </c>
      <c r="AB38" s="1806">
        <f t="shared" si="13"/>
        <v>1</v>
      </c>
      <c r="AC38" s="1806">
        <f t="shared" si="14"/>
        <v>1</v>
      </c>
    </row>
    <row r="39" spans="1:29" ht="15">
      <c r="A39" s="472"/>
      <c r="B39" s="422" t="s">
        <v>2573</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0"/>
      <c r="M39" s="1131"/>
      <c r="N39" s="1131"/>
      <c r="O39" s="1131"/>
      <c r="P39" s="3222"/>
      <c r="Q39" s="1805" t="str">
        <f t="shared" si="8"/>
        <v>市政基础设施</v>
      </c>
      <c r="R39" s="774" t="s">
        <v>21</v>
      </c>
      <c r="S39" s="775">
        <f t="shared" si="9"/>
        <v>100</v>
      </c>
      <c r="T39" s="774" t="s">
        <v>21</v>
      </c>
      <c r="U39" s="775">
        <f t="shared" si="10"/>
        <v>100</v>
      </c>
      <c r="V39" s="774" t="s">
        <v>21</v>
      </c>
      <c r="W39" s="775">
        <f t="shared" si="11"/>
        <v>100</v>
      </c>
      <c r="X39" s="1808"/>
      <c r="Y39" s="3224"/>
      <c r="Z39" s="1809" t="str">
        <f t="shared" si="15"/>
        <v>市政基础设施</v>
      </c>
      <c r="AA39" s="1806">
        <f t="shared" si="12"/>
        <v>1</v>
      </c>
      <c r="AB39" s="1806">
        <f t="shared" si="13"/>
        <v>1</v>
      </c>
      <c r="AC39" s="1806">
        <f t="shared" si="14"/>
        <v>1</v>
      </c>
    </row>
    <row r="40" spans="1:29" ht="15">
      <c r="A40" s="472"/>
      <c r="B40" s="422" t="s">
        <v>2574</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0"/>
      <c r="M40" s="1131"/>
      <c r="N40" s="1131"/>
      <c r="O40" s="1131"/>
      <c r="P40" s="3222"/>
      <c r="Q40" s="1805" t="str">
        <f t="shared" si="8"/>
        <v>房型</v>
      </c>
      <c r="R40" s="774" t="s">
        <v>21</v>
      </c>
      <c r="S40" s="775">
        <f t="shared" si="9"/>
        <v>100</v>
      </c>
      <c r="T40" s="774" t="s">
        <v>21</v>
      </c>
      <c r="U40" s="775">
        <f t="shared" si="10"/>
        <v>100</v>
      </c>
      <c r="V40" s="774" t="s">
        <v>21</v>
      </c>
      <c r="W40" s="775">
        <f t="shared" si="11"/>
        <v>100</v>
      </c>
      <c r="X40" s="1808"/>
      <c r="Y40" s="3224"/>
      <c r="Z40" s="1809" t="str">
        <f t="shared" si="15"/>
        <v>房型</v>
      </c>
      <c r="AA40" s="1806">
        <f t="shared" si="12"/>
        <v>1</v>
      </c>
      <c r="AB40" s="1806">
        <f t="shared" si="13"/>
        <v>1</v>
      </c>
      <c r="AC40" s="1806">
        <f t="shared" si="14"/>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8"/>
      <c r="M41" s="1141"/>
      <c r="N41" s="1141"/>
      <c r="O41" s="1141"/>
      <c r="P41" s="3222"/>
      <c r="Q41" s="776" t="str">
        <f t="shared" si="8"/>
        <v>单套/主力户型建筑面积</v>
      </c>
      <c r="R41" s="777" t="s">
        <v>21</v>
      </c>
      <c r="S41" s="778">
        <f t="shared" si="9"/>
        <v>100</v>
      </c>
      <c r="T41" s="777" t="s">
        <v>21</v>
      </c>
      <c r="U41" s="778">
        <f t="shared" si="10"/>
        <v>100</v>
      </c>
      <c r="V41" s="777" t="s">
        <v>21</v>
      </c>
      <c r="W41" s="778">
        <f t="shared" si="11"/>
        <v>100</v>
      </c>
      <c r="X41" s="779"/>
      <c r="Y41" s="3224"/>
      <c r="Z41" s="780" t="str">
        <f t="shared" si="15"/>
        <v>单套/主力户型建筑面积</v>
      </c>
      <c r="AA41" s="1806">
        <f t="shared" si="12"/>
        <v>1</v>
      </c>
      <c r="AB41" s="1806">
        <f t="shared" si="13"/>
        <v>1</v>
      </c>
      <c r="AC41" s="1806">
        <f t="shared" si="14"/>
        <v>1</v>
      </c>
    </row>
    <row r="42" spans="1:29" ht="15">
      <c r="A42" s="472"/>
      <c r="B42" s="422" t="s">
        <v>2576</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0"/>
      <c r="M42" s="1131"/>
      <c r="N42" s="1131"/>
      <c r="O42" s="1131"/>
      <c r="P42" s="3222"/>
      <c r="Q42" s="1805" t="str">
        <f t="shared" si="8"/>
        <v>内部装修</v>
      </c>
      <c r="R42" s="774" t="s">
        <v>21</v>
      </c>
      <c r="S42" s="775">
        <f t="shared" si="9"/>
        <v>100</v>
      </c>
      <c r="T42" s="774" t="s">
        <v>21</v>
      </c>
      <c r="U42" s="775">
        <f t="shared" si="10"/>
        <v>100</v>
      </c>
      <c r="V42" s="774" t="s">
        <v>21</v>
      </c>
      <c r="W42" s="775">
        <f t="shared" si="11"/>
        <v>100</v>
      </c>
      <c r="X42" s="1808"/>
      <c r="Y42" s="3224"/>
      <c r="Z42" s="1809" t="str">
        <f t="shared" si="15"/>
        <v>内部装修</v>
      </c>
      <c r="AA42" s="1806">
        <f t="shared" si="12"/>
        <v>1</v>
      </c>
      <c r="AB42" s="1806">
        <f t="shared" si="13"/>
        <v>1</v>
      </c>
      <c r="AC42" s="1806">
        <f t="shared" si="14"/>
        <v>1</v>
      </c>
    </row>
    <row r="43" spans="1:29" ht="15">
      <c r="A43" s="472"/>
      <c r="B43" s="422" t="s">
        <v>2577</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0"/>
      <c r="M43" s="1131"/>
      <c r="N43" s="1131"/>
      <c r="O43" s="1131"/>
      <c r="P43" s="3222"/>
      <c r="Q43" s="1805" t="str">
        <f t="shared" si="8"/>
        <v>内部装修维护情况</v>
      </c>
      <c r="R43" s="774" t="s">
        <v>21</v>
      </c>
      <c r="S43" s="775">
        <f t="shared" si="9"/>
        <v>100</v>
      </c>
      <c r="T43" s="774" t="s">
        <v>21</v>
      </c>
      <c r="U43" s="775">
        <f t="shared" si="10"/>
        <v>100</v>
      </c>
      <c r="V43" s="774" t="s">
        <v>21</v>
      </c>
      <c r="W43" s="775">
        <f t="shared" si="11"/>
        <v>100</v>
      </c>
      <c r="X43" s="1808"/>
      <c r="Y43" s="3224"/>
      <c r="Z43" s="1809" t="str">
        <f t="shared" si="15"/>
        <v>内部装修维护情况</v>
      </c>
      <c r="AA43" s="1806">
        <f t="shared" si="12"/>
        <v>1</v>
      </c>
      <c r="AB43" s="1806">
        <f t="shared" si="13"/>
        <v>1</v>
      </c>
      <c r="AC43" s="1806">
        <f t="shared" si="14"/>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2"/>
      <c r="M44" s="1133"/>
      <c r="N44" s="1133"/>
      <c r="O44" s="1133"/>
      <c r="P44" s="3222"/>
      <c r="Q44" s="1790">
        <f t="shared" si="8"/>
        <v>111</v>
      </c>
      <c r="R44" s="770" t="s">
        <v>21</v>
      </c>
      <c r="S44" s="771">
        <f t="shared" si="9"/>
        <v>100</v>
      </c>
      <c r="T44" s="770" t="s">
        <v>21</v>
      </c>
      <c r="U44" s="771">
        <f t="shared" si="10"/>
        <v>100</v>
      </c>
      <c r="V44" s="770" t="s">
        <v>21</v>
      </c>
      <c r="W44" s="771">
        <f t="shared" si="11"/>
        <v>100</v>
      </c>
      <c r="X44" s="772"/>
      <c r="Y44" s="3224"/>
      <c r="Z44" s="55">
        <f t="shared" si="15"/>
        <v>111</v>
      </c>
      <c r="AA44" s="773">
        <f t="shared" si="12"/>
        <v>1</v>
      </c>
      <c r="AB44" s="773">
        <f t="shared" si="13"/>
        <v>1</v>
      </c>
      <c r="AC44" s="773">
        <f t="shared" si="14"/>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0"/>
      <c r="M45" s="1131"/>
      <c r="N45" s="1131"/>
      <c r="O45" s="1131"/>
      <c r="P45" s="3222"/>
      <c r="Q45" s="1805">
        <f t="shared" si="8"/>
        <v>111</v>
      </c>
      <c r="R45" s="774" t="s">
        <v>21</v>
      </c>
      <c r="S45" s="775">
        <f t="shared" si="9"/>
        <v>100</v>
      </c>
      <c r="T45" s="774" t="s">
        <v>21</v>
      </c>
      <c r="U45" s="775">
        <f t="shared" si="10"/>
        <v>100</v>
      </c>
      <c r="V45" s="774" t="s">
        <v>21</v>
      </c>
      <c r="W45" s="775">
        <f t="shared" si="11"/>
        <v>100</v>
      </c>
      <c r="X45" s="1808"/>
      <c r="Y45" s="3224"/>
      <c r="Z45" s="1809">
        <f t="shared" si="15"/>
        <v>111</v>
      </c>
      <c r="AA45" s="1806">
        <f t="shared" si="12"/>
        <v>1</v>
      </c>
      <c r="AB45" s="1806">
        <f t="shared" si="13"/>
        <v>1</v>
      </c>
      <c r="AC45" s="1806">
        <f t="shared" si="14"/>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0"/>
      <c r="M46" s="1131"/>
      <c r="N46" s="1131"/>
      <c r="O46" s="1131"/>
      <c r="P46" s="3223"/>
      <c r="Q46" s="1805">
        <f t="shared" si="8"/>
        <v>111</v>
      </c>
      <c r="R46" s="774" t="s">
        <v>20</v>
      </c>
      <c r="S46" s="775">
        <f t="shared" si="9"/>
        <v>100</v>
      </c>
      <c r="T46" s="774" t="s">
        <v>20</v>
      </c>
      <c r="U46" s="775">
        <f t="shared" si="10"/>
        <v>100</v>
      </c>
      <c r="V46" s="774" t="s">
        <v>20</v>
      </c>
      <c r="W46" s="775">
        <f t="shared" si="11"/>
        <v>100</v>
      </c>
      <c r="X46" s="1808"/>
      <c r="Y46" s="3225"/>
      <c r="Z46" s="1809">
        <f t="shared" si="15"/>
        <v>111</v>
      </c>
      <c r="AA46" s="1806">
        <f t="shared" si="12"/>
        <v>1</v>
      </c>
      <c r="AB46" s="1806">
        <f t="shared" si="13"/>
        <v>1</v>
      </c>
      <c r="AC46" s="1806">
        <f t="shared" si="14"/>
        <v>1</v>
      </c>
    </row>
    <row r="47" spans="1:29" ht="15">
      <c r="A47" s="479" t="s">
        <v>2578</v>
      </c>
      <c r="B47" s="480"/>
      <c r="C47" s="1407" t="s">
        <v>19</v>
      </c>
      <c r="D47" s="1408"/>
      <c r="E47" s="1409"/>
      <c r="F47" s="1410"/>
      <c r="G47" s="1411"/>
      <c r="H47" s="1412"/>
      <c r="I47" s="1409"/>
      <c r="J47" s="1412"/>
      <c r="K47" s="2616"/>
      <c r="L47" s="1143"/>
      <c r="M47" s="1144"/>
      <c r="N47" s="1131"/>
      <c r="O47" s="1144"/>
      <c r="P47" s="3217" t="str">
        <f>A47</f>
        <v>成交单价（元/平方米）</v>
      </c>
      <c r="Q47" s="3217"/>
      <c r="R47" s="3218">
        <f>E47</f>
        <v>0</v>
      </c>
      <c r="S47" s="3218"/>
      <c r="T47" s="3218">
        <f>G47</f>
        <v>0</v>
      </c>
      <c r="U47" s="3218"/>
      <c r="V47" s="3218">
        <f>I47</f>
        <v>0</v>
      </c>
      <c r="W47" s="3218"/>
      <c r="X47" s="759"/>
      <c r="Y47" s="781"/>
      <c r="Z47" s="759"/>
      <c r="AA47" s="759"/>
      <c r="AB47" s="759"/>
      <c r="AC47" s="759"/>
    </row>
    <row r="48" spans="1:29" ht="15.75" thickBot="1">
      <c r="A48" s="486" t="s">
        <v>2579</v>
      </c>
      <c r="B48" s="487"/>
      <c r="C48" s="1413" t="e">
        <f>R49</f>
        <v>#DIV/0!</v>
      </c>
      <c r="D48" s="1414"/>
      <c r="E48" s="1415" t="e">
        <f>R48</f>
        <v>#DIV/0!</v>
      </c>
      <c r="F48" s="1415"/>
      <c r="G48" s="1413" t="e">
        <f>T48</f>
        <v>#DIV/0!</v>
      </c>
      <c r="H48" s="1414"/>
      <c r="I48" s="1415" t="e">
        <f>V48</f>
        <v>#DIV/0!</v>
      </c>
      <c r="J48" s="1414"/>
      <c r="K48" s="2617"/>
      <c r="L48" s="1143"/>
      <c r="M48" s="1144"/>
      <c r="N48" s="1144"/>
      <c r="O48" s="1144"/>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2580</v>
      </c>
      <c r="B49" s="493"/>
      <c r="C49" s="1416" t="e">
        <f>R49</f>
        <v>#DIV/0!</v>
      </c>
      <c r="D49" s="1417"/>
      <c r="E49" s="1417"/>
      <c r="F49" s="1417"/>
      <c r="G49" s="1417"/>
      <c r="H49" s="1417"/>
      <c r="I49" s="1417"/>
      <c r="J49" s="1417"/>
      <c r="K49" s="2618"/>
      <c r="L49" s="1143"/>
      <c r="M49" s="1144"/>
      <c r="N49" s="1144"/>
      <c r="O49" s="1144"/>
      <c r="P49" s="3214" t="str">
        <f>A49</f>
        <v>估价对象XX用房的比较价值（楼面单价，元/平方米）</v>
      </c>
      <c r="Q49" s="3215"/>
      <c r="R49" s="3216" t="e">
        <f>IF(F1="售价",ROUND(AVERAGE(R48:V48),0),ROUND(AVERAGE(R48:V48),1))</f>
        <v>#DIV/0!</v>
      </c>
      <c r="S49" s="3216"/>
      <c r="T49" s="3216"/>
      <c r="U49" s="3216"/>
      <c r="V49" s="3216"/>
      <c r="W49" s="321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1"/>
      <c r="Q57" s="504"/>
    </row>
    <row r="58" spans="1:29" s="508" customFormat="1" ht="15">
      <c r="A58" s="505" t="s">
        <v>2585</v>
      </c>
      <c r="B58" s="506"/>
      <c r="C58" s="1571" t="str">
        <f>YEAR(C7)&amp;"-"&amp;MONTH(C7)</f>
        <v>2020-3</v>
      </c>
      <c r="D58" s="1570">
        <f>EDATE(C58,-1)</f>
        <v>43862</v>
      </c>
      <c r="E58" s="1570">
        <f>EDATE(D58,-1)</f>
        <v>43831</v>
      </c>
      <c r="F58" s="1570">
        <f t="shared" ref="F58:O58" si="16">EDATE(E58,-1)</f>
        <v>43800</v>
      </c>
      <c r="G58" s="1570">
        <f t="shared" si="16"/>
        <v>43770</v>
      </c>
      <c r="H58" s="1570">
        <f t="shared" si="16"/>
        <v>43739</v>
      </c>
      <c r="I58" s="1570">
        <f t="shared" si="16"/>
        <v>43709</v>
      </c>
      <c r="J58" s="1570">
        <f t="shared" si="16"/>
        <v>43678</v>
      </c>
      <c r="K58" s="1570">
        <f t="shared" si="16"/>
        <v>43647</v>
      </c>
      <c r="L58" s="1570">
        <f t="shared" si="16"/>
        <v>43617</v>
      </c>
      <c r="M58" s="1570">
        <f t="shared" si="16"/>
        <v>43586</v>
      </c>
      <c r="N58" s="1570">
        <f t="shared" si="16"/>
        <v>43556</v>
      </c>
      <c r="O58" s="1570">
        <f t="shared" si="16"/>
        <v>43525</v>
      </c>
      <c r="P58" s="1565"/>
    </row>
    <row r="59" spans="1:29" s="117" customFormat="1" ht="15">
      <c r="A59" s="509"/>
      <c r="B59" s="2622"/>
      <c r="C59" s="1568">
        <v>100</v>
      </c>
      <c r="D59" s="511"/>
      <c r="E59" s="512"/>
      <c r="F59" s="512"/>
      <c r="G59" s="512"/>
      <c r="H59" s="512"/>
      <c r="I59" s="512"/>
      <c r="J59" s="512"/>
      <c r="K59" s="512"/>
      <c r="L59" s="512"/>
      <c r="M59" s="513"/>
      <c r="N59" s="512"/>
      <c r="O59" s="513"/>
      <c r="P59" s="2623"/>
    </row>
    <row r="60" spans="1:29" s="117" customFormat="1" ht="15.75" thickBot="1">
      <c r="A60" s="515" t="s">
        <v>2586</v>
      </c>
      <c r="B60" s="516"/>
      <c r="C60" s="517"/>
      <c r="D60" s="518"/>
      <c r="E60" s="518"/>
      <c r="F60" s="518"/>
      <c r="G60" s="518"/>
      <c r="H60" s="518"/>
      <c r="I60" s="518"/>
      <c r="J60" s="518"/>
      <c r="K60" s="518"/>
      <c r="L60" s="518"/>
      <c r="M60" s="519"/>
      <c r="N60" s="518"/>
      <c r="O60" s="519"/>
      <c r="P60" s="2623"/>
      <c r="Q60" s="504"/>
    </row>
    <row r="61" spans="1:29" s="117" customFormat="1" ht="15">
      <c r="A61" s="521" t="s">
        <v>2587</v>
      </c>
      <c r="B61" s="510"/>
      <c r="C61" s="522" t="s">
        <v>2588</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2589</v>
      </c>
      <c r="B63" s="528" t="s">
        <v>2555</v>
      </c>
      <c r="C63" s="529">
        <f>C9</f>
        <v>0</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25"/>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5"/>
      <c r="Q66" s="504"/>
    </row>
    <row r="67" spans="1:17" ht="15.75" thickTop="1">
      <c r="A67" s="534"/>
      <c r="B67" s="546" t="s">
        <v>2559</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5"/>
      <c r="Q67" s="504"/>
    </row>
    <row r="68" spans="1:17" ht="15">
      <c r="A68" s="534"/>
      <c r="B68" s="548"/>
      <c r="C68" s="549"/>
      <c r="D68" s="549"/>
      <c r="E68" s="549"/>
      <c r="F68" s="549"/>
      <c r="G68" s="549"/>
      <c r="H68" s="549"/>
      <c r="I68" s="549"/>
      <c r="J68" s="549"/>
      <c r="K68" s="550"/>
      <c r="L68" s="551"/>
      <c r="M68" s="552"/>
      <c r="N68" s="1152"/>
      <c r="O68" s="1152"/>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60"/>
      <c r="E73" s="560"/>
      <c r="F73" s="560"/>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75" thickTop="1">
      <c r="A82" s="534"/>
      <c r="B82" s="546" t="s">
        <v>2097</v>
      </c>
      <c r="C82" s="539" t="s">
        <v>2605</v>
      </c>
      <c r="D82" s="539" t="s">
        <v>2606</v>
      </c>
      <c r="E82" s="539" t="s">
        <v>2607</v>
      </c>
      <c r="F82" s="539" t="s">
        <v>2608</v>
      </c>
      <c r="G82" s="539" t="s">
        <v>2609</v>
      </c>
      <c r="H82" s="539"/>
      <c r="I82" s="539"/>
      <c r="J82" s="539"/>
      <c r="K82" s="539"/>
      <c r="L82" s="539"/>
      <c r="M82" s="1382"/>
      <c r="N82" s="1153"/>
      <c r="O82" s="1153"/>
      <c r="P82" s="2625"/>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75" thickTop="1">
      <c r="A86" s="579"/>
      <c r="B86" s="538" t="s">
        <v>2611</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5"/>
      <c r="Q87" s="504"/>
    </row>
    <row r="88" spans="1:17" s="117" customFormat="1" ht="15.75" thickTop="1">
      <c r="A88" s="579"/>
      <c r="B88" s="538" t="s">
        <v>2612</v>
      </c>
      <c r="C88" s="554"/>
      <c r="D88" s="554"/>
      <c r="E88" s="554"/>
      <c r="F88" s="2630"/>
      <c r="G88" s="554"/>
      <c r="H88" s="554"/>
      <c r="I88" s="554"/>
      <c r="J88" s="554"/>
      <c r="K88" s="554"/>
      <c r="L88" s="554"/>
      <c r="M88" s="581"/>
      <c r="N88" s="1151"/>
      <c r="O88" s="1151"/>
      <c r="P88" s="2625"/>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5"/>
      <c r="Q89" s="504"/>
    </row>
    <row r="90" spans="1:17" s="471" customFormat="1" ht="15.75" thickTop="1">
      <c r="A90" s="553"/>
      <c r="B90" s="538">
        <f>B27</f>
        <v>111</v>
      </c>
      <c r="C90" s="554"/>
      <c r="D90" s="554"/>
      <c r="E90" s="554"/>
      <c r="F90" s="554"/>
      <c r="G90" s="554"/>
      <c r="H90" s="555"/>
      <c r="I90" s="555"/>
      <c r="J90" s="555"/>
      <c r="K90" s="555"/>
      <c r="L90" s="556"/>
      <c r="M90" s="557"/>
      <c r="N90" s="1154"/>
      <c r="O90" s="1154"/>
      <c r="P90" s="2626"/>
      <c r="Q90" s="559"/>
    </row>
    <row r="91" spans="1:17" s="471" customFormat="1" ht="15.75" thickBot="1">
      <c r="A91" s="553"/>
      <c r="B91" s="543"/>
      <c r="C91" s="560"/>
      <c r="D91" s="560"/>
      <c r="E91" s="560"/>
      <c r="F91" s="560"/>
      <c r="G91" s="560"/>
      <c r="H91" s="562"/>
      <c r="I91" s="562"/>
      <c r="J91" s="562"/>
      <c r="K91" s="562"/>
      <c r="L91" s="562"/>
      <c r="M91" s="563"/>
      <c r="N91" s="1154"/>
      <c r="O91" s="1154"/>
      <c r="P91" s="2626"/>
      <c r="Q91" s="559"/>
    </row>
    <row r="92" spans="1:17" ht="15.75" thickTop="1">
      <c r="A92" s="534"/>
      <c r="B92" s="538">
        <f>B28</f>
        <v>111</v>
      </c>
      <c r="C92" s="554"/>
      <c r="D92" s="554"/>
      <c r="E92" s="554"/>
      <c r="F92" s="554"/>
      <c r="G92" s="583"/>
      <c r="H92" s="583"/>
      <c r="I92" s="583"/>
      <c r="J92" s="583"/>
      <c r="K92" s="584"/>
      <c r="L92" s="585"/>
      <c r="M92" s="586"/>
      <c r="N92" s="1152"/>
      <c r="O92" s="1152"/>
      <c r="P92" s="2625"/>
      <c r="Q92" s="504"/>
    </row>
    <row r="93" spans="1:17" ht="15.75" thickBot="1">
      <c r="A93" s="534"/>
      <c r="B93" s="543"/>
      <c r="C93" s="560"/>
      <c r="D93" s="536"/>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60"/>
      <c r="E95" s="560"/>
      <c r="F95" s="560"/>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70"/>
      <c r="D97" s="570"/>
      <c r="E97" s="570"/>
      <c r="F97" s="570"/>
      <c r="G97" s="536"/>
      <c r="H97" s="536"/>
      <c r="I97" s="536"/>
      <c r="J97" s="536"/>
      <c r="K97" s="536"/>
      <c r="L97" s="536"/>
      <c r="M97" s="537"/>
      <c r="N97" s="1153"/>
      <c r="O97" s="1153"/>
      <c r="P97" s="2625"/>
      <c r="Q97" s="504"/>
    </row>
    <row r="98" spans="1:17" ht="15.75" thickTop="1">
      <c r="A98" s="534"/>
      <c r="B98" s="546">
        <f>B31</f>
        <v>111</v>
      </c>
      <c r="C98" s="587"/>
      <c r="D98" s="587"/>
      <c r="E98" s="587"/>
      <c r="F98" s="587"/>
      <c r="G98" s="587"/>
      <c r="H98" s="587"/>
      <c r="I98" s="587"/>
      <c r="J98" s="587"/>
      <c r="K98" s="588"/>
      <c r="L98" s="589"/>
      <c r="M98" s="590"/>
      <c r="N98" s="1152"/>
      <c r="O98" s="1152"/>
      <c r="P98" s="2625"/>
      <c r="Q98" s="504"/>
    </row>
    <row r="99" spans="1:17" ht="15.75" thickBot="1">
      <c r="A99" s="2631"/>
      <c r="B99" s="569"/>
      <c r="C99" s="591"/>
      <c r="D99" s="591"/>
      <c r="E99" s="591"/>
      <c r="F99" s="591"/>
      <c r="G99" s="591"/>
      <c r="H99" s="591"/>
      <c r="I99" s="591"/>
      <c r="J99" s="591"/>
      <c r="K99" s="591"/>
      <c r="L99" s="591"/>
      <c r="M99" s="592"/>
      <c r="N99" s="1153"/>
      <c r="O99" s="1153"/>
      <c r="P99" s="2625"/>
      <c r="Q99" s="504"/>
    </row>
    <row r="100" spans="1:17">
      <c r="A100" s="527" t="s">
        <v>2564</v>
      </c>
      <c r="B100" s="528" t="s">
        <v>2613</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6"/>
      <c r="Q104" s="559"/>
    </row>
    <row r="105" spans="1:17" ht="15" thickTop="1">
      <c r="A105" s="599"/>
      <c r="B105" s="538" t="s">
        <v>2615</v>
      </c>
      <c r="C105" s="554"/>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5"/>
      <c r="Q106" s="504"/>
    </row>
    <row r="107" spans="1:17" ht="15" thickTop="1">
      <c r="A107" s="599"/>
      <c r="B107" s="538" t="s">
        <v>2616</v>
      </c>
      <c r="C107" s="583"/>
      <c r="D107" s="583"/>
      <c r="E107" s="583"/>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5"/>
      <c r="Q108" s="504"/>
    </row>
    <row r="109" spans="1:17" ht="15" thickTop="1">
      <c r="A109" s="599"/>
      <c r="B109" s="538" t="s">
        <v>2617</v>
      </c>
      <c r="C109" s="554"/>
      <c r="D109" s="554"/>
      <c r="E109" s="554"/>
      <c r="F109" s="583"/>
      <c r="G109" s="583"/>
      <c r="H109" s="583"/>
      <c r="I109" s="583"/>
      <c r="J109" s="583"/>
      <c r="K109" s="584"/>
      <c r="L109" s="585"/>
      <c r="M109" s="586"/>
      <c r="N109" s="1152"/>
      <c r="O109" s="1152"/>
      <c r="P109" s="2625"/>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6"/>
      <c r="Q113" s="559"/>
    </row>
    <row r="114" spans="1:17" ht="15" thickTop="1">
      <c r="A114" s="599"/>
      <c r="B114" s="538" t="s">
        <v>2618</v>
      </c>
      <c r="C114" s="554"/>
      <c r="D114" s="554"/>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5"/>
      <c r="Q115" s="504"/>
    </row>
    <row r="116" spans="1:17" ht="15" thickTop="1">
      <c r="A116" s="599"/>
      <c r="B116" s="538" t="s">
        <v>2619</v>
      </c>
      <c r="C116" s="554"/>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2620</v>
      </c>
      <c r="C118" s="583"/>
      <c r="D118" s="583"/>
      <c r="E118" s="583"/>
      <c r="F118" s="583"/>
      <c r="G118" s="583"/>
      <c r="H118" s="583"/>
      <c r="I118" s="583"/>
      <c r="J118" s="583"/>
      <c r="K118" s="584"/>
      <c r="L118" s="585"/>
      <c r="M118" s="586"/>
      <c r="N118" s="1152"/>
      <c r="O118" s="1152"/>
      <c r="P118" s="2625"/>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5"/>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26"/>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2621</v>
      </c>
      <c r="C122" s="554"/>
      <c r="D122" s="554"/>
      <c r="E122" s="554"/>
      <c r="F122" s="583"/>
      <c r="G122" s="583"/>
      <c r="H122" s="583"/>
      <c r="I122" s="583"/>
      <c r="J122" s="583"/>
      <c r="K122" s="584"/>
      <c r="L122" s="585"/>
      <c r="M122" s="586"/>
      <c r="N122" s="1152"/>
      <c r="O122" s="1152"/>
      <c r="P122" s="2625"/>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3"/>
      <c r="O123" s="1153"/>
      <c r="P123" s="262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2623</v>
      </c>
    </row>
    <row r="137" spans="1:17" ht="15">
      <c r="B137" s="2633" t="s">
        <v>2624</v>
      </c>
      <c r="C137" s="2634"/>
      <c r="D137" s="2634"/>
      <c r="E137" s="2634"/>
      <c r="F137" s="2634"/>
      <c r="G137" s="2635"/>
      <c r="H137" s="2636"/>
      <c r="I137" s="2637" t="s">
        <v>2625</v>
      </c>
      <c r="J137" s="2634"/>
      <c r="K137" s="2638"/>
    </row>
    <row r="138" spans="1:17" ht="15">
      <c r="B138" s="2639"/>
      <c r="C138" s="146" t="s">
        <v>2626</v>
      </c>
      <c r="D138" s="146" t="s">
        <v>2627</v>
      </c>
      <c r="E138" s="2640" t="s">
        <v>2628</v>
      </c>
      <c r="F138" s="2641" t="s">
        <v>2629</v>
      </c>
      <c r="G138" s="146" t="s">
        <v>2627</v>
      </c>
      <c r="H138" s="147" t="s">
        <v>2628</v>
      </c>
      <c r="I138" s="2642"/>
      <c r="J138" s="146" t="s">
        <v>2630</v>
      </c>
      <c r="K138" s="147" t="s">
        <v>2631</v>
      </c>
    </row>
    <row r="139" spans="1:17" ht="15">
      <c r="B139" s="1084">
        <v>6</v>
      </c>
      <c r="C139" s="1085">
        <v>96</v>
      </c>
      <c r="D139" s="2643" t="s">
        <v>2632</v>
      </c>
      <c r="E139" s="1086">
        <v>100</v>
      </c>
      <c r="F139" s="1087">
        <v>102.5</v>
      </c>
      <c r="G139" s="2643" t="s">
        <v>2632</v>
      </c>
      <c r="H139" s="1088">
        <v>105</v>
      </c>
      <c r="I139" s="2644" t="s">
        <v>2633</v>
      </c>
      <c r="J139" s="1085">
        <v>20</v>
      </c>
      <c r="K139" s="1089">
        <f>C145/(J139-2)</f>
        <v>4.0555555555555553E-3</v>
      </c>
    </row>
    <row r="140" spans="1:17" ht="15">
      <c r="B140" s="1090">
        <v>5</v>
      </c>
      <c r="C140" s="1091">
        <v>100</v>
      </c>
      <c r="D140" s="1091"/>
      <c r="E140" s="1092"/>
      <c r="F140" s="1093">
        <v>102</v>
      </c>
      <c r="G140" s="1091"/>
      <c r="H140" s="1094"/>
      <c r="I140" s="2645" t="s">
        <v>2634</v>
      </c>
      <c r="J140" s="315">
        <f>ROUNDUP((J139-1)/2,0)</f>
        <v>10</v>
      </c>
      <c r="K140" s="1095">
        <v>100</v>
      </c>
    </row>
    <row r="141" spans="1:17" ht="15">
      <c r="B141" s="1090">
        <v>4</v>
      </c>
      <c r="C141" s="1091">
        <v>102</v>
      </c>
      <c r="D141" s="1091"/>
      <c r="E141" s="1092"/>
      <c r="F141" s="1093">
        <v>101.5</v>
      </c>
      <c r="G141" s="1091"/>
      <c r="H141" s="1094"/>
      <c r="I141" s="2645" t="s">
        <v>2635</v>
      </c>
      <c r="J141" s="315">
        <v>1</v>
      </c>
      <c r="K141" s="1096">
        <f>ROUND(100+(J141-J140)*K139*100,1)</f>
        <v>96.4</v>
      </c>
    </row>
    <row r="142" spans="1:17" ht="15">
      <c r="B142" s="1090">
        <v>3</v>
      </c>
      <c r="C142" s="1091">
        <v>103</v>
      </c>
      <c r="D142" s="1091"/>
      <c r="E142" s="1092"/>
      <c r="F142" s="1093">
        <v>101</v>
      </c>
      <c r="G142" s="1091"/>
      <c r="H142" s="1094"/>
      <c r="I142" s="2645" t="s">
        <v>2636</v>
      </c>
      <c r="J142" s="315">
        <f>J139</f>
        <v>20</v>
      </c>
      <c r="K142" s="1097">
        <v>95</v>
      </c>
    </row>
    <row r="143" spans="1:17" ht="15">
      <c r="B143" s="1090">
        <v>2</v>
      </c>
      <c r="C143" s="1091">
        <v>100</v>
      </c>
      <c r="D143" s="1091"/>
      <c r="E143" s="1092"/>
      <c r="F143" s="1093">
        <v>100.5</v>
      </c>
      <c r="G143" s="1091"/>
      <c r="H143" s="1094"/>
      <c r="I143" s="2645" t="s">
        <v>2637</v>
      </c>
      <c r="J143" s="1091">
        <v>15</v>
      </c>
      <c r="K143" s="1096">
        <f>ROUND(100+(J143-J140)*K139*100,1)</f>
        <v>102</v>
      </c>
    </row>
    <row r="144" spans="1:17" ht="15">
      <c r="B144" s="1090">
        <v>1</v>
      </c>
      <c r="C144" s="1091">
        <v>98</v>
      </c>
      <c r="D144" s="2646" t="s">
        <v>2638</v>
      </c>
      <c r="E144" s="1092">
        <v>102</v>
      </c>
      <c r="F144" s="1098">
        <v>100</v>
      </c>
      <c r="G144" s="2646" t="s">
        <v>2638</v>
      </c>
      <c r="H144" s="1094">
        <v>105</v>
      </c>
      <c r="I144" s="2645" t="s">
        <v>2637</v>
      </c>
      <c r="J144" s="1091">
        <v>18</v>
      </c>
      <c r="K144" s="1096">
        <f>ROUND(100+(J144-J140)*K139*100,1)</f>
        <v>103.2</v>
      </c>
    </row>
    <row r="145" spans="2:11" ht="15.75" thickBot="1">
      <c r="B145" s="2647" t="s">
        <v>2639</v>
      </c>
      <c r="C145" s="1099">
        <f>ROUND(MAX(C139:C144)/MIN(C139:C144)-1,3)</f>
        <v>7.2999999999999995E-2</v>
      </c>
      <c r="D145" s="1100"/>
      <c r="E145" s="1100"/>
      <c r="F145" s="2648" t="s">
        <v>2640</v>
      </c>
      <c r="G145" s="2649"/>
      <c r="H145" s="2650"/>
      <c r="I145" s="2651" t="s">
        <v>2637</v>
      </c>
      <c r="J145" s="1101">
        <v>8</v>
      </c>
      <c r="K145" s="1102">
        <f>ROUND(100+(J145-J140)*K139*100,1)</f>
        <v>99.2</v>
      </c>
    </row>
    <row r="147" spans="2:11">
      <c r="B147" s="2632" t="s">
        <v>2641</v>
      </c>
    </row>
    <row r="148" spans="2:11">
      <c r="B148" s="2632"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2529</v>
      </c>
      <c r="B1" s="2577" t="s">
        <v>2643</v>
      </c>
      <c r="C1" s="1629" t="s">
        <v>2531</v>
      </c>
      <c r="D1" s="1616"/>
      <c r="E1" s="2652"/>
      <c r="F1" s="2579"/>
      <c r="G1" s="1626" t="s">
        <v>2644</v>
      </c>
      <c r="H1" s="1625"/>
      <c r="I1" s="1625"/>
      <c r="J1" s="1625"/>
      <c r="K1" s="1627"/>
      <c r="L1" s="1628"/>
      <c r="M1" s="1629"/>
      <c r="N1" s="1629"/>
      <c r="O1" s="1629"/>
      <c r="P1" s="2653"/>
      <c r="Q1" s="2654"/>
      <c r="R1" s="2654"/>
      <c r="S1" s="2654"/>
      <c r="T1" s="2654"/>
      <c r="U1" s="2654"/>
      <c r="V1" s="2654"/>
      <c r="W1" s="2654"/>
      <c r="X1" s="2654"/>
      <c r="Y1" s="2654"/>
      <c r="Z1" s="2654"/>
      <c r="AA1" s="2654"/>
      <c r="AB1" s="2654"/>
      <c r="AC1" s="2655"/>
    </row>
    <row r="2" spans="1:29" s="398" customFormat="1" ht="28.5" customHeight="1" thickTop="1">
      <c r="A2" s="1612" t="s">
        <v>2328</v>
      </c>
      <c r="B2" s="1418" t="e">
        <f ca="1">IF(C2="——",ROUND(C49*D3/10000,0),ROUND(C49*D3/10000,0)-D2)</f>
        <v>#DIV/0!</v>
      </c>
      <c r="C2" s="2581"/>
      <c r="D2" s="1365" t="e">
        <f ca="1">SUMIF(INDIRECT("'"&amp;F2&amp;"'"&amp;"!A:A"),"承租人权益价值",INDIRECT("'"&amp;F2&amp;"'"&amp;"!c:c"))</f>
        <v>#REF!</v>
      </c>
      <c r="E2" s="2582" t="s">
        <v>2329</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2330</v>
      </c>
      <c r="B3" s="609" t="e">
        <f ca="1">IF(C2="——",C49,ROUND(B2*10000/D3,0))</f>
        <v>#DIV/0!</v>
      </c>
      <c r="C3" s="400" t="s">
        <v>2645</v>
      </c>
      <c r="D3" s="399">
        <f>IF(D1="",'数据-汇总表'!E3,SUMIF('数据-汇总表'!$C19:$C33,D1,'数据-汇总表'!$E19:$E33))</f>
        <v>23014.799999999999</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2646</v>
      </c>
      <c r="B4" s="402"/>
      <c r="C4" s="3200" t="s">
        <v>2647</v>
      </c>
      <c r="D4" s="3201"/>
      <c r="E4" s="3202" t="s">
        <v>2648</v>
      </c>
      <c r="F4" s="3203"/>
      <c r="G4" s="3200" t="s">
        <v>2649</v>
      </c>
      <c r="H4" s="3201"/>
      <c r="I4" s="3200" t="s">
        <v>2650</v>
      </c>
      <c r="J4" s="3201"/>
      <c r="K4" s="610" t="s">
        <v>2651</v>
      </c>
      <c r="L4" s="1130"/>
      <c r="M4" s="1131"/>
      <c r="N4" s="1131"/>
      <c r="O4" s="1131"/>
      <c r="P4" s="3204" t="s">
        <v>2652</v>
      </c>
      <c r="Q4" s="3205"/>
      <c r="R4" s="3187" t="s">
        <v>2648</v>
      </c>
      <c r="S4" s="3188"/>
      <c r="T4" s="3187" t="s">
        <v>2649</v>
      </c>
      <c r="U4" s="3188"/>
      <c r="V4" s="3212" t="s">
        <v>2650</v>
      </c>
      <c r="W4" s="3212"/>
      <c r="X4" s="1808"/>
      <c r="Y4" s="3187" t="s">
        <v>2652</v>
      </c>
      <c r="Z4" s="3188"/>
      <c r="AA4" s="3182" t="s">
        <v>2648</v>
      </c>
      <c r="AB4" s="3212" t="s">
        <v>2649</v>
      </c>
      <c r="AC4" s="3182" t="s">
        <v>2650</v>
      </c>
    </row>
    <row r="5" spans="1:29" ht="15">
      <c r="A5" s="404"/>
      <c r="B5" s="405"/>
      <c r="C5" s="3193" t="s">
        <v>2543</v>
      </c>
      <c r="D5" s="3194"/>
      <c r="E5" s="3191" t="s">
        <v>2544</v>
      </c>
      <c r="F5" s="3192"/>
      <c r="G5" s="3193" t="s">
        <v>2545</v>
      </c>
      <c r="H5" s="3194"/>
      <c r="I5" s="3193" t="s">
        <v>2546</v>
      </c>
      <c r="J5" s="3194"/>
      <c r="K5" s="610"/>
      <c r="L5" s="1130"/>
      <c r="M5" s="1131"/>
      <c r="N5" s="1131"/>
      <c r="O5" s="1131"/>
      <c r="P5" s="3206"/>
      <c r="Q5" s="3207"/>
      <c r="R5" s="3189"/>
      <c r="S5" s="3190"/>
      <c r="T5" s="3189"/>
      <c r="U5" s="3190"/>
      <c r="V5" s="3212"/>
      <c r="W5" s="3212"/>
      <c r="X5" s="1808"/>
      <c r="Y5" s="3189"/>
      <c r="Z5" s="3190"/>
      <c r="AA5" s="3183"/>
      <c r="AB5" s="3212"/>
      <c r="AC5" s="3183"/>
    </row>
    <row r="6" spans="1:29" ht="15.75" thickBot="1">
      <c r="A6" s="406"/>
      <c r="B6" s="407"/>
      <c r="C6" s="3195" t="s">
        <v>2547</v>
      </c>
      <c r="D6" s="3196"/>
      <c r="E6" s="3197" t="s">
        <v>2547</v>
      </c>
      <c r="F6" s="3198"/>
      <c r="G6" s="3195" t="s">
        <v>2547</v>
      </c>
      <c r="H6" s="3196"/>
      <c r="I6" s="3195" t="s">
        <v>2547</v>
      </c>
      <c r="J6" s="3196"/>
      <c r="K6" s="610" t="s">
        <v>2548</v>
      </c>
      <c r="L6" s="1130"/>
      <c r="M6" s="1131"/>
      <c r="N6" s="1131"/>
      <c r="O6" s="1131"/>
      <c r="P6" s="3208"/>
      <c r="Q6" s="3209"/>
      <c r="R6" s="3189"/>
      <c r="S6" s="3190"/>
      <c r="T6" s="3210"/>
      <c r="U6" s="3211"/>
      <c r="V6" s="3212"/>
      <c r="W6" s="3212"/>
      <c r="X6" s="1808"/>
      <c r="Y6" s="3210"/>
      <c r="Z6" s="3211"/>
      <c r="AA6" s="3184"/>
      <c r="AB6" s="3212"/>
      <c r="AC6" s="3184"/>
    </row>
    <row r="7" spans="1:29" s="117" customFormat="1" ht="15.75" thickBot="1">
      <c r="A7" s="408" t="s">
        <v>2549</v>
      </c>
      <c r="B7" s="409"/>
      <c r="C7" s="410">
        <f>'数据-取费表'!B2</f>
        <v>43894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5" t="s">
        <v>2550</v>
      </c>
      <c r="Q7" s="3213"/>
      <c r="R7" s="770" t="s">
        <v>17</v>
      </c>
      <c r="S7" s="771">
        <f t="shared" ref="S7:S15" si="0">F7</f>
        <v>0</v>
      </c>
      <c r="T7" s="770" t="s">
        <v>17</v>
      </c>
      <c r="U7" s="771">
        <f t="shared" ref="U7:U15" si="1">H7</f>
        <v>0</v>
      </c>
      <c r="V7" s="770" t="s">
        <v>17</v>
      </c>
      <c r="W7" s="771">
        <f t="shared" ref="W7:W15" si="2">J7</f>
        <v>0</v>
      </c>
      <c r="X7" s="772"/>
      <c r="Y7" s="3185" t="s">
        <v>2550</v>
      </c>
      <c r="Z7" s="318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5" t="s">
        <v>2553</v>
      </c>
      <c r="Q8" s="3186"/>
      <c r="R8" s="770" t="s">
        <v>17</v>
      </c>
      <c r="S8" s="771">
        <f t="shared" si="0"/>
        <v>0</v>
      </c>
      <c r="T8" s="770" t="s">
        <v>17</v>
      </c>
      <c r="U8" s="771">
        <f t="shared" si="1"/>
        <v>0</v>
      </c>
      <c r="V8" s="770" t="s">
        <v>17</v>
      </c>
      <c r="W8" s="771">
        <f t="shared" si="2"/>
        <v>0</v>
      </c>
      <c r="X8" s="772"/>
      <c r="Y8" s="3185" t="s">
        <v>2553</v>
      </c>
      <c r="Z8" s="318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9" t="s">
        <v>2556</v>
      </c>
      <c r="Q9" s="1790" t="str">
        <f t="shared" ref="Q9:Q15" si="6">B9</f>
        <v>用途</v>
      </c>
      <c r="R9" s="770" t="s">
        <v>17</v>
      </c>
      <c r="S9" s="771">
        <f t="shared" si="0"/>
        <v>100</v>
      </c>
      <c r="T9" s="770" t="s">
        <v>17</v>
      </c>
      <c r="U9" s="771">
        <f t="shared" si="1"/>
        <v>100</v>
      </c>
      <c r="V9" s="770" t="s">
        <v>17</v>
      </c>
      <c r="W9" s="771">
        <f t="shared" si="2"/>
        <v>100</v>
      </c>
      <c r="X9" s="772"/>
      <c r="Y9" s="303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9"/>
      <c r="Q10" s="1790"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9"/>
      <c r="Q11" s="1790"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9"/>
      <c r="Q12" s="1790">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9"/>
      <c r="Q13" s="1790">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9"/>
      <c r="Q14" s="1790">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2560</v>
      </c>
      <c r="B15" s="69" t="s">
        <v>2654</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6" t="s">
        <v>2561</v>
      </c>
      <c r="Q15" s="1805" t="str">
        <f t="shared" si="6"/>
        <v>商业繁华度</v>
      </c>
      <c r="R15" s="774" t="s">
        <v>17</v>
      </c>
      <c r="S15" s="775">
        <f t="shared" si="0"/>
        <v>100</v>
      </c>
      <c r="T15" s="774" t="s">
        <v>17</v>
      </c>
      <c r="U15" s="775">
        <f t="shared" si="1"/>
        <v>100</v>
      </c>
      <c r="V15" s="774" t="s">
        <v>17</v>
      </c>
      <c r="W15" s="775">
        <f t="shared" si="2"/>
        <v>100</v>
      </c>
      <c r="X15" s="1808"/>
      <c r="Y15" s="3219" t="s">
        <v>2561</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1"/>
      <c r="P16" s="3227"/>
      <c r="Q16" s="1805"/>
      <c r="R16" s="774"/>
      <c r="S16" s="775"/>
      <c r="T16" s="774"/>
      <c r="U16" s="775"/>
      <c r="V16" s="774"/>
      <c r="W16" s="775"/>
      <c r="X16" s="1808"/>
      <c r="Y16" s="3220"/>
      <c r="Z16" s="1809"/>
      <c r="AA16" s="1806">
        <v>1</v>
      </c>
      <c r="AB16" s="1806">
        <v>1</v>
      </c>
      <c r="AC16" s="1806">
        <v>1</v>
      </c>
    </row>
    <row r="17" spans="1:29" ht="85.5">
      <c r="A17" s="428"/>
      <c r="B17" s="451" t="s">
        <v>2096</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7"/>
      <c r="Q17" s="1805" t="str">
        <f>B17</f>
        <v>交通便捷度</v>
      </c>
      <c r="R17" s="774" t="s">
        <v>17</v>
      </c>
      <c r="S17" s="775">
        <f>F17</f>
        <v>100</v>
      </c>
      <c r="T17" s="774" t="s">
        <v>17</v>
      </c>
      <c r="U17" s="775">
        <f>H17</f>
        <v>100</v>
      </c>
      <c r="V17" s="774" t="s">
        <v>17</v>
      </c>
      <c r="W17" s="775">
        <f>J17</f>
        <v>100</v>
      </c>
      <c r="X17" s="1808"/>
      <c r="Y17" s="3220"/>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40"/>
      <c r="M18" s="1131"/>
      <c r="N18" s="1131"/>
      <c r="O18" s="1131"/>
      <c r="P18" s="3227"/>
      <c r="Q18" s="1805"/>
      <c r="R18" s="774"/>
      <c r="S18" s="775"/>
      <c r="T18" s="774"/>
      <c r="U18" s="775"/>
      <c r="V18" s="774"/>
      <c r="W18" s="775"/>
      <c r="X18" s="1808"/>
      <c r="Y18" s="3220"/>
      <c r="Z18" s="1809"/>
      <c r="AA18" s="1806">
        <v>1</v>
      </c>
      <c r="AB18" s="1806">
        <v>1</v>
      </c>
      <c r="AC18" s="1806">
        <v>1</v>
      </c>
    </row>
    <row r="19" spans="1:29" ht="42.75">
      <c r="A19" s="428"/>
      <c r="B19" s="451" t="s">
        <v>2655</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7"/>
      <c r="Q19" s="1805" t="str">
        <f>B19</f>
        <v>公共配套设施</v>
      </c>
      <c r="R19" s="774" t="s">
        <v>17</v>
      </c>
      <c r="S19" s="775">
        <f>F19</f>
        <v>100</v>
      </c>
      <c r="T19" s="774" t="s">
        <v>17</v>
      </c>
      <c r="U19" s="775">
        <f>H19</f>
        <v>100</v>
      </c>
      <c r="V19" s="774" t="s">
        <v>17</v>
      </c>
      <c r="W19" s="775">
        <f>J19</f>
        <v>100</v>
      </c>
      <c r="X19" s="1808"/>
      <c r="Y19" s="3220"/>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40"/>
      <c r="M20" s="1131"/>
      <c r="N20" s="1131"/>
      <c r="O20" s="1131"/>
      <c r="P20" s="3227"/>
      <c r="Q20" s="1805"/>
      <c r="R20" s="774"/>
      <c r="S20" s="775"/>
      <c r="T20" s="774"/>
      <c r="U20" s="775"/>
      <c r="V20" s="774"/>
      <c r="W20" s="775"/>
      <c r="X20" s="1808"/>
      <c r="Y20" s="3220"/>
      <c r="Z20" s="1809"/>
      <c r="AA20" s="1806">
        <v>1</v>
      </c>
      <c r="AB20" s="1806">
        <v>1</v>
      </c>
      <c r="AC20" s="1806">
        <v>1</v>
      </c>
    </row>
    <row r="21" spans="1:29" ht="28.5">
      <c r="A21" s="428"/>
      <c r="B21" s="1384" t="s">
        <v>2656</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7"/>
      <c r="Q21" s="1805" t="str">
        <f>B21</f>
        <v>基础设施水平</v>
      </c>
      <c r="R21" s="774" t="s">
        <v>17</v>
      </c>
      <c r="S21" s="775">
        <f>F21</f>
        <v>100</v>
      </c>
      <c r="T21" s="774" t="s">
        <v>17</v>
      </c>
      <c r="U21" s="775">
        <f>H21</f>
        <v>100</v>
      </c>
      <c r="V21" s="774" t="s">
        <v>17</v>
      </c>
      <c r="W21" s="775">
        <f>J21</f>
        <v>100</v>
      </c>
      <c r="X21" s="1808"/>
      <c r="Y21" s="3220"/>
      <c r="Z21" s="1809" t="str">
        <f>Q21</f>
        <v>基础设施水平</v>
      </c>
      <c r="AA21" s="1806">
        <f>D21/F21</f>
        <v>1</v>
      </c>
      <c r="AB21" s="1806">
        <f>D21/H21</f>
        <v>1</v>
      </c>
      <c r="AC21" s="1806">
        <f>D21/J21</f>
        <v>1</v>
      </c>
    </row>
    <row r="22" spans="1:29" ht="15">
      <c r="A22" s="428"/>
      <c r="B22" s="1384"/>
      <c r="C22" s="2603"/>
      <c r="D22" s="448"/>
      <c r="E22" s="447"/>
      <c r="F22" s="449"/>
      <c r="G22" s="447"/>
      <c r="H22" s="448"/>
      <c r="I22" s="447"/>
      <c r="J22" s="448"/>
      <c r="K22" s="1383"/>
      <c r="L22" s="1140"/>
      <c r="M22" s="1131"/>
      <c r="N22" s="1131"/>
      <c r="O22" s="1131"/>
      <c r="P22" s="3227"/>
      <c r="Q22" s="1805"/>
      <c r="R22" s="774"/>
      <c r="S22" s="775"/>
      <c r="T22" s="774"/>
      <c r="U22" s="775"/>
      <c r="V22" s="774"/>
      <c r="W22" s="775"/>
      <c r="X22" s="1808"/>
      <c r="Y22" s="3220"/>
      <c r="Z22" s="1809"/>
      <c r="AA22" s="1806">
        <v>1</v>
      </c>
      <c r="AB22" s="1806">
        <v>1</v>
      </c>
      <c r="AC22" s="1806">
        <v>1</v>
      </c>
    </row>
    <row r="23" spans="1:29" ht="57">
      <c r="A23" s="428"/>
      <c r="B23" s="451" t="s">
        <v>2101</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7"/>
      <c r="Q23" s="1805" t="str">
        <f>B23</f>
        <v>自然及人文环境</v>
      </c>
      <c r="R23" s="774" t="s">
        <v>17</v>
      </c>
      <c r="S23" s="775">
        <f>F23</f>
        <v>100</v>
      </c>
      <c r="T23" s="774" t="s">
        <v>17</v>
      </c>
      <c r="U23" s="775">
        <f>H23</f>
        <v>100</v>
      </c>
      <c r="V23" s="774" t="s">
        <v>17</v>
      </c>
      <c r="W23" s="775">
        <f>J23</f>
        <v>100</v>
      </c>
      <c r="X23" s="1808"/>
      <c r="Y23" s="3220"/>
      <c r="Z23" s="1809" t="str">
        <f>Q23</f>
        <v>自然及人文环境</v>
      </c>
      <c r="AA23" s="1806">
        <f t="shared" si="3"/>
        <v>1</v>
      </c>
      <c r="AB23" s="1806">
        <f t="shared" si="4"/>
        <v>1</v>
      </c>
      <c r="AC23" s="1806">
        <f t="shared" si="5"/>
        <v>1</v>
      </c>
    </row>
    <row r="24" spans="1:29" ht="15">
      <c r="A24" s="428"/>
      <c r="B24" s="456"/>
      <c r="C24" s="447"/>
      <c r="D24" s="448"/>
      <c r="E24" s="2600"/>
      <c r="F24" s="449"/>
      <c r="G24" s="2599"/>
      <c r="H24" s="448"/>
      <c r="I24" s="2600"/>
      <c r="J24" s="448"/>
      <c r="K24" s="615"/>
      <c r="L24" s="1140"/>
      <c r="M24" s="1131"/>
      <c r="N24" s="1131"/>
      <c r="O24" s="1131"/>
      <c r="P24" s="3227"/>
      <c r="Q24" s="1805"/>
      <c r="R24" s="774"/>
      <c r="S24" s="775"/>
      <c r="T24" s="774"/>
      <c r="U24" s="775"/>
      <c r="V24" s="774"/>
      <c r="W24" s="775"/>
      <c r="X24" s="1808"/>
      <c r="Y24" s="3220"/>
      <c r="Z24" s="1809"/>
      <c r="AA24" s="1806">
        <v>1</v>
      </c>
      <c r="AB24" s="1806">
        <v>1</v>
      </c>
      <c r="AC24" s="1806">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7"/>
      <c r="Q25" s="1805" t="str">
        <f t="shared" ref="Q25:Q46" si="8">B25</f>
        <v>临街状况</v>
      </c>
      <c r="R25" s="774" t="s">
        <v>17</v>
      </c>
      <c r="S25" s="775">
        <f>F25</f>
        <v>100</v>
      </c>
      <c r="T25" s="774" t="s">
        <v>17</v>
      </c>
      <c r="U25" s="775">
        <f>H25</f>
        <v>100</v>
      </c>
      <c r="V25" s="774" t="s">
        <v>17</v>
      </c>
      <c r="W25" s="775">
        <f>J25</f>
        <v>100</v>
      </c>
      <c r="X25" s="1808"/>
      <c r="Y25" s="3220"/>
      <c r="Z25" s="1809" t="str">
        <f>Q25</f>
        <v>临街状况</v>
      </c>
      <c r="AA25" s="1806">
        <f t="shared" si="3"/>
        <v>1</v>
      </c>
      <c r="AB25" s="1806">
        <f t="shared" si="4"/>
        <v>1</v>
      </c>
      <c r="AC25" s="1806">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7"/>
      <c r="Q26" s="1805" t="str">
        <f t="shared" si="8"/>
        <v>平面位置/可视性</v>
      </c>
      <c r="R26" s="774" t="s">
        <v>17</v>
      </c>
      <c r="S26" s="775">
        <f>F26</f>
        <v>100</v>
      </c>
      <c r="T26" s="774" t="s">
        <v>17</v>
      </c>
      <c r="U26" s="775">
        <f>H26</f>
        <v>100</v>
      </c>
      <c r="V26" s="774" t="s">
        <v>17</v>
      </c>
      <c r="W26" s="775">
        <f>J26</f>
        <v>100</v>
      </c>
      <c r="X26" s="1808"/>
      <c r="Y26" s="3220"/>
      <c r="Z26" s="1809" t="str">
        <f>Q26</f>
        <v>平面位置/可视性</v>
      </c>
      <c r="AA26" s="1806">
        <f t="shared" si="3"/>
        <v>1</v>
      </c>
      <c r="AB26" s="1806">
        <f t="shared" si="4"/>
        <v>1</v>
      </c>
      <c r="AC26" s="1806">
        <f t="shared" si="5"/>
        <v>1</v>
      </c>
    </row>
    <row r="27" spans="1:29" s="117" customFormat="1" ht="15">
      <c r="A27" s="431"/>
      <c r="B27" s="451" t="s">
        <v>2659</v>
      </c>
      <c r="C27" s="2660"/>
      <c r="D27" s="462">
        <v>100</v>
      </c>
      <c r="E27" s="2660"/>
      <c r="F27" s="464">
        <f>SUMIF(90:90,E27,91:91)-SUMIF(90:90,C27,91:91)+100</f>
        <v>100</v>
      </c>
      <c r="G27" s="2660"/>
      <c r="H27" s="462">
        <f>SUMIF(90:90,G27,91:91)-SUMIF(90:90,C27,91:91)+100</f>
        <v>100</v>
      </c>
      <c r="I27" s="2660"/>
      <c r="J27" s="462">
        <f>SUMIF(90:90,I27,91:91)-SUMIF(90:90,C27,91:91)+100</f>
        <v>100</v>
      </c>
      <c r="K27" s="612"/>
      <c r="L27" s="1132"/>
      <c r="M27" s="1133"/>
      <c r="N27" s="1133"/>
      <c r="O27" s="1133"/>
      <c r="P27" s="3227"/>
      <c r="Q27" s="1790" t="str">
        <f t="shared" si="8"/>
        <v>人流量</v>
      </c>
      <c r="R27" s="770" t="s">
        <v>17</v>
      </c>
      <c r="S27" s="771">
        <f>F27</f>
        <v>100</v>
      </c>
      <c r="T27" s="770" t="s">
        <v>17</v>
      </c>
      <c r="U27" s="771">
        <f>H27</f>
        <v>100</v>
      </c>
      <c r="V27" s="770" t="s">
        <v>17</v>
      </c>
      <c r="W27" s="771">
        <f>J27</f>
        <v>100</v>
      </c>
      <c r="X27" s="772"/>
      <c r="Y27" s="3220"/>
      <c r="Z27" s="55" t="str">
        <f>Q27</f>
        <v>人流量</v>
      </c>
      <c r="AA27" s="1806">
        <f>D27/F27</f>
        <v>1</v>
      </c>
      <c r="AB27" s="1806">
        <f>D27/H27</f>
        <v>1</v>
      </c>
      <c r="AC27" s="1806">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7"/>
      <c r="Q28" s="1805" t="str">
        <f t="shared" si="8"/>
        <v>楼层</v>
      </c>
      <c r="R28" s="774" t="s">
        <v>17</v>
      </c>
      <c r="S28" s="775">
        <f t="shared" ref="S28:S46" si="9">F28</f>
        <v>100</v>
      </c>
      <c r="T28" s="774" t="s">
        <v>17</v>
      </c>
      <c r="U28" s="775">
        <f t="shared" ref="U28:U46" si="10">H28</f>
        <v>100</v>
      </c>
      <c r="V28" s="774" t="s">
        <v>17</v>
      </c>
      <c r="W28" s="775">
        <f t="shared" ref="W28:W46" si="11">J28</f>
        <v>100</v>
      </c>
      <c r="X28" s="1808"/>
      <c r="Y28" s="3220"/>
      <c r="Z28" s="1809" t="str">
        <f t="shared" ref="Z28:Z46" si="12">Q28</f>
        <v>楼层</v>
      </c>
      <c r="AA28" s="1806">
        <f t="shared" si="3"/>
        <v>1</v>
      </c>
      <c r="AB28" s="1806">
        <f t="shared" si="4"/>
        <v>1</v>
      </c>
      <c r="AC28" s="180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7"/>
      <c r="Q29" s="1805">
        <f t="shared" si="8"/>
        <v>111</v>
      </c>
      <c r="R29" s="774" t="s">
        <v>17</v>
      </c>
      <c r="S29" s="775">
        <f t="shared" si="9"/>
        <v>100</v>
      </c>
      <c r="T29" s="774" t="s">
        <v>17</v>
      </c>
      <c r="U29" s="775">
        <f t="shared" si="10"/>
        <v>100</v>
      </c>
      <c r="V29" s="774" t="s">
        <v>17</v>
      </c>
      <c r="W29" s="775">
        <f t="shared" si="11"/>
        <v>100</v>
      </c>
      <c r="X29" s="1808"/>
      <c r="Y29" s="3220"/>
      <c r="Z29" s="1809">
        <f t="shared" si="12"/>
        <v>111</v>
      </c>
      <c r="AA29" s="1806">
        <f t="shared" si="3"/>
        <v>1</v>
      </c>
      <c r="AB29" s="1806">
        <f t="shared" si="4"/>
        <v>1</v>
      </c>
      <c r="AC29" s="180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7"/>
      <c r="Q30" s="1805">
        <f t="shared" si="8"/>
        <v>111</v>
      </c>
      <c r="R30" s="774" t="s">
        <v>17</v>
      </c>
      <c r="S30" s="775">
        <f t="shared" si="9"/>
        <v>100</v>
      </c>
      <c r="T30" s="774" t="s">
        <v>17</v>
      </c>
      <c r="U30" s="775">
        <f t="shared" si="10"/>
        <v>100</v>
      </c>
      <c r="V30" s="774" t="s">
        <v>17</v>
      </c>
      <c r="W30" s="775">
        <f t="shared" si="11"/>
        <v>100</v>
      </c>
      <c r="X30" s="1808"/>
      <c r="Y30" s="3220"/>
      <c r="Z30" s="1809">
        <f t="shared" si="12"/>
        <v>111</v>
      </c>
      <c r="AA30" s="1806">
        <f t="shared" si="3"/>
        <v>1</v>
      </c>
      <c r="AB30" s="1806">
        <f t="shared" si="4"/>
        <v>1</v>
      </c>
      <c r="AC30" s="180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7"/>
      <c r="Q31" s="1805">
        <f t="shared" si="8"/>
        <v>111</v>
      </c>
      <c r="R31" s="774" t="s">
        <v>17</v>
      </c>
      <c r="S31" s="775">
        <f t="shared" si="9"/>
        <v>100</v>
      </c>
      <c r="T31" s="774" t="s">
        <v>17</v>
      </c>
      <c r="U31" s="775">
        <f t="shared" si="10"/>
        <v>100</v>
      </c>
      <c r="V31" s="774" t="s">
        <v>17</v>
      </c>
      <c r="W31" s="775">
        <f t="shared" si="11"/>
        <v>100</v>
      </c>
      <c r="X31" s="1808"/>
      <c r="Y31" s="3220"/>
      <c r="Z31" s="1809">
        <f t="shared" si="12"/>
        <v>111</v>
      </c>
      <c r="AA31" s="1806">
        <f t="shared" si="3"/>
        <v>1</v>
      </c>
      <c r="AB31" s="1806">
        <f t="shared" si="4"/>
        <v>1</v>
      </c>
      <c r="AC31" s="1806">
        <f t="shared" si="5"/>
        <v>1</v>
      </c>
    </row>
    <row r="32" spans="1:29" ht="15">
      <c r="A32" s="440" t="s">
        <v>2564</v>
      </c>
      <c r="B32" s="71" t="s">
        <v>2661</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40"/>
      <c r="M32" s="1131"/>
      <c r="N32" s="1131"/>
      <c r="O32" s="1131"/>
      <c r="P32" s="3221" t="s">
        <v>2566</v>
      </c>
      <c r="Q32" s="1805" t="str">
        <f t="shared" si="8"/>
        <v>商业类型</v>
      </c>
      <c r="R32" s="774" t="s">
        <v>17</v>
      </c>
      <c r="S32" s="775">
        <f t="shared" si="9"/>
        <v>100</v>
      </c>
      <c r="T32" s="774" t="s">
        <v>17</v>
      </c>
      <c r="U32" s="775">
        <f t="shared" si="10"/>
        <v>100</v>
      </c>
      <c r="V32" s="774" t="s">
        <v>17</v>
      </c>
      <c r="W32" s="775">
        <f t="shared" si="11"/>
        <v>100</v>
      </c>
      <c r="X32" s="1808"/>
      <c r="Y32" s="3224" t="s">
        <v>2566</v>
      </c>
      <c r="Z32" s="1809" t="str">
        <f t="shared" si="12"/>
        <v>商业类型</v>
      </c>
      <c r="AA32" s="1806">
        <f t="shared" si="3"/>
        <v>1</v>
      </c>
      <c r="AB32" s="1806">
        <f t="shared" si="4"/>
        <v>1</v>
      </c>
      <c r="AC32" s="1806">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2"/>
      <c r="Q33" s="776" t="str">
        <f t="shared" si="8"/>
        <v>项目建筑规模</v>
      </c>
      <c r="R33" s="777" t="s">
        <v>17</v>
      </c>
      <c r="S33" s="778" t="e">
        <f t="shared" si="9"/>
        <v>#N/A</v>
      </c>
      <c r="T33" s="777" t="s">
        <v>17</v>
      </c>
      <c r="U33" s="778" t="e">
        <f t="shared" si="10"/>
        <v>#N/A</v>
      </c>
      <c r="V33" s="777" t="s">
        <v>17</v>
      </c>
      <c r="W33" s="778" t="e">
        <f t="shared" si="11"/>
        <v>#N/A</v>
      </c>
      <c r="X33" s="779"/>
      <c r="Y33" s="3224"/>
      <c r="Z33" s="780" t="str">
        <f t="shared" si="12"/>
        <v>项目建筑规模</v>
      </c>
      <c r="AA33" s="1806" t="e">
        <f t="shared" si="3"/>
        <v>#N/A</v>
      </c>
      <c r="AB33" s="1806" t="e">
        <f t="shared" si="4"/>
        <v>#N/A</v>
      </c>
      <c r="AC33" s="1806" t="e">
        <f t="shared" si="5"/>
        <v>#N/A</v>
      </c>
    </row>
    <row r="34" spans="1:29" ht="15">
      <c r="A34" s="472"/>
      <c r="B34" s="422" t="s">
        <v>2568</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40"/>
      <c r="M34" s="1131"/>
      <c r="N34" s="1131"/>
      <c r="O34" s="1131"/>
      <c r="P34" s="3222"/>
      <c r="Q34" s="1805" t="str">
        <f t="shared" si="8"/>
        <v>建筑结构</v>
      </c>
      <c r="R34" s="774" t="s">
        <v>17</v>
      </c>
      <c r="S34" s="775">
        <f t="shared" si="9"/>
        <v>100</v>
      </c>
      <c r="T34" s="774" t="s">
        <v>17</v>
      </c>
      <c r="U34" s="775">
        <f t="shared" si="10"/>
        <v>100</v>
      </c>
      <c r="V34" s="774" t="s">
        <v>17</v>
      </c>
      <c r="W34" s="775">
        <f t="shared" si="11"/>
        <v>100</v>
      </c>
      <c r="X34" s="1808"/>
      <c r="Y34" s="3224"/>
      <c r="Z34" s="1809" t="str">
        <f t="shared" si="12"/>
        <v>建筑结构</v>
      </c>
      <c r="AA34" s="1806">
        <f t="shared" si="3"/>
        <v>1</v>
      </c>
      <c r="AB34" s="1806">
        <f t="shared" si="4"/>
        <v>1</v>
      </c>
      <c r="AC34" s="1806">
        <f t="shared" si="5"/>
        <v>1</v>
      </c>
    </row>
    <row r="35" spans="1:29" ht="15">
      <c r="A35" s="472"/>
      <c r="B35" s="422" t="s">
        <v>2662</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40"/>
      <c r="M35" s="1131"/>
      <c r="N35" s="1131"/>
      <c r="O35" s="1131"/>
      <c r="P35" s="3222"/>
      <c r="Q35" s="1805" t="str">
        <f t="shared" si="8"/>
        <v>公共部分装修</v>
      </c>
      <c r="R35" s="774" t="s">
        <v>17</v>
      </c>
      <c r="S35" s="775">
        <f t="shared" si="9"/>
        <v>100</v>
      </c>
      <c r="T35" s="774" t="s">
        <v>17</v>
      </c>
      <c r="U35" s="775">
        <f t="shared" si="10"/>
        <v>100</v>
      </c>
      <c r="V35" s="774" t="s">
        <v>17</v>
      </c>
      <c r="W35" s="775">
        <f t="shared" si="11"/>
        <v>100</v>
      </c>
      <c r="X35" s="1808"/>
      <c r="Y35" s="3224"/>
      <c r="Z35" s="1809" t="str">
        <f t="shared" si="12"/>
        <v>公共部分装修</v>
      </c>
      <c r="AA35" s="1806">
        <f t="shared" si="3"/>
        <v>1</v>
      </c>
      <c r="AB35" s="1806">
        <f t="shared" si="4"/>
        <v>1</v>
      </c>
      <c r="AC35" s="1806">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2"/>
      <c r="Q36" s="1805" t="str">
        <f t="shared" si="8"/>
        <v>成新度</v>
      </c>
      <c r="R36" s="774" t="s">
        <v>17</v>
      </c>
      <c r="S36" s="775" t="e">
        <f t="shared" si="9"/>
        <v>#N/A</v>
      </c>
      <c r="T36" s="774" t="s">
        <v>17</v>
      </c>
      <c r="U36" s="775" t="e">
        <f t="shared" si="10"/>
        <v>#N/A</v>
      </c>
      <c r="V36" s="774" t="s">
        <v>17</v>
      </c>
      <c r="W36" s="775" t="e">
        <f t="shared" si="11"/>
        <v>#N/A</v>
      </c>
      <c r="X36" s="1808"/>
      <c r="Y36" s="3224"/>
      <c r="Z36" s="1809" t="str">
        <f t="shared" si="12"/>
        <v>成新度</v>
      </c>
      <c r="AA36" s="1806" t="e">
        <f t="shared" si="3"/>
        <v>#N/A</v>
      </c>
      <c r="AB36" s="1806" t="e">
        <f t="shared" si="4"/>
        <v>#N/A</v>
      </c>
      <c r="AC36" s="1806" t="e">
        <f t="shared" si="5"/>
        <v>#N/A</v>
      </c>
    </row>
    <row r="37" spans="1:29" s="117" customFormat="1" ht="15">
      <c r="A37" s="473"/>
      <c r="B37" s="422" t="s">
        <v>2664</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2"/>
      <c r="M37" s="1133"/>
      <c r="N37" s="1133"/>
      <c r="O37" s="1133"/>
      <c r="P37" s="3222"/>
      <c r="Q37" s="1790" t="str">
        <f t="shared" si="8"/>
        <v>市政基础设施</v>
      </c>
      <c r="R37" s="770" t="s">
        <v>17</v>
      </c>
      <c r="S37" s="771">
        <f t="shared" si="9"/>
        <v>100</v>
      </c>
      <c r="T37" s="770" t="s">
        <v>17</v>
      </c>
      <c r="U37" s="771">
        <f t="shared" si="10"/>
        <v>100</v>
      </c>
      <c r="V37" s="770" t="s">
        <v>17</v>
      </c>
      <c r="W37" s="771">
        <f t="shared" si="11"/>
        <v>100</v>
      </c>
      <c r="X37" s="772"/>
      <c r="Y37" s="3224"/>
      <c r="Z37" s="55" t="str">
        <f t="shared" si="12"/>
        <v>市政基础设施</v>
      </c>
      <c r="AA37" s="773">
        <f t="shared" si="3"/>
        <v>1</v>
      </c>
      <c r="AB37" s="773">
        <f t="shared" si="4"/>
        <v>1</v>
      </c>
      <c r="AC37" s="773">
        <f t="shared" si="5"/>
        <v>1</v>
      </c>
    </row>
    <row r="38" spans="1:29" ht="15">
      <c r="A38" s="472"/>
      <c r="B38" s="422" t="s">
        <v>2665</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40"/>
      <c r="M38" s="1131"/>
      <c r="N38" s="1131"/>
      <c r="O38" s="1131"/>
      <c r="P38" s="3222" t="s">
        <v>2566</v>
      </c>
      <c r="Q38" s="1805" t="str">
        <f t="shared" si="8"/>
        <v>业态</v>
      </c>
      <c r="R38" s="774" t="s">
        <v>17</v>
      </c>
      <c r="S38" s="775">
        <f t="shared" si="9"/>
        <v>100</v>
      </c>
      <c r="T38" s="774" t="s">
        <v>17</v>
      </c>
      <c r="U38" s="775">
        <f t="shared" si="10"/>
        <v>100</v>
      </c>
      <c r="V38" s="774" t="s">
        <v>17</v>
      </c>
      <c r="W38" s="775">
        <f t="shared" si="11"/>
        <v>100</v>
      </c>
      <c r="X38" s="1808"/>
      <c r="Y38" s="3224" t="s">
        <v>2566</v>
      </c>
      <c r="Z38" s="1809" t="str">
        <f t="shared" si="12"/>
        <v>业态</v>
      </c>
      <c r="AA38" s="1806">
        <f t="shared" si="3"/>
        <v>1</v>
      </c>
      <c r="AB38" s="1806">
        <f t="shared" si="4"/>
        <v>1</v>
      </c>
      <c r="AC38" s="1806">
        <f t="shared" si="5"/>
        <v>1</v>
      </c>
    </row>
    <row r="39" spans="1:29" ht="15">
      <c r="A39" s="472"/>
      <c r="B39" s="422" t="s">
        <v>2666</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40"/>
      <c r="M39" s="1131"/>
      <c r="N39" s="1131"/>
      <c r="O39" s="1131"/>
      <c r="P39" s="3222"/>
      <c r="Q39" s="1805" t="str">
        <f t="shared" si="8"/>
        <v>层高</v>
      </c>
      <c r="R39" s="774" t="s">
        <v>17</v>
      </c>
      <c r="S39" s="775">
        <f t="shared" si="9"/>
        <v>100</v>
      </c>
      <c r="T39" s="774" t="s">
        <v>17</v>
      </c>
      <c r="U39" s="775">
        <f t="shared" si="10"/>
        <v>100</v>
      </c>
      <c r="V39" s="774" t="s">
        <v>17</v>
      </c>
      <c r="W39" s="775">
        <f t="shared" si="11"/>
        <v>100</v>
      </c>
      <c r="X39" s="1808"/>
      <c r="Y39" s="3224"/>
      <c r="Z39" s="1809" t="str">
        <f t="shared" si="12"/>
        <v>层高</v>
      </c>
      <c r="AA39" s="1806">
        <f t="shared" si="3"/>
        <v>1</v>
      </c>
      <c r="AB39" s="1806">
        <f t="shared" si="4"/>
        <v>1</v>
      </c>
      <c r="AC39" s="1806">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2"/>
      <c r="Q40" s="1805" t="str">
        <f t="shared" si="8"/>
        <v>单套建筑面积</v>
      </c>
      <c r="R40" s="774" t="s">
        <v>17</v>
      </c>
      <c r="S40" s="775">
        <f t="shared" si="9"/>
        <v>100</v>
      </c>
      <c r="T40" s="774" t="s">
        <v>17</v>
      </c>
      <c r="U40" s="775">
        <f t="shared" si="10"/>
        <v>100</v>
      </c>
      <c r="V40" s="774" t="s">
        <v>17</v>
      </c>
      <c r="W40" s="775">
        <f t="shared" si="11"/>
        <v>100</v>
      </c>
      <c r="X40" s="1808"/>
      <c r="Y40" s="3224"/>
      <c r="Z40" s="1809" t="str">
        <f t="shared" si="12"/>
        <v>单套建筑面积</v>
      </c>
      <c r="AA40" s="1806">
        <f t="shared" si="3"/>
        <v>1</v>
      </c>
      <c r="AB40" s="1806">
        <f t="shared" si="4"/>
        <v>1</v>
      </c>
      <c r="AC40" s="1806">
        <f t="shared" si="5"/>
        <v>1</v>
      </c>
    </row>
    <row r="41" spans="1:29" s="471" customFormat="1" ht="15">
      <c r="A41" s="468"/>
      <c r="B41" s="1807"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2"/>
      <c r="Q41" s="776" t="str">
        <f t="shared" si="8"/>
        <v>进深比</v>
      </c>
      <c r="R41" s="777" t="s">
        <v>17</v>
      </c>
      <c r="S41" s="778">
        <f t="shared" si="9"/>
        <v>100</v>
      </c>
      <c r="T41" s="777" t="s">
        <v>17</v>
      </c>
      <c r="U41" s="778">
        <f t="shared" si="10"/>
        <v>100</v>
      </c>
      <c r="V41" s="777" t="s">
        <v>17</v>
      </c>
      <c r="W41" s="778">
        <f t="shared" si="11"/>
        <v>100</v>
      </c>
      <c r="X41" s="779"/>
      <c r="Y41" s="3224"/>
      <c r="Z41" s="780" t="str">
        <f t="shared" si="12"/>
        <v>进深比</v>
      </c>
      <c r="AA41" s="1806">
        <f t="shared" si="3"/>
        <v>1</v>
      </c>
      <c r="AB41" s="1806">
        <f t="shared" si="4"/>
        <v>1</v>
      </c>
      <c r="AC41" s="1806">
        <f t="shared" si="5"/>
        <v>1</v>
      </c>
    </row>
    <row r="42" spans="1:29" ht="15">
      <c r="A42" s="472"/>
      <c r="B42" s="422" t="s">
        <v>2669</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40"/>
      <c r="M42" s="1131"/>
      <c r="N42" s="1131"/>
      <c r="O42" s="1131"/>
      <c r="P42" s="3222"/>
      <c r="Q42" s="1805" t="str">
        <f t="shared" si="8"/>
        <v>内部装修</v>
      </c>
      <c r="R42" s="774" t="s">
        <v>17</v>
      </c>
      <c r="S42" s="775">
        <f t="shared" si="9"/>
        <v>100</v>
      </c>
      <c r="T42" s="774" t="s">
        <v>17</v>
      </c>
      <c r="U42" s="775">
        <f t="shared" si="10"/>
        <v>100</v>
      </c>
      <c r="V42" s="774" t="s">
        <v>17</v>
      </c>
      <c r="W42" s="775">
        <f t="shared" si="11"/>
        <v>100</v>
      </c>
      <c r="X42" s="1808"/>
      <c r="Y42" s="3224"/>
      <c r="Z42" s="1809" t="str">
        <f t="shared" si="12"/>
        <v>内部装修</v>
      </c>
      <c r="AA42" s="1806">
        <f t="shared" si="3"/>
        <v>1</v>
      </c>
      <c r="AB42" s="1806">
        <f t="shared" si="4"/>
        <v>1</v>
      </c>
      <c r="AC42" s="1806">
        <f t="shared" si="5"/>
        <v>1</v>
      </c>
    </row>
    <row r="43" spans="1:29" ht="15">
      <c r="A43" s="472"/>
      <c r="B43" s="422" t="s">
        <v>2577</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40"/>
      <c r="M43" s="1131"/>
      <c r="N43" s="1131"/>
      <c r="O43" s="1131"/>
      <c r="P43" s="3222"/>
      <c r="Q43" s="1805" t="str">
        <f t="shared" si="8"/>
        <v>内部装修维护情况</v>
      </c>
      <c r="R43" s="774" t="s">
        <v>17</v>
      </c>
      <c r="S43" s="775">
        <f t="shared" si="9"/>
        <v>100</v>
      </c>
      <c r="T43" s="774" t="s">
        <v>17</v>
      </c>
      <c r="U43" s="775">
        <f t="shared" si="10"/>
        <v>100</v>
      </c>
      <c r="V43" s="774" t="s">
        <v>17</v>
      </c>
      <c r="W43" s="775">
        <f t="shared" si="11"/>
        <v>100</v>
      </c>
      <c r="X43" s="1808"/>
      <c r="Y43" s="3224"/>
      <c r="Z43" s="1809" t="str">
        <f t="shared" si="12"/>
        <v>内部装修维护情况</v>
      </c>
      <c r="AA43" s="1806">
        <f t="shared" si="3"/>
        <v>1</v>
      </c>
      <c r="AB43" s="1806">
        <f t="shared" si="4"/>
        <v>1</v>
      </c>
      <c r="AC43" s="180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2"/>
      <c r="Q44" s="1790">
        <f t="shared" si="8"/>
        <v>111</v>
      </c>
      <c r="R44" s="770" t="s">
        <v>17</v>
      </c>
      <c r="S44" s="771">
        <f t="shared" si="9"/>
        <v>100</v>
      </c>
      <c r="T44" s="770" t="s">
        <v>17</v>
      </c>
      <c r="U44" s="771">
        <f t="shared" si="10"/>
        <v>100</v>
      </c>
      <c r="V44" s="770" t="s">
        <v>17</v>
      </c>
      <c r="W44" s="771">
        <f t="shared" si="11"/>
        <v>100</v>
      </c>
      <c r="X44" s="772"/>
      <c r="Y44" s="3224"/>
      <c r="Z44" s="55">
        <f t="shared" si="12"/>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2"/>
      <c r="Q45" s="1805">
        <f t="shared" si="8"/>
        <v>111</v>
      </c>
      <c r="R45" s="774" t="s">
        <v>17</v>
      </c>
      <c r="S45" s="775">
        <f t="shared" si="9"/>
        <v>100</v>
      </c>
      <c r="T45" s="774" t="s">
        <v>17</v>
      </c>
      <c r="U45" s="775">
        <f t="shared" si="10"/>
        <v>100</v>
      </c>
      <c r="V45" s="774" t="s">
        <v>17</v>
      </c>
      <c r="W45" s="775">
        <f t="shared" si="11"/>
        <v>100</v>
      </c>
      <c r="X45" s="1808"/>
      <c r="Y45" s="3224"/>
      <c r="Z45" s="1809">
        <f t="shared" si="12"/>
        <v>111</v>
      </c>
      <c r="AA45" s="1806">
        <f t="shared" si="3"/>
        <v>1</v>
      </c>
      <c r="AB45" s="1806">
        <f t="shared" si="4"/>
        <v>1</v>
      </c>
      <c r="AC45" s="1806">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3"/>
      <c r="Q46" s="1805">
        <f t="shared" si="8"/>
        <v>111</v>
      </c>
      <c r="R46" s="774" t="s">
        <v>17</v>
      </c>
      <c r="S46" s="775">
        <f t="shared" si="9"/>
        <v>100</v>
      </c>
      <c r="T46" s="774" t="s">
        <v>17</v>
      </c>
      <c r="U46" s="775">
        <f t="shared" si="10"/>
        <v>100</v>
      </c>
      <c r="V46" s="774" t="s">
        <v>17</v>
      </c>
      <c r="W46" s="775">
        <f t="shared" si="11"/>
        <v>100</v>
      </c>
      <c r="X46" s="1808"/>
      <c r="Y46" s="3225"/>
      <c r="Z46" s="1809">
        <f t="shared" si="12"/>
        <v>111</v>
      </c>
      <c r="AA46" s="1806">
        <f t="shared" si="3"/>
        <v>1</v>
      </c>
      <c r="AB46" s="1806">
        <f t="shared" si="4"/>
        <v>1</v>
      </c>
      <c r="AC46" s="1806">
        <f t="shared" si="5"/>
        <v>1</v>
      </c>
    </row>
    <row r="47" spans="1:29" ht="15">
      <c r="A47" s="479" t="s">
        <v>2578</v>
      </c>
      <c r="B47" s="480"/>
      <c r="C47" s="1407" t="s">
        <v>1</v>
      </c>
      <c r="D47" s="1408"/>
      <c r="E47" s="1409"/>
      <c r="F47" s="1410"/>
      <c r="G47" s="1411"/>
      <c r="H47" s="1412"/>
      <c r="I47" s="1409"/>
      <c r="J47" s="1412"/>
      <c r="K47" s="783"/>
      <c r="L47" s="1143"/>
      <c r="M47" s="1144"/>
      <c r="N47" s="1131"/>
      <c r="O47" s="1144"/>
      <c r="P47" s="3217" t="str">
        <f>A47</f>
        <v>成交单价（元/平方米）</v>
      </c>
      <c r="Q47" s="3217"/>
      <c r="R47" s="3212">
        <f>E47</f>
        <v>0</v>
      </c>
      <c r="S47" s="3212"/>
      <c r="T47" s="3212">
        <f>G47</f>
        <v>0</v>
      </c>
      <c r="U47" s="3212"/>
      <c r="V47" s="3212">
        <f>I47</f>
        <v>0</v>
      </c>
      <c r="W47" s="3212"/>
      <c r="X47" s="759"/>
      <c r="Y47" s="781"/>
      <c r="Z47" s="759"/>
      <c r="AA47" s="759"/>
      <c r="AB47" s="759"/>
      <c r="AC47" s="759"/>
    </row>
    <row r="48" spans="1:29" ht="15.7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2671</v>
      </c>
      <c r="B49" s="493"/>
      <c r="C49" s="1417" t="e">
        <f>R49</f>
        <v>#DIV/0!</v>
      </c>
      <c r="D49" s="1417"/>
      <c r="E49" s="1417"/>
      <c r="F49" s="1417"/>
      <c r="G49" s="1417"/>
      <c r="H49" s="1417"/>
      <c r="I49" s="1417"/>
      <c r="J49" s="1417"/>
      <c r="K49" s="785"/>
      <c r="L49" s="1143"/>
      <c r="M49" s="1144"/>
      <c r="N49" s="1131"/>
      <c r="O49" s="1144"/>
      <c r="P49" s="3214" t="str">
        <f>A49</f>
        <v>估价对象XX用房的比较价值（楼面单价，元/平方米）</v>
      </c>
      <c r="Q49" s="3215"/>
      <c r="R49" s="3216" t="e">
        <f>IF(F1="售价",ROUND(AVERAGE(R48:V48),0),ROUND(AVERAGE(R48:V48),1))</f>
        <v>#DIV/0!</v>
      </c>
      <c r="S49" s="3216"/>
      <c r="T49" s="3216"/>
      <c r="U49" s="3216"/>
      <c r="V49" s="3216"/>
      <c r="W49" s="321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1"/>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1"/>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2"/>
      <c r="Q57" s="2663"/>
      <c r="R57" s="759"/>
      <c r="S57" s="759"/>
      <c r="T57" s="759"/>
      <c r="U57" s="759"/>
      <c r="V57" s="759"/>
      <c r="W57" s="759"/>
      <c r="X57" s="759"/>
      <c r="Y57" s="759"/>
      <c r="Z57" s="759"/>
      <c r="AA57" s="759"/>
      <c r="AB57" s="759"/>
      <c r="AC57" s="759"/>
    </row>
    <row r="58" spans="1:29" s="508" customFormat="1" ht="15">
      <c r="A58" s="505" t="s">
        <v>2549</v>
      </c>
      <c r="B58" s="506"/>
      <c r="C58" s="1569" t="str">
        <f>YEAR(C7)&amp;"-"&amp;MONTH(C7)</f>
        <v>2020-3</v>
      </c>
      <c r="D58" s="1570">
        <f>EDATE(C58,-1)</f>
        <v>43862</v>
      </c>
      <c r="E58" s="1570">
        <f t="shared" ref="E58:N58" si="13">EDATE(D58,-1)</f>
        <v>43831</v>
      </c>
      <c r="F58" s="1570">
        <f t="shared" si="13"/>
        <v>43800</v>
      </c>
      <c r="G58" s="1570">
        <f t="shared" si="13"/>
        <v>43770</v>
      </c>
      <c r="H58" s="1570">
        <f t="shared" si="13"/>
        <v>43739</v>
      </c>
      <c r="I58" s="1570">
        <f t="shared" si="13"/>
        <v>43709</v>
      </c>
      <c r="J58" s="1570">
        <f t="shared" si="13"/>
        <v>43678</v>
      </c>
      <c r="K58" s="1570">
        <f t="shared" si="13"/>
        <v>43647</v>
      </c>
      <c r="L58" s="1570">
        <f t="shared" si="13"/>
        <v>43617</v>
      </c>
      <c r="M58" s="1570">
        <f t="shared" si="13"/>
        <v>43586</v>
      </c>
      <c r="N58" s="1570">
        <f t="shared" si="13"/>
        <v>43556</v>
      </c>
      <c r="O58" s="1570">
        <f>EDATE(N58,-1)</f>
        <v>43525</v>
      </c>
      <c r="P58" s="1565"/>
    </row>
    <row r="59" spans="1:29" s="117" customFormat="1" ht="15">
      <c r="A59" s="509"/>
      <c r="B59" s="510"/>
      <c r="C59" s="1568">
        <v>100</v>
      </c>
      <c r="D59" s="512"/>
      <c r="E59" s="512"/>
      <c r="F59" s="512"/>
      <c r="G59" s="512"/>
      <c r="H59" s="512"/>
      <c r="I59" s="512"/>
      <c r="J59" s="512"/>
      <c r="K59" s="512"/>
      <c r="L59" s="512"/>
      <c r="M59" s="513"/>
      <c r="N59" s="512"/>
      <c r="O59" s="513"/>
      <c r="P59" s="2623"/>
    </row>
    <row r="60" spans="1:29" s="117" customFormat="1" ht="15.75" thickBot="1">
      <c r="A60" s="515" t="s">
        <v>2586</v>
      </c>
      <c r="B60" s="516"/>
      <c r="C60" s="517"/>
      <c r="D60" s="518"/>
      <c r="E60" s="518"/>
      <c r="F60" s="518"/>
      <c r="G60" s="518"/>
      <c r="H60" s="518"/>
      <c r="I60" s="518"/>
      <c r="J60" s="518"/>
      <c r="K60" s="518"/>
      <c r="L60" s="518"/>
      <c r="M60" s="519"/>
      <c r="N60" s="518"/>
      <c r="O60" s="519"/>
      <c r="P60" s="2623"/>
      <c r="Q60" s="504"/>
    </row>
    <row r="61" spans="1:29" s="117" customFormat="1" ht="15">
      <c r="A61" s="521" t="s">
        <v>2551</v>
      </c>
      <c r="B61" s="510"/>
      <c r="C61" s="522" t="s">
        <v>2653</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2589</v>
      </c>
      <c r="B63" s="528" t="s">
        <v>2555</v>
      </c>
      <c r="C63" s="529">
        <f>C9</f>
        <v>0</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5"/>
      <c r="Q66" s="504"/>
    </row>
    <row r="67" spans="1:17" ht="15.75" thickTop="1">
      <c r="A67" s="534"/>
      <c r="B67" s="546" t="s">
        <v>2559</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5"/>
      <c r="Q67" s="504"/>
    </row>
    <row r="68" spans="1:17" ht="15">
      <c r="A68" s="534"/>
      <c r="B68" s="548"/>
      <c r="C68" s="549"/>
      <c r="D68" s="549"/>
      <c r="E68" s="549"/>
      <c r="F68" s="549"/>
      <c r="G68" s="549"/>
      <c r="H68" s="549"/>
      <c r="I68" s="549"/>
      <c r="J68" s="549"/>
      <c r="K68" s="550"/>
      <c r="L68" s="551"/>
      <c r="M68" s="552"/>
      <c r="N68" s="1152"/>
      <c r="O68" s="1152"/>
      <c r="P68" s="2625"/>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25"/>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75" thickTop="1">
      <c r="A86" s="579"/>
      <c r="B86" s="538" t="s">
        <v>2681</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1"/>
      <c r="O88" s="1151"/>
      <c r="P88" s="2625"/>
      <c r="Q88" s="504"/>
    </row>
    <row r="89" spans="1:17" s="117" customFormat="1" ht="15.75" thickBot="1">
      <c r="A89" s="579"/>
      <c r="B89" s="543"/>
      <c r="C89" s="560"/>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6"/>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26"/>
      <c r="Q91" s="559"/>
    </row>
    <row r="92" spans="1:17" ht="15.75" thickTop="1">
      <c r="A92" s="534"/>
      <c r="B92" s="538" t="str">
        <f>B28</f>
        <v>楼层</v>
      </c>
      <c r="C92" s="554"/>
      <c r="D92" s="554"/>
      <c r="E92" s="554"/>
      <c r="F92" s="554"/>
      <c r="G92" s="554"/>
      <c r="H92" s="554"/>
      <c r="I92" s="554"/>
      <c r="J92" s="554"/>
      <c r="K92" s="554"/>
      <c r="L92" s="580"/>
      <c r="M92" s="581"/>
      <c r="N92" s="1152"/>
      <c r="O92" s="1152"/>
      <c r="P92" s="2625"/>
      <c r="Q92" s="504"/>
    </row>
    <row r="93" spans="1:17" ht="15.75" thickBot="1">
      <c r="A93" s="534"/>
      <c r="B93" s="543"/>
      <c r="C93" s="536"/>
      <c r="D93" s="536"/>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2564</v>
      </c>
      <c r="B100" s="528" t="s">
        <v>2682</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5"/>
      <c r="Q101" s="504"/>
    </row>
    <row r="102" spans="1:17" ht="15.75" thickTop="1">
      <c r="A102" s="534"/>
      <c r="B102" s="538" t="s">
        <v>2614</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6"/>
      <c r="Q104" s="559"/>
    </row>
    <row r="105" spans="1:17" ht="15" thickTop="1">
      <c r="A105" s="599"/>
      <c r="B105" s="538" t="s">
        <v>2615</v>
      </c>
      <c r="C105" s="554"/>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5"/>
      <c r="Q106" s="504"/>
    </row>
    <row r="107" spans="1:17" ht="15" thickTop="1">
      <c r="A107" s="599"/>
      <c r="B107" s="538" t="s">
        <v>2617</v>
      </c>
      <c r="C107" s="554"/>
      <c r="D107" s="554"/>
      <c r="E107" s="554"/>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5"/>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26"/>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26"/>
      <c r="Q113" s="559"/>
    </row>
    <row r="114" spans="1:17" ht="15" thickTop="1">
      <c r="A114" s="599"/>
      <c r="B114" s="538" t="s">
        <v>2683</v>
      </c>
      <c r="C114" s="554"/>
      <c r="D114" s="554"/>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5"/>
      <c r="Q115" s="504"/>
    </row>
    <row r="116" spans="1:17" ht="15" thickTop="1">
      <c r="A116" s="599"/>
      <c r="B116" s="538" t="s">
        <v>2684</v>
      </c>
      <c r="C116" s="554"/>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2685</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26"/>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26"/>
      <c r="Q121" s="559"/>
    </row>
    <row r="122" spans="1:17" ht="15" thickTop="1">
      <c r="A122" s="599"/>
      <c r="B122" s="538" t="s">
        <v>2621</v>
      </c>
      <c r="C122" s="554"/>
      <c r="D122" s="554"/>
      <c r="E122" s="554"/>
      <c r="F122" s="583"/>
      <c r="G122" s="583"/>
      <c r="H122" s="583"/>
      <c r="I122" s="583"/>
      <c r="J122" s="583"/>
      <c r="K122" s="584"/>
      <c r="L122" s="585"/>
      <c r="M122" s="586"/>
      <c r="N122" s="1152"/>
      <c r="O122" s="1152"/>
      <c r="P122" s="2625"/>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2529</v>
      </c>
      <c r="B1" s="2664" t="s">
        <v>2687</v>
      </c>
      <c r="C1" s="1615" t="s">
        <v>2531</v>
      </c>
      <c r="D1" s="1616"/>
      <c r="E1" s="1625"/>
      <c r="F1" s="2579"/>
      <c r="G1" s="1626" t="s">
        <v>2644</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2328</v>
      </c>
      <c r="B2" s="1418" t="e">
        <f ca="1">IF(C2="——",ROUND(C50*D3/10000,0),ROUND(C50*D3/10000,0)-D2)</f>
        <v>#DIV/0!</v>
      </c>
      <c r="C2" s="2581"/>
      <c r="D2" s="1365" t="e">
        <f ca="1">SUMIF(INDIRECT("'"&amp;F2&amp;"'"&amp;"!A:A"),"承租人权益价值",INDIRECT("'"&amp;F2&amp;"'"&amp;"!c:c"))</f>
        <v>#REF!</v>
      </c>
      <c r="E2" s="2582" t="s">
        <v>2329</v>
      </c>
      <c r="F2" s="2583"/>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23014.799999999999</v>
      </c>
      <c r="E3" s="2658"/>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200" t="s">
        <v>2647</v>
      </c>
      <c r="D4" s="3201"/>
      <c r="E4" s="3202" t="s">
        <v>2648</v>
      </c>
      <c r="F4" s="3203"/>
      <c r="G4" s="3200" t="s">
        <v>2649</v>
      </c>
      <c r="H4" s="3201"/>
      <c r="I4" s="3200" t="s">
        <v>2650</v>
      </c>
      <c r="J4" s="3201"/>
      <c r="K4" s="610" t="s">
        <v>2651</v>
      </c>
      <c r="L4" s="1130"/>
      <c r="M4" s="1131"/>
      <c r="N4" s="1131"/>
      <c r="O4" s="1131"/>
      <c r="P4" s="3234" t="s">
        <v>2652</v>
      </c>
      <c r="Q4" s="3235"/>
      <c r="R4" s="3229" t="s">
        <v>2648</v>
      </c>
      <c r="S4" s="3230"/>
      <c r="T4" s="3229" t="s">
        <v>2649</v>
      </c>
      <c r="U4" s="3230"/>
      <c r="V4" s="3238" t="s">
        <v>2650</v>
      </c>
      <c r="W4" s="3238"/>
      <c r="X4" s="2665"/>
      <c r="Y4" s="3229" t="s">
        <v>2652</v>
      </c>
      <c r="Z4" s="3230"/>
      <c r="AA4" s="3228" t="s">
        <v>2648</v>
      </c>
      <c r="AB4" s="3228" t="s">
        <v>2649</v>
      </c>
      <c r="AC4" s="3231" t="s">
        <v>2650</v>
      </c>
    </row>
    <row r="5" spans="1:29" ht="15">
      <c r="A5" s="404"/>
      <c r="B5" s="405"/>
      <c r="C5" s="3193" t="s">
        <v>2543</v>
      </c>
      <c r="D5" s="3194"/>
      <c r="E5" s="3191" t="s">
        <v>2544</v>
      </c>
      <c r="F5" s="3192"/>
      <c r="G5" s="3193" t="s">
        <v>2545</v>
      </c>
      <c r="H5" s="3194"/>
      <c r="I5" s="3193" t="s">
        <v>2546</v>
      </c>
      <c r="J5" s="3194"/>
      <c r="K5" s="610"/>
      <c r="L5" s="1130"/>
      <c r="M5" s="1131"/>
      <c r="N5" s="1131"/>
      <c r="O5" s="1131"/>
      <c r="P5" s="3236"/>
      <c r="Q5" s="3207"/>
      <c r="R5" s="3189"/>
      <c r="S5" s="3190"/>
      <c r="T5" s="3189"/>
      <c r="U5" s="3190"/>
      <c r="V5" s="3212"/>
      <c r="W5" s="3212"/>
      <c r="X5" s="1808"/>
      <c r="Y5" s="3189"/>
      <c r="Z5" s="3190"/>
      <c r="AA5" s="3183"/>
      <c r="AB5" s="3183"/>
      <c r="AC5" s="3232"/>
    </row>
    <row r="6" spans="1:29" ht="15.75" thickBot="1">
      <c r="A6" s="406"/>
      <c r="B6" s="407"/>
      <c r="C6" s="3195" t="s">
        <v>2547</v>
      </c>
      <c r="D6" s="3196"/>
      <c r="E6" s="3197" t="s">
        <v>2547</v>
      </c>
      <c r="F6" s="3198"/>
      <c r="G6" s="3195" t="s">
        <v>2547</v>
      </c>
      <c r="H6" s="3196"/>
      <c r="I6" s="3195" t="s">
        <v>2547</v>
      </c>
      <c r="J6" s="3196"/>
      <c r="K6" s="610" t="s">
        <v>2548</v>
      </c>
      <c r="L6" s="1130"/>
      <c r="M6" s="1131"/>
      <c r="N6" s="1131"/>
      <c r="O6" s="1131"/>
      <c r="P6" s="3237"/>
      <c r="Q6" s="3209"/>
      <c r="R6" s="3189"/>
      <c r="S6" s="3190"/>
      <c r="T6" s="3210"/>
      <c r="U6" s="3211"/>
      <c r="V6" s="3212"/>
      <c r="W6" s="3212"/>
      <c r="X6" s="1808"/>
      <c r="Y6" s="3210"/>
      <c r="Z6" s="3211"/>
      <c r="AA6" s="3184"/>
      <c r="AB6" s="3184"/>
      <c r="AC6" s="3233"/>
    </row>
    <row r="7" spans="1:29" s="117" customFormat="1" ht="15.75" thickBot="1">
      <c r="A7" s="408" t="s">
        <v>2549</v>
      </c>
      <c r="B7" s="409"/>
      <c r="C7" s="410">
        <f>'数据-取费表'!B2</f>
        <v>43894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9" t="s">
        <v>2550</v>
      </c>
      <c r="Q7" s="3213"/>
      <c r="R7" s="770" t="s">
        <v>17</v>
      </c>
      <c r="S7" s="771">
        <f t="shared" ref="S7:S15" si="0">F7</f>
        <v>0</v>
      </c>
      <c r="T7" s="770" t="s">
        <v>17</v>
      </c>
      <c r="U7" s="771">
        <f t="shared" ref="U7:U15" si="1">H7</f>
        <v>0</v>
      </c>
      <c r="V7" s="770" t="s">
        <v>17</v>
      </c>
      <c r="W7" s="771">
        <f t="shared" ref="W7:W15" si="2">J7</f>
        <v>0</v>
      </c>
      <c r="X7" s="772"/>
      <c r="Y7" s="3185" t="s">
        <v>2550</v>
      </c>
      <c r="Z7" s="3186"/>
      <c r="AA7" s="773" t="e">
        <f>D7/F7</f>
        <v>#DIV/0!</v>
      </c>
      <c r="AB7" s="773" t="e">
        <f>D7/H7</f>
        <v>#DIV/0!</v>
      </c>
      <c r="AC7" s="2666"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9" t="s">
        <v>2553</v>
      </c>
      <c r="Q8" s="3186"/>
      <c r="R8" s="770" t="s">
        <v>17</v>
      </c>
      <c r="S8" s="771">
        <f t="shared" si="0"/>
        <v>0</v>
      </c>
      <c r="T8" s="770" t="s">
        <v>17</v>
      </c>
      <c r="U8" s="771">
        <f t="shared" si="1"/>
        <v>0</v>
      </c>
      <c r="V8" s="770" t="s">
        <v>17</v>
      </c>
      <c r="W8" s="771">
        <f t="shared" si="2"/>
        <v>0</v>
      </c>
      <c r="X8" s="772"/>
      <c r="Y8" s="3185" t="s">
        <v>2553</v>
      </c>
      <c r="Z8" s="3186"/>
      <c r="AA8" s="773" t="e">
        <f t="shared" ref="AA8:AA47" si="3">D8/F8</f>
        <v>#DIV/0!</v>
      </c>
      <c r="AB8" s="773" t="e">
        <f t="shared" ref="AB8:AB47" si="4">D8/H8</f>
        <v>#DIV/0!</v>
      </c>
      <c r="AC8" s="2666"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9" t="s">
        <v>2556</v>
      </c>
      <c r="Q9" s="1790" t="str">
        <f t="shared" ref="Q9:Q15" si="6">B9</f>
        <v>用途</v>
      </c>
      <c r="R9" s="770" t="s">
        <v>17</v>
      </c>
      <c r="S9" s="771">
        <f t="shared" si="0"/>
        <v>100</v>
      </c>
      <c r="T9" s="770" t="s">
        <v>17</v>
      </c>
      <c r="U9" s="771">
        <f t="shared" si="1"/>
        <v>100</v>
      </c>
      <c r="V9" s="770" t="s">
        <v>17</v>
      </c>
      <c r="W9" s="771">
        <f t="shared" si="2"/>
        <v>100</v>
      </c>
      <c r="X9" s="772"/>
      <c r="Y9" s="3032" t="s">
        <v>2557</v>
      </c>
      <c r="Z9" s="55" t="str">
        <f t="shared" ref="Z9:Z15" si="7">Q9</f>
        <v>用途</v>
      </c>
      <c r="AA9" s="773">
        <f t="shared" si="3"/>
        <v>1</v>
      </c>
      <c r="AB9" s="773">
        <f t="shared" si="4"/>
        <v>1</v>
      </c>
      <c r="AC9" s="2666">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9"/>
      <c r="Q10" s="1790"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66">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9"/>
      <c r="Q11" s="1790"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199"/>
      <c r="Q12" s="1790">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199"/>
      <c r="Q13" s="1790">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199"/>
      <c r="Q14" s="1790">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66">
        <f t="shared" si="5"/>
        <v>1</v>
      </c>
    </row>
    <row r="15" spans="1:29" ht="71.25">
      <c r="A15" s="440" t="s">
        <v>2560</v>
      </c>
      <c r="B15" s="629" t="s">
        <v>2688</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6" t="s">
        <v>2561</v>
      </c>
      <c r="Q15" s="1805" t="str">
        <f t="shared" si="6"/>
        <v>办公集聚程度</v>
      </c>
      <c r="R15" s="774" t="s">
        <v>17</v>
      </c>
      <c r="S15" s="775">
        <f t="shared" si="0"/>
        <v>100</v>
      </c>
      <c r="T15" s="774" t="s">
        <v>17</v>
      </c>
      <c r="U15" s="775">
        <f t="shared" si="1"/>
        <v>100</v>
      </c>
      <c r="V15" s="774" t="s">
        <v>17</v>
      </c>
      <c r="W15" s="775">
        <f t="shared" si="2"/>
        <v>100</v>
      </c>
      <c r="X15" s="1808"/>
      <c r="Y15" s="3219" t="s">
        <v>2561</v>
      </c>
      <c r="Z15" s="1809" t="str">
        <f t="shared" si="7"/>
        <v>办公集聚程度</v>
      </c>
      <c r="AA15" s="1806">
        <f t="shared" si="3"/>
        <v>1</v>
      </c>
      <c r="AB15" s="1806">
        <f t="shared" si="4"/>
        <v>1</v>
      </c>
      <c r="AC15" s="2669">
        <f t="shared" si="5"/>
        <v>1</v>
      </c>
    </row>
    <row r="16" spans="1:29" ht="15">
      <c r="A16" s="428"/>
      <c r="B16" s="630"/>
      <c r="C16" s="2606"/>
      <c r="D16" s="448"/>
      <c r="E16" s="447"/>
      <c r="F16" s="448"/>
      <c r="G16" s="2606"/>
      <c r="H16" s="450"/>
      <c r="I16" s="447"/>
      <c r="J16" s="448"/>
      <c r="K16" s="615"/>
      <c r="L16" s="1140"/>
      <c r="M16" s="1131"/>
      <c r="N16" s="1131"/>
      <c r="O16" s="1131"/>
      <c r="P16" s="3227"/>
      <c r="Q16" s="1805"/>
      <c r="R16" s="774"/>
      <c r="S16" s="775"/>
      <c r="T16" s="774"/>
      <c r="U16" s="775"/>
      <c r="V16" s="774"/>
      <c r="W16" s="775"/>
      <c r="X16" s="1808"/>
      <c r="Y16" s="3220"/>
      <c r="Z16" s="1809"/>
      <c r="AA16" s="1806">
        <v>1</v>
      </c>
      <c r="AB16" s="1806">
        <v>1</v>
      </c>
      <c r="AC16" s="2669">
        <v>1</v>
      </c>
    </row>
    <row r="17" spans="1:29" ht="71.25">
      <c r="A17" s="428"/>
      <c r="B17" s="631" t="s">
        <v>2096</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7"/>
      <c r="Q17" s="1805" t="str">
        <f>B17</f>
        <v>交通便捷度</v>
      </c>
      <c r="R17" s="774" t="s">
        <v>17</v>
      </c>
      <c r="S17" s="775">
        <f>F17</f>
        <v>100</v>
      </c>
      <c r="T17" s="774" t="s">
        <v>17</v>
      </c>
      <c r="U17" s="775">
        <f>H17</f>
        <v>100</v>
      </c>
      <c r="V17" s="774" t="s">
        <v>17</v>
      </c>
      <c r="W17" s="775">
        <f>J17</f>
        <v>100</v>
      </c>
      <c r="X17" s="1808"/>
      <c r="Y17" s="3220"/>
      <c r="Z17" s="1809" t="str">
        <f>Q17</f>
        <v>交通便捷度</v>
      </c>
      <c r="AA17" s="1806">
        <f t="shared" si="3"/>
        <v>1</v>
      </c>
      <c r="AB17" s="1806">
        <f t="shared" si="4"/>
        <v>1</v>
      </c>
      <c r="AC17" s="2669">
        <f t="shared" si="5"/>
        <v>1</v>
      </c>
    </row>
    <row r="18" spans="1:29" ht="15">
      <c r="A18" s="428"/>
      <c r="B18" s="632"/>
      <c r="C18" s="2671"/>
      <c r="D18" s="450"/>
      <c r="E18" s="2604"/>
      <c r="F18" s="450"/>
      <c r="G18" s="2605"/>
      <c r="H18" s="448"/>
      <c r="I18" s="2605"/>
      <c r="J18" s="448"/>
      <c r="K18" s="615"/>
      <c r="L18" s="1140"/>
      <c r="M18" s="1131"/>
      <c r="N18" s="1131"/>
      <c r="O18" s="1131"/>
      <c r="P18" s="3227"/>
      <c r="Q18" s="1805"/>
      <c r="R18" s="774"/>
      <c r="S18" s="775"/>
      <c r="T18" s="774"/>
      <c r="U18" s="775"/>
      <c r="V18" s="774"/>
      <c r="W18" s="775"/>
      <c r="X18" s="1808"/>
      <c r="Y18" s="3220"/>
      <c r="Z18" s="1809"/>
      <c r="AA18" s="1806">
        <v>1</v>
      </c>
      <c r="AB18" s="1806">
        <v>1</v>
      </c>
      <c r="AC18" s="2669">
        <v>1</v>
      </c>
    </row>
    <row r="19" spans="1:29" ht="42.75">
      <c r="A19" s="428"/>
      <c r="B19" s="631" t="s">
        <v>2689</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7"/>
      <c r="Q19" s="1805" t="str">
        <f>B19</f>
        <v>公共配套设施</v>
      </c>
      <c r="R19" s="774" t="s">
        <v>17</v>
      </c>
      <c r="S19" s="775">
        <f>F19</f>
        <v>100</v>
      </c>
      <c r="T19" s="774" t="s">
        <v>17</v>
      </c>
      <c r="U19" s="775">
        <f>H19</f>
        <v>100</v>
      </c>
      <c r="V19" s="774" t="s">
        <v>17</v>
      </c>
      <c r="W19" s="775">
        <f>J19</f>
        <v>100</v>
      </c>
      <c r="X19" s="1808"/>
      <c r="Y19" s="3220"/>
      <c r="Z19" s="1809" t="str">
        <f>Q19</f>
        <v>公共配套设施</v>
      </c>
      <c r="AA19" s="1806">
        <f t="shared" si="3"/>
        <v>1</v>
      </c>
      <c r="AB19" s="1806">
        <f t="shared" si="4"/>
        <v>1</v>
      </c>
      <c r="AC19" s="2669">
        <f t="shared" si="5"/>
        <v>1</v>
      </c>
    </row>
    <row r="20" spans="1:29" ht="15">
      <c r="A20" s="428"/>
      <c r="B20" s="632"/>
      <c r="C20" s="2606"/>
      <c r="D20" s="448"/>
      <c r="E20" s="2599"/>
      <c r="F20" s="448"/>
      <c r="G20" s="2600"/>
      <c r="H20" s="448"/>
      <c r="I20" s="2600"/>
      <c r="J20" s="448"/>
      <c r="K20" s="615"/>
      <c r="L20" s="1140"/>
      <c r="M20" s="1131"/>
      <c r="N20" s="1131"/>
      <c r="O20" s="1131"/>
      <c r="P20" s="3227"/>
      <c r="Q20" s="1805"/>
      <c r="R20" s="774"/>
      <c r="S20" s="775"/>
      <c r="T20" s="774"/>
      <c r="U20" s="775"/>
      <c r="V20" s="774"/>
      <c r="W20" s="775"/>
      <c r="X20" s="1808"/>
      <c r="Y20" s="3220"/>
      <c r="Z20" s="1809"/>
      <c r="AA20" s="1806">
        <v>1</v>
      </c>
      <c r="AB20" s="1806">
        <v>1</v>
      </c>
      <c r="AC20" s="2669">
        <v>1</v>
      </c>
    </row>
    <row r="21" spans="1:29" ht="28.5">
      <c r="A21" s="428"/>
      <c r="B21" s="633" t="s">
        <v>2690</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7"/>
      <c r="Q21" s="1805" t="str">
        <f>B21</f>
        <v>基础设施水平</v>
      </c>
      <c r="R21" s="774" t="s">
        <v>17</v>
      </c>
      <c r="S21" s="775">
        <f>F21</f>
        <v>100</v>
      </c>
      <c r="T21" s="774" t="s">
        <v>17</v>
      </c>
      <c r="U21" s="775">
        <f>H21</f>
        <v>100</v>
      </c>
      <c r="V21" s="774" t="s">
        <v>17</v>
      </c>
      <c r="W21" s="775">
        <f>J21</f>
        <v>100</v>
      </c>
      <c r="X21" s="1808"/>
      <c r="Y21" s="3220"/>
      <c r="Z21" s="1809" t="str">
        <f>Q21</f>
        <v>基础设施水平</v>
      </c>
      <c r="AA21" s="1806">
        <f>D21/F21</f>
        <v>1</v>
      </c>
      <c r="AB21" s="1806">
        <f>D21/H21</f>
        <v>1</v>
      </c>
      <c r="AC21" s="2669">
        <f>D21/J21</f>
        <v>1</v>
      </c>
    </row>
    <row r="22" spans="1:29" ht="15">
      <c r="A22" s="428"/>
      <c r="B22" s="633"/>
      <c r="C22" s="2671"/>
      <c r="D22" s="448"/>
      <c r="E22" s="447"/>
      <c r="F22" s="448"/>
      <c r="G22" s="2606"/>
      <c r="H22" s="448"/>
      <c r="I22" s="2606"/>
      <c r="J22" s="448"/>
      <c r="K22" s="1383"/>
      <c r="L22" s="1140"/>
      <c r="M22" s="1131"/>
      <c r="N22" s="1131"/>
      <c r="O22" s="1131"/>
      <c r="P22" s="3227"/>
      <c r="Q22" s="1805"/>
      <c r="R22" s="774"/>
      <c r="S22" s="775"/>
      <c r="T22" s="774"/>
      <c r="U22" s="775"/>
      <c r="V22" s="774"/>
      <c r="W22" s="775"/>
      <c r="X22" s="1808"/>
      <c r="Y22" s="3220"/>
      <c r="Z22" s="1809"/>
      <c r="AA22" s="1806">
        <v>1</v>
      </c>
      <c r="AB22" s="1806">
        <v>1</v>
      </c>
      <c r="AC22" s="2669">
        <v>1</v>
      </c>
    </row>
    <row r="23" spans="1:29" ht="42.75">
      <c r="A23" s="428"/>
      <c r="B23" s="631" t="s">
        <v>2691</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7"/>
      <c r="Q23" s="1805" t="str">
        <f>B23</f>
        <v>环境质量</v>
      </c>
      <c r="R23" s="774" t="s">
        <v>17</v>
      </c>
      <c r="S23" s="775">
        <f>F23</f>
        <v>100</v>
      </c>
      <c r="T23" s="774" t="s">
        <v>17</v>
      </c>
      <c r="U23" s="775">
        <f>H23</f>
        <v>100</v>
      </c>
      <c r="V23" s="774" t="s">
        <v>17</v>
      </c>
      <c r="W23" s="775">
        <f>J23</f>
        <v>100</v>
      </c>
      <c r="X23" s="1808"/>
      <c r="Y23" s="3220"/>
      <c r="Z23" s="1809" t="str">
        <f>Q23</f>
        <v>环境质量</v>
      </c>
      <c r="AA23" s="1806">
        <f t="shared" si="3"/>
        <v>1</v>
      </c>
      <c r="AB23" s="1806">
        <f t="shared" si="4"/>
        <v>1</v>
      </c>
      <c r="AC23" s="2669">
        <f t="shared" si="5"/>
        <v>1</v>
      </c>
    </row>
    <row r="24" spans="1:29" ht="15">
      <c r="A24" s="428"/>
      <c r="B24" s="633"/>
      <c r="C24" s="2606"/>
      <c r="D24" s="448"/>
      <c r="E24" s="2599"/>
      <c r="F24" s="448"/>
      <c r="G24" s="2600"/>
      <c r="H24" s="448"/>
      <c r="I24" s="2600"/>
      <c r="J24" s="448"/>
      <c r="K24" s="615"/>
      <c r="L24" s="1140"/>
      <c r="M24" s="1131"/>
      <c r="N24" s="1131"/>
      <c r="O24" s="1131"/>
      <c r="P24" s="3227"/>
      <c r="Q24" s="1805"/>
      <c r="R24" s="774"/>
      <c r="S24" s="775"/>
      <c r="T24" s="774"/>
      <c r="U24" s="775"/>
      <c r="V24" s="774"/>
      <c r="W24" s="775"/>
      <c r="X24" s="1808"/>
      <c r="Y24" s="3220"/>
      <c r="Z24" s="1809"/>
      <c r="AA24" s="1806">
        <v>1</v>
      </c>
      <c r="AB24" s="1806">
        <v>1</v>
      </c>
      <c r="AC24" s="2669">
        <v>1</v>
      </c>
    </row>
    <row r="25" spans="1:29" ht="27">
      <c r="A25" s="404"/>
      <c r="B25" s="631" t="s">
        <v>2692</v>
      </c>
      <c r="C25" s="2610"/>
      <c r="D25" s="435">
        <v>100</v>
      </c>
      <c r="E25" s="434"/>
      <c r="F25" s="435">
        <f>SUMIF(87:87,E26,88:88)-SUMIF(87:87,C26,88:88)+100</f>
        <v>100</v>
      </c>
      <c r="G25" s="2610"/>
      <c r="H25" s="435">
        <f>SUMIF(87:87,G26,88:88)-SUMIF(87:87,C26,88:88)+100</f>
        <v>100</v>
      </c>
      <c r="I25" s="434"/>
      <c r="J25" s="435">
        <f>SUMIF(87:87,I26,88:88)-SUMIF(87:87,C26,88:88)+100</f>
        <v>100</v>
      </c>
      <c r="K25" s="614"/>
      <c r="L25" s="1140"/>
      <c r="M25" s="1131"/>
      <c r="N25" s="1131"/>
      <c r="O25" s="1131"/>
      <c r="P25" s="3227"/>
      <c r="Q25" s="1805" t="str">
        <f>B25</f>
        <v>毗邻道路的类型与等级</v>
      </c>
      <c r="R25" s="774" t="s">
        <v>17</v>
      </c>
      <c r="S25" s="775">
        <f>F25</f>
        <v>100</v>
      </c>
      <c r="T25" s="774" t="s">
        <v>17</v>
      </c>
      <c r="U25" s="775">
        <f>H25</f>
        <v>100</v>
      </c>
      <c r="V25" s="774" t="s">
        <v>17</v>
      </c>
      <c r="W25" s="775">
        <f>J25</f>
        <v>100</v>
      </c>
      <c r="X25" s="1808"/>
      <c r="Y25" s="3220"/>
      <c r="Z25" s="1809" t="str">
        <f>Q25</f>
        <v>毗邻道路的类型与等级</v>
      </c>
      <c r="AA25" s="1806">
        <f t="shared" si="3"/>
        <v>1</v>
      </c>
      <c r="AB25" s="1806">
        <f t="shared" si="4"/>
        <v>1</v>
      </c>
      <c r="AC25" s="2669">
        <f t="shared" si="5"/>
        <v>1</v>
      </c>
    </row>
    <row r="26" spans="1:29" ht="15">
      <c r="A26" s="404"/>
      <c r="B26" s="632"/>
      <c r="C26" s="634"/>
      <c r="D26" s="435"/>
      <c r="E26" s="616"/>
      <c r="F26" s="435"/>
      <c r="G26" s="634"/>
      <c r="H26" s="435"/>
      <c r="I26" s="616"/>
      <c r="J26" s="435"/>
      <c r="K26" s="615"/>
      <c r="L26" s="1140"/>
      <c r="M26" s="1131"/>
      <c r="N26" s="1131"/>
      <c r="O26" s="1131"/>
      <c r="P26" s="3227"/>
      <c r="Q26" s="1805"/>
      <c r="R26" s="774"/>
      <c r="S26" s="775"/>
      <c r="T26" s="774"/>
      <c r="U26" s="775"/>
      <c r="V26" s="774"/>
      <c r="W26" s="775"/>
      <c r="X26" s="1808"/>
      <c r="Y26" s="3220"/>
      <c r="Z26" s="1809"/>
      <c r="AA26" s="1806">
        <v>1</v>
      </c>
      <c r="AB26" s="1806">
        <v>1</v>
      </c>
      <c r="AC26" s="2669">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7"/>
      <c r="Q27" s="1805" t="str">
        <f t="shared" ref="Q27:Q47" si="8">B27</f>
        <v>楼层</v>
      </c>
      <c r="R27" s="774" t="s">
        <v>17</v>
      </c>
      <c r="S27" s="775">
        <f>F27</f>
        <v>100</v>
      </c>
      <c r="T27" s="774" t="s">
        <v>17</v>
      </c>
      <c r="U27" s="775">
        <f>H27</f>
        <v>100</v>
      </c>
      <c r="V27" s="774" t="s">
        <v>17</v>
      </c>
      <c r="W27" s="775">
        <f>J27</f>
        <v>100</v>
      </c>
      <c r="X27" s="1808"/>
      <c r="Y27" s="3220"/>
      <c r="Z27" s="1809" t="str">
        <f>Q27</f>
        <v>楼层</v>
      </c>
      <c r="AA27" s="1806">
        <f t="shared" si="3"/>
        <v>1</v>
      </c>
      <c r="AB27" s="1806">
        <f t="shared" si="4"/>
        <v>1</v>
      </c>
      <c r="AC27" s="2669">
        <f t="shared" si="5"/>
        <v>1</v>
      </c>
    </row>
    <row r="28" spans="1:29" s="117" customFormat="1" ht="15">
      <c r="A28" s="431"/>
      <c r="B28" s="631" t="s">
        <v>2693</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227"/>
      <c r="Q28" s="1790" t="str">
        <f t="shared" si="8"/>
        <v>朝向</v>
      </c>
      <c r="R28" s="770" t="s">
        <v>17</v>
      </c>
      <c r="S28" s="771">
        <f>F28</f>
        <v>100</v>
      </c>
      <c r="T28" s="770" t="s">
        <v>17</v>
      </c>
      <c r="U28" s="771">
        <f>H28</f>
        <v>100</v>
      </c>
      <c r="V28" s="770" t="s">
        <v>17</v>
      </c>
      <c r="W28" s="771">
        <f>J28</f>
        <v>100</v>
      </c>
      <c r="X28" s="772"/>
      <c r="Y28" s="3220"/>
      <c r="Z28" s="55" t="str">
        <f>Q28</f>
        <v>朝向</v>
      </c>
      <c r="AA28" s="1806">
        <f>D28/F28</f>
        <v>1</v>
      </c>
      <c r="AB28" s="1806">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227"/>
      <c r="Q29" s="1805">
        <f t="shared" si="8"/>
        <v>111</v>
      </c>
      <c r="R29" s="774" t="s">
        <v>17</v>
      </c>
      <c r="S29" s="775">
        <f t="shared" ref="S29:S47" si="9">F29</f>
        <v>100</v>
      </c>
      <c r="T29" s="774" t="s">
        <v>17</v>
      </c>
      <c r="U29" s="775">
        <f t="shared" ref="U29:U47" si="10">H29</f>
        <v>100</v>
      </c>
      <c r="V29" s="774" t="s">
        <v>17</v>
      </c>
      <c r="W29" s="775">
        <f t="shared" ref="W29:W47" si="11">J29</f>
        <v>100</v>
      </c>
      <c r="X29" s="1808"/>
      <c r="Y29" s="3220"/>
      <c r="Z29" s="1809">
        <f t="shared" ref="Z29:Z47" si="12">Q29</f>
        <v>111</v>
      </c>
      <c r="AA29" s="1806">
        <f t="shared" si="3"/>
        <v>1</v>
      </c>
      <c r="AB29" s="1806">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227"/>
      <c r="Q30" s="1805">
        <f t="shared" si="8"/>
        <v>111</v>
      </c>
      <c r="R30" s="774" t="s">
        <v>17</v>
      </c>
      <c r="S30" s="775">
        <f t="shared" si="9"/>
        <v>100</v>
      </c>
      <c r="T30" s="774" t="s">
        <v>17</v>
      </c>
      <c r="U30" s="775">
        <f t="shared" si="10"/>
        <v>100</v>
      </c>
      <c r="V30" s="774" t="s">
        <v>17</v>
      </c>
      <c r="W30" s="775">
        <f t="shared" si="11"/>
        <v>100</v>
      </c>
      <c r="X30" s="1808"/>
      <c r="Y30" s="3220"/>
      <c r="Z30" s="1809">
        <f t="shared" si="12"/>
        <v>111</v>
      </c>
      <c r="AA30" s="1806">
        <f t="shared" si="3"/>
        <v>1</v>
      </c>
      <c r="AB30" s="1806">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227"/>
      <c r="Q31" s="1805">
        <f t="shared" si="8"/>
        <v>111</v>
      </c>
      <c r="R31" s="774" t="s">
        <v>17</v>
      </c>
      <c r="S31" s="775">
        <f t="shared" si="9"/>
        <v>100</v>
      </c>
      <c r="T31" s="774" t="s">
        <v>17</v>
      </c>
      <c r="U31" s="775">
        <f t="shared" si="10"/>
        <v>100</v>
      </c>
      <c r="V31" s="774" t="s">
        <v>17</v>
      </c>
      <c r="W31" s="775">
        <f t="shared" si="11"/>
        <v>100</v>
      </c>
      <c r="X31" s="1808"/>
      <c r="Y31" s="3220"/>
      <c r="Z31" s="1809">
        <f t="shared" si="12"/>
        <v>111</v>
      </c>
      <c r="AA31" s="1806">
        <f t="shared" si="3"/>
        <v>1</v>
      </c>
      <c r="AB31" s="1806">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227"/>
      <c r="Q32" s="1805">
        <f t="shared" si="8"/>
        <v>111</v>
      </c>
      <c r="R32" s="774" t="s">
        <v>17</v>
      </c>
      <c r="S32" s="775">
        <f t="shared" si="9"/>
        <v>100</v>
      </c>
      <c r="T32" s="774" t="s">
        <v>17</v>
      </c>
      <c r="U32" s="775">
        <f t="shared" si="10"/>
        <v>100</v>
      </c>
      <c r="V32" s="774" t="s">
        <v>17</v>
      </c>
      <c r="W32" s="775">
        <f t="shared" si="11"/>
        <v>100</v>
      </c>
      <c r="X32" s="1808"/>
      <c r="Y32" s="3220"/>
      <c r="Z32" s="1809">
        <f t="shared" si="12"/>
        <v>111</v>
      </c>
      <c r="AA32" s="1806">
        <f t="shared" si="3"/>
        <v>1</v>
      </c>
      <c r="AB32" s="1806">
        <f t="shared" si="4"/>
        <v>1</v>
      </c>
      <c r="AC32" s="2669">
        <f t="shared" si="5"/>
        <v>1</v>
      </c>
    </row>
    <row r="33" spans="1:29" ht="15">
      <c r="A33" s="440" t="s">
        <v>2564</v>
      </c>
      <c r="B33" s="71" t="s">
        <v>2694</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221" t="s">
        <v>2566</v>
      </c>
      <c r="Q33" s="1805" t="str">
        <f t="shared" si="8"/>
        <v>建筑类型</v>
      </c>
      <c r="R33" s="774" t="s">
        <v>17</v>
      </c>
      <c r="S33" s="775">
        <f t="shared" si="9"/>
        <v>100</v>
      </c>
      <c r="T33" s="774" t="s">
        <v>17</v>
      </c>
      <c r="U33" s="775">
        <f t="shared" si="10"/>
        <v>100</v>
      </c>
      <c r="V33" s="774" t="s">
        <v>17</v>
      </c>
      <c r="W33" s="775">
        <f t="shared" si="11"/>
        <v>100</v>
      </c>
      <c r="X33" s="1808"/>
      <c r="Y33" s="3224" t="s">
        <v>2566</v>
      </c>
      <c r="Z33" s="1809" t="str">
        <f t="shared" si="12"/>
        <v>建筑类型</v>
      </c>
      <c r="AA33" s="1806">
        <f t="shared" si="3"/>
        <v>1</v>
      </c>
      <c r="AB33" s="1806">
        <f t="shared" si="4"/>
        <v>1</v>
      </c>
      <c r="AC33" s="2669">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2"/>
      <c r="Q34" s="776" t="str">
        <f t="shared" si="8"/>
        <v>项目建筑规模</v>
      </c>
      <c r="R34" s="777" t="s">
        <v>17</v>
      </c>
      <c r="S34" s="778" t="e">
        <f t="shared" si="9"/>
        <v>#N/A</v>
      </c>
      <c r="T34" s="777" t="s">
        <v>17</v>
      </c>
      <c r="U34" s="778" t="e">
        <f t="shared" si="10"/>
        <v>#N/A</v>
      </c>
      <c r="V34" s="777" t="s">
        <v>17</v>
      </c>
      <c r="W34" s="778" t="e">
        <f t="shared" si="11"/>
        <v>#N/A</v>
      </c>
      <c r="X34" s="779"/>
      <c r="Y34" s="3224"/>
      <c r="Z34" s="780" t="str">
        <f t="shared" si="12"/>
        <v>项目建筑规模</v>
      </c>
      <c r="AA34" s="1806" t="e">
        <f t="shared" si="3"/>
        <v>#N/A</v>
      </c>
      <c r="AB34" s="1806" t="e">
        <f t="shared" si="4"/>
        <v>#N/A</v>
      </c>
      <c r="AC34" s="2669"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2"/>
      <c r="Q35" s="1805" t="str">
        <f t="shared" si="8"/>
        <v>建筑结构</v>
      </c>
      <c r="R35" s="774" t="s">
        <v>17</v>
      </c>
      <c r="S35" s="775">
        <f t="shared" si="9"/>
        <v>100</v>
      </c>
      <c r="T35" s="774" t="s">
        <v>17</v>
      </c>
      <c r="U35" s="775">
        <f t="shared" si="10"/>
        <v>100</v>
      </c>
      <c r="V35" s="774" t="s">
        <v>17</v>
      </c>
      <c r="W35" s="775">
        <f t="shared" si="11"/>
        <v>100</v>
      </c>
      <c r="X35" s="1808"/>
      <c r="Y35" s="3224"/>
      <c r="Z35" s="1809" t="str">
        <f t="shared" si="12"/>
        <v>建筑结构</v>
      </c>
      <c r="AA35" s="1806">
        <f t="shared" si="3"/>
        <v>1</v>
      </c>
      <c r="AB35" s="1806">
        <f t="shared" si="4"/>
        <v>1</v>
      </c>
      <c r="AC35" s="2669">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2"/>
      <c r="Q36" s="1805" t="str">
        <f t="shared" si="8"/>
        <v>公共部分装修</v>
      </c>
      <c r="R36" s="774" t="s">
        <v>17</v>
      </c>
      <c r="S36" s="775">
        <f t="shared" si="9"/>
        <v>100</v>
      </c>
      <c r="T36" s="774" t="s">
        <v>17</v>
      </c>
      <c r="U36" s="775">
        <f t="shared" si="10"/>
        <v>100</v>
      </c>
      <c r="V36" s="774" t="s">
        <v>17</v>
      </c>
      <c r="W36" s="775">
        <f t="shared" si="11"/>
        <v>100</v>
      </c>
      <c r="X36" s="1808"/>
      <c r="Y36" s="3224"/>
      <c r="Z36" s="1809" t="str">
        <f t="shared" si="12"/>
        <v>公共部分装修</v>
      </c>
      <c r="AA36" s="1806">
        <f t="shared" si="3"/>
        <v>1</v>
      </c>
      <c r="AB36" s="1806">
        <f t="shared" si="4"/>
        <v>1</v>
      </c>
      <c r="AC36" s="2669">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2"/>
      <c r="Q37" s="1805" t="str">
        <f t="shared" si="8"/>
        <v>成新度</v>
      </c>
      <c r="R37" s="774" t="s">
        <v>17</v>
      </c>
      <c r="S37" s="775" t="e">
        <f t="shared" si="9"/>
        <v>#N/A</v>
      </c>
      <c r="T37" s="774" t="s">
        <v>17</v>
      </c>
      <c r="U37" s="775" t="e">
        <f t="shared" si="10"/>
        <v>#N/A</v>
      </c>
      <c r="V37" s="774" t="s">
        <v>17</v>
      </c>
      <c r="W37" s="775" t="e">
        <f t="shared" si="11"/>
        <v>#N/A</v>
      </c>
      <c r="X37" s="1808"/>
      <c r="Y37" s="3224"/>
      <c r="Z37" s="1809" t="str">
        <f t="shared" si="12"/>
        <v>成新度</v>
      </c>
      <c r="AA37" s="1806" t="e">
        <f t="shared" si="3"/>
        <v>#N/A</v>
      </c>
      <c r="AB37" s="1806" t="e">
        <f t="shared" si="4"/>
        <v>#N/A</v>
      </c>
      <c r="AC37" s="2669"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2"/>
      <c r="Q38" s="1790" t="str">
        <f t="shared" si="8"/>
        <v>写字楼等级</v>
      </c>
      <c r="R38" s="770" t="s">
        <v>17</v>
      </c>
      <c r="S38" s="771">
        <f t="shared" si="9"/>
        <v>100</v>
      </c>
      <c r="T38" s="770" t="s">
        <v>17</v>
      </c>
      <c r="U38" s="771">
        <f t="shared" si="10"/>
        <v>100</v>
      </c>
      <c r="V38" s="770" t="s">
        <v>17</v>
      </c>
      <c r="W38" s="771">
        <f t="shared" si="11"/>
        <v>100</v>
      </c>
      <c r="X38" s="772"/>
      <c r="Y38" s="3224"/>
      <c r="Z38" s="55" t="str">
        <f t="shared" si="12"/>
        <v>写字楼等级</v>
      </c>
      <c r="AA38" s="773">
        <f t="shared" si="3"/>
        <v>1</v>
      </c>
      <c r="AB38" s="773">
        <f t="shared" si="4"/>
        <v>1</v>
      </c>
      <c r="AC38" s="2666">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2" t="s">
        <v>2566</v>
      </c>
      <c r="Q39" s="1805" t="str">
        <f t="shared" si="8"/>
        <v>物业管理</v>
      </c>
      <c r="R39" s="774" t="s">
        <v>17</v>
      </c>
      <c r="S39" s="775">
        <f t="shared" si="9"/>
        <v>100</v>
      </c>
      <c r="T39" s="774" t="s">
        <v>17</v>
      </c>
      <c r="U39" s="775">
        <f t="shared" si="10"/>
        <v>100</v>
      </c>
      <c r="V39" s="774" t="s">
        <v>17</v>
      </c>
      <c r="W39" s="775">
        <f t="shared" si="11"/>
        <v>100</v>
      </c>
      <c r="X39" s="1808"/>
      <c r="Y39" s="3224" t="s">
        <v>2566</v>
      </c>
      <c r="Z39" s="1809" t="str">
        <f t="shared" si="12"/>
        <v>物业管理</v>
      </c>
      <c r="AA39" s="1806">
        <f t="shared" si="3"/>
        <v>1</v>
      </c>
      <c r="AB39" s="1806">
        <f t="shared" si="4"/>
        <v>1</v>
      </c>
      <c r="AC39" s="2669">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2"/>
      <c r="Q40" s="1805" t="str">
        <f t="shared" si="8"/>
        <v>市政基础设施</v>
      </c>
      <c r="R40" s="774" t="s">
        <v>17</v>
      </c>
      <c r="S40" s="775">
        <f t="shared" si="9"/>
        <v>100</v>
      </c>
      <c r="T40" s="774" t="s">
        <v>17</v>
      </c>
      <c r="U40" s="775">
        <f t="shared" si="10"/>
        <v>100</v>
      </c>
      <c r="V40" s="774" t="s">
        <v>17</v>
      </c>
      <c r="W40" s="775">
        <f t="shared" si="11"/>
        <v>100</v>
      </c>
      <c r="X40" s="1808"/>
      <c r="Y40" s="3224"/>
      <c r="Z40" s="1809" t="str">
        <f t="shared" si="12"/>
        <v>市政基础设施</v>
      </c>
      <c r="AA40" s="1806">
        <f t="shared" si="3"/>
        <v>1</v>
      </c>
      <c r="AB40" s="1806">
        <f t="shared" si="4"/>
        <v>1</v>
      </c>
      <c r="AC40" s="2669">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2"/>
      <c r="Q41" s="1805" t="str">
        <f t="shared" si="8"/>
        <v>层高</v>
      </c>
      <c r="R41" s="774" t="s">
        <v>17</v>
      </c>
      <c r="S41" s="775">
        <f t="shared" si="9"/>
        <v>100</v>
      </c>
      <c r="T41" s="774" t="s">
        <v>17</v>
      </c>
      <c r="U41" s="775">
        <f t="shared" si="10"/>
        <v>100</v>
      </c>
      <c r="V41" s="774" t="s">
        <v>17</v>
      </c>
      <c r="W41" s="775">
        <f t="shared" si="11"/>
        <v>100</v>
      </c>
      <c r="X41" s="1808"/>
      <c r="Y41" s="3224"/>
      <c r="Z41" s="1809" t="str">
        <f t="shared" si="12"/>
        <v>层高</v>
      </c>
      <c r="AA41" s="1806">
        <f t="shared" si="3"/>
        <v>1</v>
      </c>
      <c r="AB41" s="1806">
        <f t="shared" si="4"/>
        <v>1</v>
      </c>
      <c r="AC41" s="2669">
        <f t="shared" si="5"/>
        <v>1</v>
      </c>
    </row>
    <row r="42" spans="1:29" s="471" customFormat="1" ht="15">
      <c r="A42" s="468"/>
      <c r="B42" s="1807"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2"/>
      <c r="Q42" s="776" t="str">
        <f t="shared" si="8"/>
        <v>单套建筑面积</v>
      </c>
      <c r="R42" s="777" t="s">
        <v>17</v>
      </c>
      <c r="S42" s="778">
        <f t="shared" si="9"/>
        <v>100</v>
      </c>
      <c r="T42" s="777" t="s">
        <v>17</v>
      </c>
      <c r="U42" s="778">
        <f t="shared" si="10"/>
        <v>100</v>
      </c>
      <c r="V42" s="777" t="s">
        <v>17</v>
      </c>
      <c r="W42" s="778">
        <f t="shared" si="11"/>
        <v>100</v>
      </c>
      <c r="X42" s="779"/>
      <c r="Y42" s="3224"/>
      <c r="Z42" s="780" t="str">
        <f t="shared" si="12"/>
        <v>单套建筑面积</v>
      </c>
      <c r="AA42" s="1806">
        <f t="shared" si="3"/>
        <v>1</v>
      </c>
      <c r="AB42" s="1806">
        <f t="shared" si="4"/>
        <v>1</v>
      </c>
      <c r="AC42" s="2669">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2"/>
      <c r="Q43" s="1805" t="str">
        <f t="shared" si="8"/>
        <v>内部装修</v>
      </c>
      <c r="R43" s="774" t="s">
        <v>17</v>
      </c>
      <c r="S43" s="775">
        <f t="shared" si="9"/>
        <v>100</v>
      </c>
      <c r="T43" s="774" t="s">
        <v>17</v>
      </c>
      <c r="U43" s="775">
        <f t="shared" si="10"/>
        <v>100</v>
      </c>
      <c r="V43" s="774" t="s">
        <v>17</v>
      </c>
      <c r="W43" s="775">
        <f t="shared" si="11"/>
        <v>100</v>
      </c>
      <c r="X43" s="1808"/>
      <c r="Y43" s="3224"/>
      <c r="Z43" s="1809" t="str">
        <f t="shared" si="12"/>
        <v>内部装修</v>
      </c>
      <c r="AA43" s="1806">
        <f t="shared" si="3"/>
        <v>1</v>
      </c>
      <c r="AB43" s="1806">
        <f t="shared" si="4"/>
        <v>1</v>
      </c>
      <c r="AC43" s="2669">
        <f t="shared" si="5"/>
        <v>1</v>
      </c>
    </row>
    <row r="44" spans="1:29" ht="15">
      <c r="A44" s="472"/>
      <c r="B44" s="422" t="s">
        <v>2577</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0"/>
      <c r="M44" s="1131"/>
      <c r="N44" s="1131"/>
      <c r="O44" s="1131"/>
      <c r="P44" s="3222"/>
      <c r="Q44" s="1805" t="str">
        <f t="shared" si="8"/>
        <v>内部装修维护情况</v>
      </c>
      <c r="R44" s="774" t="s">
        <v>17</v>
      </c>
      <c r="S44" s="775">
        <f t="shared" si="9"/>
        <v>100</v>
      </c>
      <c r="T44" s="774" t="s">
        <v>17</v>
      </c>
      <c r="U44" s="775">
        <f t="shared" si="10"/>
        <v>100</v>
      </c>
      <c r="V44" s="774" t="s">
        <v>17</v>
      </c>
      <c r="W44" s="775">
        <f t="shared" si="11"/>
        <v>100</v>
      </c>
      <c r="X44" s="1808"/>
      <c r="Y44" s="3224"/>
      <c r="Z44" s="1809" t="str">
        <f t="shared" si="12"/>
        <v>内部装修维护情况</v>
      </c>
      <c r="AA44" s="1806">
        <f t="shared" si="3"/>
        <v>1</v>
      </c>
      <c r="AB44" s="1806">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2"/>
      <c r="Q45" s="1790">
        <f t="shared" si="8"/>
        <v>111</v>
      </c>
      <c r="R45" s="770" t="s">
        <v>17</v>
      </c>
      <c r="S45" s="771">
        <f t="shared" si="9"/>
        <v>100</v>
      </c>
      <c r="T45" s="770" t="s">
        <v>17</v>
      </c>
      <c r="U45" s="771">
        <f t="shared" si="10"/>
        <v>100</v>
      </c>
      <c r="V45" s="770" t="s">
        <v>17</v>
      </c>
      <c r="W45" s="771">
        <f t="shared" si="11"/>
        <v>100</v>
      </c>
      <c r="X45" s="772"/>
      <c r="Y45" s="3224"/>
      <c r="Z45" s="55">
        <f t="shared" si="12"/>
        <v>111</v>
      </c>
      <c r="AA45" s="773">
        <f t="shared" si="3"/>
        <v>1</v>
      </c>
      <c r="AB45" s="773">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2"/>
      <c r="Q46" s="1805">
        <f t="shared" si="8"/>
        <v>111</v>
      </c>
      <c r="R46" s="774" t="s">
        <v>17</v>
      </c>
      <c r="S46" s="775">
        <f t="shared" si="9"/>
        <v>100</v>
      </c>
      <c r="T46" s="774" t="s">
        <v>17</v>
      </c>
      <c r="U46" s="775">
        <f t="shared" si="10"/>
        <v>100</v>
      </c>
      <c r="V46" s="774" t="s">
        <v>17</v>
      </c>
      <c r="W46" s="775">
        <f t="shared" si="11"/>
        <v>100</v>
      </c>
      <c r="X46" s="1808"/>
      <c r="Y46" s="3224"/>
      <c r="Z46" s="1809">
        <f t="shared" si="12"/>
        <v>111</v>
      </c>
      <c r="AA46" s="1806">
        <f t="shared" si="3"/>
        <v>1</v>
      </c>
      <c r="AB46" s="1806">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3"/>
      <c r="Q47" s="1805">
        <f t="shared" si="8"/>
        <v>111</v>
      </c>
      <c r="R47" s="774" t="s">
        <v>17</v>
      </c>
      <c r="S47" s="775">
        <f t="shared" si="9"/>
        <v>100</v>
      </c>
      <c r="T47" s="774" t="s">
        <v>17</v>
      </c>
      <c r="U47" s="775">
        <f t="shared" si="10"/>
        <v>100</v>
      </c>
      <c r="V47" s="774" t="s">
        <v>17</v>
      </c>
      <c r="W47" s="775">
        <f t="shared" si="11"/>
        <v>100</v>
      </c>
      <c r="X47" s="1808"/>
      <c r="Y47" s="3225"/>
      <c r="Z47" s="1809">
        <f t="shared" si="12"/>
        <v>111</v>
      </c>
      <c r="AA47" s="1806">
        <f t="shared" si="3"/>
        <v>1</v>
      </c>
      <c r="AB47" s="1806">
        <f t="shared" si="4"/>
        <v>1</v>
      </c>
      <c r="AC47" s="2669">
        <f t="shared" si="5"/>
        <v>1</v>
      </c>
    </row>
    <row r="48" spans="1:29" ht="15">
      <c r="A48" s="479" t="s">
        <v>2578</v>
      </c>
      <c r="B48" s="480"/>
      <c r="C48" s="1407" t="s">
        <v>1</v>
      </c>
      <c r="D48" s="1408"/>
      <c r="E48" s="1409"/>
      <c r="F48" s="1410"/>
      <c r="G48" s="1411"/>
      <c r="H48" s="1412"/>
      <c r="I48" s="1409"/>
      <c r="J48" s="485"/>
      <c r="K48" s="783"/>
      <c r="L48" s="1143"/>
      <c r="M48" s="1131"/>
      <c r="N48" s="1131"/>
      <c r="O48" s="1131"/>
      <c r="P48" s="3199" t="str">
        <f>A48</f>
        <v>成交单价（元/平方米）</v>
      </c>
      <c r="Q48" s="3217"/>
      <c r="R48" s="3218">
        <f>E48</f>
        <v>0</v>
      </c>
      <c r="S48" s="3218"/>
      <c r="T48" s="3218">
        <f>G48</f>
        <v>0</v>
      </c>
      <c r="U48" s="3218"/>
      <c r="V48" s="3218">
        <f>I48</f>
        <v>0</v>
      </c>
      <c r="W48" s="3218"/>
      <c r="X48" s="446"/>
      <c r="Y48" s="781"/>
      <c r="Z48" s="446"/>
      <c r="AA48" s="446"/>
      <c r="AB48" s="446"/>
      <c r="AC48" s="630"/>
    </row>
    <row r="49" spans="1:29" ht="15.75" thickBot="1">
      <c r="A49" s="486" t="s">
        <v>2670</v>
      </c>
      <c r="B49" s="487"/>
      <c r="C49" s="1413" t="e">
        <f>R50</f>
        <v>#DIV/0!</v>
      </c>
      <c r="D49" s="1414"/>
      <c r="E49" s="1415" t="e">
        <f>R49</f>
        <v>#DIV/0!</v>
      </c>
      <c r="F49" s="1415"/>
      <c r="G49" s="1413" t="e">
        <f>T49</f>
        <v>#DIV/0!</v>
      </c>
      <c r="H49" s="1414"/>
      <c r="I49" s="1415" t="e">
        <f>V49</f>
        <v>#DIV/0!</v>
      </c>
      <c r="J49" s="489"/>
      <c r="K49" s="784"/>
      <c r="L49" s="1143"/>
      <c r="M49" s="1131"/>
      <c r="N49" s="1131"/>
      <c r="O49" s="1131"/>
      <c r="P49" s="3199"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6"/>
      <c r="Y49" s="446"/>
      <c r="Z49" s="446"/>
      <c r="AA49" s="446"/>
      <c r="AB49" s="446"/>
      <c r="AC49" s="630"/>
    </row>
    <row r="50" spans="1:29" ht="15.75" thickBot="1">
      <c r="A50" s="492" t="s">
        <v>2671</v>
      </c>
      <c r="B50" s="493"/>
      <c r="C50" s="1417" t="e">
        <f>R50</f>
        <v>#DIV/0!</v>
      </c>
      <c r="D50" s="1417"/>
      <c r="E50" s="1417"/>
      <c r="F50" s="1417"/>
      <c r="G50" s="1417"/>
      <c r="H50" s="1417"/>
      <c r="I50" s="1417"/>
      <c r="J50" s="494"/>
      <c r="K50" s="785"/>
      <c r="L50" s="1143"/>
      <c r="M50" s="1131"/>
      <c r="N50" s="1131"/>
      <c r="O50" s="1131"/>
      <c r="P50" s="3240" t="str">
        <f>A50</f>
        <v>估价对象XX用房的比较价值（楼面单价，元/平方米）</v>
      </c>
      <c r="Q50" s="3241"/>
      <c r="R50" s="3242" t="e">
        <f>IF(F1="售价",ROUND(AVERAGE(R49:V49),0),ROUND(AVERAGE(R49:V49),1))</f>
        <v>#DIV/0!</v>
      </c>
      <c r="S50" s="3242"/>
      <c r="T50" s="3242"/>
      <c r="U50" s="3242"/>
      <c r="V50" s="3242"/>
      <c r="W50" s="3242"/>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76"/>
      <c r="Q58" s="504"/>
    </row>
    <row r="59" spans="1:29" s="508" customFormat="1" ht="15">
      <c r="A59" s="505" t="s">
        <v>2549</v>
      </c>
      <c r="B59" s="506"/>
      <c r="C59" s="1569" t="str">
        <f>YEAR(C7)&amp;"-"&amp;MONTH(C7)</f>
        <v>2020-3</v>
      </c>
      <c r="D59" s="1570">
        <f>EDATE(C59,-1)</f>
        <v>43862</v>
      </c>
      <c r="E59" s="1570">
        <f>EDATE(D59,-1)</f>
        <v>43831</v>
      </c>
      <c r="F59" s="1570">
        <f t="shared" ref="F59:O59" si="13">EDATE(E59,-1)</f>
        <v>43800</v>
      </c>
      <c r="G59" s="1570">
        <f t="shared" si="13"/>
        <v>43770</v>
      </c>
      <c r="H59" s="1570">
        <f t="shared" si="13"/>
        <v>43739</v>
      </c>
      <c r="I59" s="1570">
        <f t="shared" si="13"/>
        <v>43709</v>
      </c>
      <c r="J59" s="1570">
        <f t="shared" si="13"/>
        <v>43678</v>
      </c>
      <c r="K59" s="1570">
        <f t="shared" si="13"/>
        <v>43647</v>
      </c>
      <c r="L59" s="1570">
        <f t="shared" si="13"/>
        <v>43617</v>
      </c>
      <c r="M59" s="1570">
        <f t="shared" si="13"/>
        <v>43586</v>
      </c>
      <c r="N59" s="1570">
        <f t="shared" si="13"/>
        <v>43556</v>
      </c>
      <c r="O59" s="1570">
        <f t="shared" si="13"/>
        <v>43525</v>
      </c>
      <c r="P59" s="1566"/>
    </row>
    <row r="60" spans="1:29" s="117" customFormat="1" ht="15">
      <c r="A60" s="509"/>
      <c r="B60" s="510"/>
      <c r="C60" s="1568">
        <v>100</v>
      </c>
      <c r="D60" s="512"/>
      <c r="E60" s="512"/>
      <c r="F60" s="512"/>
      <c r="G60" s="512"/>
      <c r="H60" s="512"/>
      <c r="I60" s="512"/>
      <c r="J60" s="512"/>
      <c r="K60" s="512"/>
      <c r="L60" s="512"/>
      <c r="M60" s="513"/>
      <c r="N60" s="512"/>
      <c r="O60" s="513"/>
      <c r="P60" s="2677"/>
    </row>
    <row r="61" spans="1:29" s="117" customFormat="1" ht="15.75" thickBot="1">
      <c r="A61" s="515" t="s">
        <v>2586</v>
      </c>
      <c r="B61" s="516"/>
      <c r="C61" s="517"/>
      <c r="D61" s="518"/>
      <c r="E61" s="518"/>
      <c r="F61" s="518"/>
      <c r="G61" s="518"/>
      <c r="H61" s="518"/>
      <c r="I61" s="518"/>
      <c r="J61" s="518"/>
      <c r="K61" s="518"/>
      <c r="L61" s="518"/>
      <c r="M61" s="519"/>
      <c r="N61" s="518"/>
      <c r="O61" s="519"/>
      <c r="P61" s="2677"/>
      <c r="Q61" s="504"/>
    </row>
    <row r="62" spans="1:29" s="117" customFormat="1" ht="15">
      <c r="A62" s="521" t="s">
        <v>2551</v>
      </c>
      <c r="B62" s="510"/>
      <c r="C62" s="522" t="s">
        <v>2653</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2589</v>
      </c>
      <c r="B64" s="528" t="s">
        <v>2555</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2559</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2700</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2564</v>
      </c>
      <c r="B101" s="528" t="s">
        <v>2613</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79"/>
      <c r="Q102" s="504"/>
    </row>
    <row r="103" spans="1:17" ht="15.75" thickTop="1">
      <c r="A103" s="534"/>
      <c r="B103" s="538" t="s">
        <v>2614</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2615</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79"/>
      <c r="Q107" s="504"/>
    </row>
    <row r="108" spans="1:17" ht="15" thickTop="1">
      <c r="A108" s="599"/>
      <c r="B108" s="538" t="s">
        <v>2617</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7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79"/>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80"/>
      <c r="Q114" s="559"/>
    </row>
    <row r="115" spans="1:17" ht="15" thickTop="1">
      <c r="A115" s="599"/>
      <c r="B115" s="538" t="s">
        <v>2618</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79"/>
      <c r="Q116" s="504"/>
    </row>
    <row r="117" spans="1:17" ht="15" thickTop="1">
      <c r="A117" s="599"/>
      <c r="B117" s="538" t="s">
        <v>2619</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2702</v>
      </c>
      <c r="C119" s="583"/>
      <c r="D119" s="583"/>
      <c r="E119" s="583"/>
      <c r="F119" s="583"/>
      <c r="G119" s="583"/>
      <c r="H119" s="583"/>
      <c r="I119" s="583"/>
      <c r="J119" s="583"/>
      <c r="K119" s="583"/>
      <c r="L119" s="2684"/>
      <c r="M119" s="2685"/>
      <c r="N119" s="1153"/>
      <c r="O119" s="1153"/>
      <c r="P119" s="2686"/>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79"/>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2621</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7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2529</v>
      </c>
      <c r="B1" s="2664" t="s">
        <v>2703</v>
      </c>
      <c r="C1" s="1615" t="s">
        <v>2531</v>
      </c>
      <c r="D1" s="1616"/>
      <c r="E1" s="1625"/>
      <c r="F1" s="2579"/>
      <c r="G1" s="1626" t="s">
        <v>2644</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2328</v>
      </c>
      <c r="B2" s="1418" t="e">
        <f ca="1">IF(C2="——",ROUND(C43*D3/10000,0),ROUND(C43*D3/10000,0)-D2)</f>
        <v>#DIV/0!</v>
      </c>
      <c r="C2" s="2581"/>
      <c r="D2" s="1124" t="e">
        <f ca="1">SUMIF(INDIRECT("'"&amp;F2&amp;"'"&amp;"!A:A"),"承租人权益价值",INDIRECT("'"&amp;F2&amp;"'"&amp;"!c:c"))</f>
        <v>#REF!</v>
      </c>
      <c r="E2" s="2582" t="s">
        <v>2329</v>
      </c>
      <c r="F2" s="2583"/>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23014.799999999999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00" t="s">
        <v>2647</v>
      </c>
      <c r="D4" s="3201"/>
      <c r="E4" s="3202" t="s">
        <v>2648</v>
      </c>
      <c r="F4" s="3203"/>
      <c r="G4" s="3200" t="s">
        <v>2649</v>
      </c>
      <c r="H4" s="3201"/>
      <c r="I4" s="3200" t="s">
        <v>2650</v>
      </c>
      <c r="J4" s="3201"/>
      <c r="K4" s="610" t="s">
        <v>2651</v>
      </c>
      <c r="L4" s="1130"/>
      <c r="M4" s="1131"/>
      <c r="N4" s="1131"/>
      <c r="O4" s="1131"/>
      <c r="P4" s="3204" t="s">
        <v>2652</v>
      </c>
      <c r="Q4" s="3205"/>
      <c r="R4" s="3187" t="s">
        <v>2648</v>
      </c>
      <c r="S4" s="3188"/>
      <c r="T4" s="3187" t="s">
        <v>2649</v>
      </c>
      <c r="U4" s="3188"/>
      <c r="V4" s="3212" t="s">
        <v>2650</v>
      </c>
      <c r="W4" s="3212"/>
      <c r="X4" s="1808"/>
      <c r="Y4" s="3187" t="s">
        <v>2652</v>
      </c>
      <c r="Z4" s="3188"/>
      <c r="AA4" s="3182" t="s">
        <v>2648</v>
      </c>
      <c r="AB4" s="3183" t="s">
        <v>2649</v>
      </c>
      <c r="AC4" s="3182" t="s">
        <v>2650</v>
      </c>
    </row>
    <row r="5" spans="1:29" ht="15">
      <c r="A5" s="404"/>
      <c r="B5" s="405"/>
      <c r="C5" s="3193" t="s">
        <v>2543</v>
      </c>
      <c r="D5" s="3194"/>
      <c r="E5" s="3191" t="s">
        <v>2544</v>
      </c>
      <c r="F5" s="3192"/>
      <c r="G5" s="3193" t="s">
        <v>2545</v>
      </c>
      <c r="H5" s="3194"/>
      <c r="I5" s="3193" t="s">
        <v>2546</v>
      </c>
      <c r="J5" s="3194"/>
      <c r="K5" s="610"/>
      <c r="L5" s="1130"/>
      <c r="M5" s="1131"/>
      <c r="N5" s="1131"/>
      <c r="O5" s="1131"/>
      <c r="P5" s="3206"/>
      <c r="Q5" s="3207"/>
      <c r="R5" s="3189"/>
      <c r="S5" s="3190"/>
      <c r="T5" s="3189"/>
      <c r="U5" s="3190"/>
      <c r="V5" s="3212"/>
      <c r="W5" s="3212"/>
      <c r="X5" s="1808"/>
      <c r="Y5" s="3189"/>
      <c r="Z5" s="3190"/>
      <c r="AA5" s="3183"/>
      <c r="AB5" s="3183"/>
      <c r="AC5" s="3183"/>
    </row>
    <row r="6" spans="1:29" ht="15.75" thickBot="1">
      <c r="A6" s="406"/>
      <c r="B6" s="407"/>
      <c r="C6" s="3195" t="s">
        <v>2547</v>
      </c>
      <c r="D6" s="3196"/>
      <c r="E6" s="3197" t="s">
        <v>2547</v>
      </c>
      <c r="F6" s="3198"/>
      <c r="G6" s="3195" t="s">
        <v>2547</v>
      </c>
      <c r="H6" s="3196"/>
      <c r="I6" s="3195" t="s">
        <v>2547</v>
      </c>
      <c r="J6" s="3196"/>
      <c r="K6" s="610" t="s">
        <v>2548</v>
      </c>
      <c r="L6" s="1130"/>
      <c r="M6" s="1131"/>
      <c r="N6" s="1131"/>
      <c r="O6" s="1131"/>
      <c r="P6" s="3208"/>
      <c r="Q6" s="3209"/>
      <c r="R6" s="3189"/>
      <c r="S6" s="3190"/>
      <c r="T6" s="3210"/>
      <c r="U6" s="3211"/>
      <c r="V6" s="3212"/>
      <c r="W6" s="3212"/>
      <c r="X6" s="1808"/>
      <c r="Y6" s="3210"/>
      <c r="Z6" s="3211"/>
      <c r="AA6" s="3184"/>
      <c r="AB6" s="3184"/>
      <c r="AC6" s="3184"/>
    </row>
    <row r="7" spans="1:29" s="117" customFormat="1" ht="15.75" thickBot="1">
      <c r="A7" s="408" t="s">
        <v>2549</v>
      </c>
      <c r="B7" s="409"/>
      <c r="C7" s="410">
        <f>'数据-取费表'!B2</f>
        <v>43894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5" t="s">
        <v>2550</v>
      </c>
      <c r="Q7" s="3213"/>
      <c r="R7" s="770" t="s">
        <v>17</v>
      </c>
      <c r="S7" s="771">
        <f t="shared" ref="S7:S15" si="0">F7</f>
        <v>0</v>
      </c>
      <c r="T7" s="770" t="s">
        <v>17</v>
      </c>
      <c r="U7" s="771">
        <f t="shared" ref="U7:U15" si="1">H7</f>
        <v>0</v>
      </c>
      <c r="V7" s="770" t="s">
        <v>17</v>
      </c>
      <c r="W7" s="771">
        <f t="shared" ref="W7:W15" si="2">J7</f>
        <v>0</v>
      </c>
      <c r="X7" s="772"/>
      <c r="Y7" s="3185" t="s">
        <v>2550</v>
      </c>
      <c r="Z7" s="318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5" t="s">
        <v>2553</v>
      </c>
      <c r="Q8" s="3186"/>
      <c r="R8" s="770" t="s">
        <v>17</v>
      </c>
      <c r="S8" s="771">
        <f t="shared" si="0"/>
        <v>0</v>
      </c>
      <c r="T8" s="770" t="s">
        <v>17</v>
      </c>
      <c r="U8" s="771">
        <f t="shared" si="1"/>
        <v>0</v>
      </c>
      <c r="V8" s="770" t="s">
        <v>17</v>
      </c>
      <c r="W8" s="771">
        <f t="shared" si="2"/>
        <v>0</v>
      </c>
      <c r="X8" s="772"/>
      <c r="Y8" s="3185" t="s">
        <v>2553</v>
      </c>
      <c r="Z8" s="318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7" t="s">
        <v>2556</v>
      </c>
      <c r="Q9" s="1790" t="str">
        <f t="shared" ref="Q9:Q15" si="6">B9</f>
        <v>用途</v>
      </c>
      <c r="R9" s="770" t="s">
        <v>17</v>
      </c>
      <c r="S9" s="771">
        <f t="shared" si="0"/>
        <v>100</v>
      </c>
      <c r="T9" s="770" t="s">
        <v>17</v>
      </c>
      <c r="U9" s="771">
        <f t="shared" si="1"/>
        <v>100</v>
      </c>
      <c r="V9" s="770" t="s">
        <v>17</v>
      </c>
      <c r="W9" s="771">
        <f t="shared" si="2"/>
        <v>100</v>
      </c>
      <c r="X9" s="772"/>
      <c r="Y9" s="303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7"/>
      <c r="Q10" s="1790"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7"/>
      <c r="Q11" s="1790"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17"/>
      <c r="Q12" s="1790">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17"/>
      <c r="Q13" s="1790">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17"/>
      <c r="Q14" s="1790">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2560</v>
      </c>
      <c r="B15" s="69" t="s">
        <v>2704</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9" t="s">
        <v>2561</v>
      </c>
      <c r="Q15" s="1805" t="str">
        <f t="shared" si="6"/>
        <v>产业集聚程度</v>
      </c>
      <c r="R15" s="774" t="s">
        <v>17</v>
      </c>
      <c r="S15" s="775">
        <f t="shared" si="0"/>
        <v>100</v>
      </c>
      <c r="T15" s="774" t="s">
        <v>17</v>
      </c>
      <c r="U15" s="775">
        <f t="shared" si="1"/>
        <v>100</v>
      </c>
      <c r="V15" s="774" t="s">
        <v>17</v>
      </c>
      <c r="W15" s="775">
        <f t="shared" si="2"/>
        <v>100</v>
      </c>
      <c r="X15" s="1808"/>
      <c r="Y15" s="3219" t="s">
        <v>2561</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9"/>
      <c r="P16" s="3220"/>
      <c r="Q16" s="1805"/>
      <c r="R16" s="774"/>
      <c r="S16" s="775"/>
      <c r="T16" s="774"/>
      <c r="U16" s="775"/>
      <c r="V16" s="774"/>
      <c r="W16" s="775"/>
      <c r="X16" s="1808"/>
      <c r="Y16" s="3220"/>
      <c r="Z16" s="1809"/>
      <c r="AA16" s="1806">
        <v>1</v>
      </c>
      <c r="AB16" s="1806">
        <v>1</v>
      </c>
      <c r="AC16" s="1806">
        <v>1</v>
      </c>
    </row>
    <row r="17" spans="1:29" ht="85.5">
      <c r="A17" s="428"/>
      <c r="B17" s="451" t="s">
        <v>2096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0"/>
      <c r="Q17" s="1805" t="str">
        <f>B17</f>
        <v>交通便捷度</v>
      </c>
      <c r="R17" s="774" t="s">
        <v>17</v>
      </c>
      <c r="S17" s="775">
        <f>F17</f>
        <v>100</v>
      </c>
      <c r="T17" s="774" t="s">
        <v>17</v>
      </c>
      <c r="U17" s="775">
        <f>H17</f>
        <v>100</v>
      </c>
      <c r="V17" s="774" t="s">
        <v>17</v>
      </c>
      <c r="W17" s="775">
        <f>J17</f>
        <v>100</v>
      </c>
      <c r="X17" s="1808"/>
      <c r="Y17" s="3220"/>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40"/>
      <c r="M18" s="1131"/>
      <c r="N18" s="1131"/>
      <c r="O18" s="1139"/>
      <c r="P18" s="3220"/>
      <c r="Q18" s="1805"/>
      <c r="R18" s="774"/>
      <c r="S18" s="775"/>
      <c r="T18" s="774"/>
      <c r="U18" s="775"/>
      <c r="V18" s="774"/>
      <c r="W18" s="775"/>
      <c r="X18" s="1808"/>
      <c r="Y18" s="3220"/>
      <c r="Z18" s="1809"/>
      <c r="AA18" s="1806">
        <v>1</v>
      </c>
      <c r="AB18" s="1806">
        <v>1</v>
      </c>
      <c r="AC18" s="1806">
        <v>1</v>
      </c>
    </row>
    <row r="19" spans="1:29" ht="42.75">
      <c r="A19" s="428"/>
      <c r="B19" s="451" t="s">
        <v>2689</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0"/>
      <c r="Q19" s="1805" t="str">
        <f>B19</f>
        <v>公共配套设施</v>
      </c>
      <c r="R19" s="774" t="s">
        <v>17</v>
      </c>
      <c r="S19" s="775">
        <f>F19</f>
        <v>100</v>
      </c>
      <c r="T19" s="774" t="s">
        <v>17</v>
      </c>
      <c r="U19" s="775">
        <f>H19</f>
        <v>100</v>
      </c>
      <c r="V19" s="774" t="s">
        <v>17</v>
      </c>
      <c r="W19" s="775">
        <f>J19</f>
        <v>100</v>
      </c>
      <c r="X19" s="1808"/>
      <c r="Y19" s="3220"/>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40"/>
      <c r="M20" s="1131"/>
      <c r="N20" s="1131"/>
      <c r="O20" s="1139"/>
      <c r="P20" s="3220"/>
      <c r="Q20" s="1805"/>
      <c r="R20" s="774"/>
      <c r="S20" s="775"/>
      <c r="T20" s="774"/>
      <c r="U20" s="775"/>
      <c r="V20" s="774"/>
      <c r="W20" s="775"/>
      <c r="X20" s="1808"/>
      <c r="Y20" s="3220"/>
      <c r="Z20" s="1809"/>
      <c r="AA20" s="1806">
        <v>1</v>
      </c>
      <c r="AB20" s="1806">
        <v>1</v>
      </c>
      <c r="AC20" s="1806">
        <v>1</v>
      </c>
    </row>
    <row r="21" spans="1:29" ht="28.5">
      <c r="A21" s="428"/>
      <c r="B21" s="1384" t="s">
        <v>2690</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0"/>
      <c r="Q21" s="1805" t="str">
        <f>B21</f>
        <v>基础设施水平</v>
      </c>
      <c r="R21" s="774" t="s">
        <v>17</v>
      </c>
      <c r="S21" s="775">
        <f>F21</f>
        <v>100</v>
      </c>
      <c r="T21" s="774" t="s">
        <v>17</v>
      </c>
      <c r="U21" s="775">
        <f>H21</f>
        <v>100</v>
      </c>
      <c r="V21" s="774" t="s">
        <v>17</v>
      </c>
      <c r="W21" s="775">
        <f>J21</f>
        <v>100</v>
      </c>
      <c r="X21" s="1808"/>
      <c r="Y21" s="3220"/>
      <c r="Z21" s="1809" t="str">
        <f>Q21</f>
        <v>基础设施水平</v>
      </c>
      <c r="AA21" s="1806">
        <f>D21/F21</f>
        <v>1</v>
      </c>
      <c r="AB21" s="1806">
        <f>D21/H21</f>
        <v>1</v>
      </c>
      <c r="AC21" s="1806">
        <f>D21/J21</f>
        <v>1</v>
      </c>
    </row>
    <row r="22" spans="1:29" ht="15">
      <c r="A22" s="428"/>
      <c r="B22" s="1384"/>
      <c r="C22" s="2603"/>
      <c r="D22" s="448"/>
      <c r="E22" s="447"/>
      <c r="F22" s="449"/>
      <c r="G22" s="447"/>
      <c r="H22" s="448"/>
      <c r="I22" s="447"/>
      <c r="J22" s="448"/>
      <c r="K22" s="1383"/>
      <c r="L22" s="1140"/>
      <c r="M22" s="1131"/>
      <c r="N22" s="1131"/>
      <c r="O22" s="1139"/>
      <c r="P22" s="3220"/>
      <c r="Q22" s="1805"/>
      <c r="R22" s="774"/>
      <c r="S22" s="775"/>
      <c r="T22" s="774"/>
      <c r="U22" s="775"/>
      <c r="V22" s="774"/>
      <c r="W22" s="775"/>
      <c r="X22" s="1808"/>
      <c r="Y22" s="3220"/>
      <c r="Z22" s="1809"/>
      <c r="AA22" s="1806">
        <v>1</v>
      </c>
      <c r="AB22" s="1806">
        <v>1</v>
      </c>
      <c r="AC22" s="1806">
        <v>1</v>
      </c>
    </row>
    <row r="23" spans="1:29" ht="71.25">
      <c r="A23" s="428"/>
      <c r="B23" s="451" t="s">
        <v>2691</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0"/>
      <c r="Q23" s="1805" t="str">
        <f>B23</f>
        <v>环境质量</v>
      </c>
      <c r="R23" s="774" t="s">
        <v>17</v>
      </c>
      <c r="S23" s="775">
        <f>F23</f>
        <v>100</v>
      </c>
      <c r="T23" s="774" t="s">
        <v>17</v>
      </c>
      <c r="U23" s="775">
        <f>H23</f>
        <v>100</v>
      </c>
      <c r="V23" s="774" t="s">
        <v>17</v>
      </c>
      <c r="W23" s="775">
        <f>J23</f>
        <v>100</v>
      </c>
      <c r="X23" s="1808"/>
      <c r="Y23" s="3220"/>
      <c r="Z23" s="1809" t="str">
        <f>Q23</f>
        <v>环境质量</v>
      </c>
      <c r="AA23" s="1806">
        <f t="shared" si="3"/>
        <v>1</v>
      </c>
      <c r="AB23" s="1806">
        <f t="shared" si="4"/>
        <v>1</v>
      </c>
      <c r="AC23" s="1806">
        <f t="shared" si="5"/>
        <v>1</v>
      </c>
    </row>
    <row r="24" spans="1:29" ht="15">
      <c r="A24" s="428"/>
      <c r="B24" s="1384"/>
      <c r="C24" s="447"/>
      <c r="D24" s="448"/>
      <c r="E24" s="2600"/>
      <c r="F24" s="449"/>
      <c r="G24" s="2599"/>
      <c r="H24" s="448"/>
      <c r="I24" s="2600"/>
      <c r="J24" s="448"/>
      <c r="K24" s="615"/>
      <c r="L24" s="1140"/>
      <c r="M24" s="1131"/>
      <c r="N24" s="1131"/>
      <c r="O24" s="1139"/>
      <c r="P24" s="3220"/>
      <c r="Q24" s="1805"/>
      <c r="R24" s="774"/>
      <c r="S24" s="775"/>
      <c r="T24" s="774"/>
      <c r="U24" s="775"/>
      <c r="V24" s="774"/>
      <c r="W24" s="775"/>
      <c r="X24" s="1808"/>
      <c r="Y24" s="3220"/>
      <c r="Z24" s="1809"/>
      <c r="AA24" s="1806">
        <v>1</v>
      </c>
      <c r="AB24" s="1806">
        <v>1</v>
      </c>
      <c r="AC24" s="180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0"/>
      <c r="Q25" s="1805">
        <f>B25</f>
        <v>111</v>
      </c>
      <c r="R25" s="774" t="s">
        <v>17</v>
      </c>
      <c r="S25" s="775">
        <f>F25</f>
        <v>100</v>
      </c>
      <c r="T25" s="774" t="s">
        <v>17</v>
      </c>
      <c r="U25" s="775">
        <f>H25</f>
        <v>100</v>
      </c>
      <c r="V25" s="774" t="s">
        <v>17</v>
      </c>
      <c r="W25" s="775">
        <f>J25</f>
        <v>100</v>
      </c>
      <c r="X25" s="1808"/>
      <c r="Y25" s="3220"/>
      <c r="Z25" s="1809">
        <f>Q25</f>
        <v>111</v>
      </c>
      <c r="AA25" s="1806">
        <f t="shared" si="3"/>
        <v>1</v>
      </c>
      <c r="AB25" s="1806">
        <f t="shared" si="4"/>
        <v>1</v>
      </c>
      <c r="AC25" s="180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0"/>
      <c r="Q26" s="1805">
        <f t="shared" ref="Q26:Q40" si="8">B26</f>
        <v>111</v>
      </c>
      <c r="R26" s="774" t="s">
        <v>17</v>
      </c>
      <c r="S26" s="775">
        <f>F26</f>
        <v>100</v>
      </c>
      <c r="T26" s="774" t="s">
        <v>17</v>
      </c>
      <c r="U26" s="775">
        <f>H26</f>
        <v>100</v>
      </c>
      <c r="V26" s="774" t="s">
        <v>17</v>
      </c>
      <c r="W26" s="775">
        <f>J26</f>
        <v>100</v>
      </c>
      <c r="X26" s="1808"/>
      <c r="Y26" s="3220"/>
      <c r="Z26" s="1809">
        <f>Q26</f>
        <v>111</v>
      </c>
      <c r="AA26" s="1806">
        <f t="shared" si="3"/>
        <v>1</v>
      </c>
      <c r="AB26" s="1806">
        <f t="shared" si="4"/>
        <v>1</v>
      </c>
      <c r="AC26" s="180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0"/>
      <c r="Q27" s="1790">
        <f t="shared" si="8"/>
        <v>111</v>
      </c>
      <c r="R27" s="770" t="s">
        <v>17</v>
      </c>
      <c r="S27" s="771">
        <f>F27</f>
        <v>100</v>
      </c>
      <c r="T27" s="770" t="s">
        <v>17</v>
      </c>
      <c r="U27" s="771">
        <f>H27</f>
        <v>100</v>
      </c>
      <c r="V27" s="770" t="s">
        <v>17</v>
      </c>
      <c r="W27" s="771">
        <f>J27</f>
        <v>100</v>
      </c>
      <c r="X27" s="772"/>
      <c r="Y27" s="3220"/>
      <c r="Z27" s="55">
        <f>Q27</f>
        <v>111</v>
      </c>
      <c r="AA27" s="1806">
        <f>D27/F27</f>
        <v>1</v>
      </c>
      <c r="AB27" s="1806">
        <f>D27/H27</f>
        <v>1</v>
      </c>
      <c r="AC27" s="180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0"/>
      <c r="Q28" s="1805">
        <f t="shared" si="8"/>
        <v>111</v>
      </c>
      <c r="R28" s="774" t="s">
        <v>17</v>
      </c>
      <c r="S28" s="775">
        <f t="shared" ref="S28:S40" si="9">F28</f>
        <v>100</v>
      </c>
      <c r="T28" s="774" t="s">
        <v>17</v>
      </c>
      <c r="U28" s="775">
        <f t="shared" ref="U28:U40" si="10">H28</f>
        <v>100</v>
      </c>
      <c r="V28" s="774" t="s">
        <v>17</v>
      </c>
      <c r="W28" s="775">
        <f t="shared" ref="W28:W40" si="11">J28</f>
        <v>100</v>
      </c>
      <c r="X28" s="1808"/>
      <c r="Y28" s="3220"/>
      <c r="Z28" s="1809">
        <f t="shared" ref="Z28:Z40" si="12">Q28</f>
        <v>111</v>
      </c>
      <c r="AA28" s="1806">
        <f t="shared" si="3"/>
        <v>1</v>
      </c>
      <c r="AB28" s="1806">
        <f t="shared" si="4"/>
        <v>1</v>
      </c>
      <c r="AC28" s="1806">
        <f t="shared" si="5"/>
        <v>1</v>
      </c>
    </row>
    <row r="29" spans="1:29" ht="28.5">
      <c r="A29" s="466" t="s">
        <v>2564</v>
      </c>
      <c r="B29" s="71" t="s">
        <v>2694</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43" t="s">
        <v>2566</v>
      </c>
      <c r="Q29" s="1805" t="str">
        <f t="shared" si="8"/>
        <v>建筑类型</v>
      </c>
      <c r="R29" s="774" t="s">
        <v>17</v>
      </c>
      <c r="S29" s="775">
        <f t="shared" si="9"/>
        <v>100</v>
      </c>
      <c r="T29" s="774" t="s">
        <v>17</v>
      </c>
      <c r="U29" s="775">
        <f t="shared" si="10"/>
        <v>100</v>
      </c>
      <c r="V29" s="774" t="s">
        <v>17</v>
      </c>
      <c r="W29" s="775">
        <f t="shared" si="11"/>
        <v>100</v>
      </c>
      <c r="X29" s="1808"/>
      <c r="Y29" s="3224" t="s">
        <v>2566</v>
      </c>
      <c r="Z29" s="1809" t="str">
        <f t="shared" si="12"/>
        <v>建筑类型</v>
      </c>
      <c r="AA29" s="1806">
        <f t="shared" si="3"/>
        <v>1</v>
      </c>
      <c r="AB29" s="1806">
        <f t="shared" si="4"/>
        <v>1</v>
      </c>
      <c r="AC29" s="1806">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4"/>
      <c r="Q30" s="776" t="str">
        <f t="shared" si="8"/>
        <v>项目建筑规模</v>
      </c>
      <c r="R30" s="777" t="s">
        <v>17</v>
      </c>
      <c r="S30" s="778" t="e">
        <f t="shared" si="9"/>
        <v>#N/A</v>
      </c>
      <c r="T30" s="777" t="s">
        <v>17</v>
      </c>
      <c r="U30" s="778" t="e">
        <f t="shared" si="10"/>
        <v>#N/A</v>
      </c>
      <c r="V30" s="777" t="s">
        <v>17</v>
      </c>
      <c r="W30" s="778" t="e">
        <f t="shared" si="11"/>
        <v>#N/A</v>
      </c>
      <c r="X30" s="779"/>
      <c r="Y30" s="3224"/>
      <c r="Z30" s="780" t="str">
        <f t="shared" si="12"/>
        <v>项目建筑规模</v>
      </c>
      <c r="AA30" s="1806" t="e">
        <f t="shared" si="3"/>
        <v>#N/A</v>
      </c>
      <c r="AB30" s="1806" t="e">
        <f t="shared" si="4"/>
        <v>#N/A</v>
      </c>
      <c r="AC30" s="1806"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4"/>
      <c r="Q31" s="1805" t="str">
        <f t="shared" si="8"/>
        <v>建筑结构</v>
      </c>
      <c r="R31" s="774" t="s">
        <v>17</v>
      </c>
      <c r="S31" s="775">
        <f t="shared" si="9"/>
        <v>100</v>
      </c>
      <c r="T31" s="774" t="s">
        <v>17</v>
      </c>
      <c r="U31" s="775">
        <f t="shared" si="10"/>
        <v>100</v>
      </c>
      <c r="V31" s="774" t="s">
        <v>17</v>
      </c>
      <c r="W31" s="775">
        <f t="shared" si="11"/>
        <v>100</v>
      </c>
      <c r="X31" s="1808"/>
      <c r="Y31" s="3224"/>
      <c r="Z31" s="1809" t="str">
        <f t="shared" si="12"/>
        <v>建筑结构</v>
      </c>
      <c r="AA31" s="1806">
        <f t="shared" si="3"/>
        <v>1</v>
      </c>
      <c r="AB31" s="1806">
        <f t="shared" si="4"/>
        <v>1</v>
      </c>
      <c r="AC31" s="1806">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4"/>
      <c r="Q32" s="1805" t="str">
        <f t="shared" si="8"/>
        <v>公共部分装修</v>
      </c>
      <c r="R32" s="774" t="s">
        <v>17</v>
      </c>
      <c r="S32" s="775">
        <f t="shared" si="9"/>
        <v>100</v>
      </c>
      <c r="T32" s="774" t="s">
        <v>17</v>
      </c>
      <c r="U32" s="775">
        <f t="shared" si="10"/>
        <v>100</v>
      </c>
      <c r="V32" s="774" t="s">
        <v>17</v>
      </c>
      <c r="W32" s="775">
        <f t="shared" si="11"/>
        <v>100</v>
      </c>
      <c r="X32" s="1808"/>
      <c r="Y32" s="3224"/>
      <c r="Z32" s="1809" t="str">
        <f t="shared" si="12"/>
        <v>公共部分装修</v>
      </c>
      <c r="AA32" s="1806">
        <f t="shared" si="3"/>
        <v>1</v>
      </c>
      <c r="AB32" s="1806">
        <f t="shared" si="4"/>
        <v>1</v>
      </c>
      <c r="AC32" s="1806">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4"/>
      <c r="Q33" s="1805" t="str">
        <f t="shared" si="8"/>
        <v>成新度</v>
      </c>
      <c r="R33" s="774" t="s">
        <v>17</v>
      </c>
      <c r="S33" s="775" t="e">
        <f t="shared" si="9"/>
        <v>#N/A</v>
      </c>
      <c r="T33" s="774" t="s">
        <v>17</v>
      </c>
      <c r="U33" s="775" t="e">
        <f t="shared" si="10"/>
        <v>#N/A</v>
      </c>
      <c r="V33" s="774" t="s">
        <v>17</v>
      </c>
      <c r="W33" s="775" t="e">
        <f t="shared" si="11"/>
        <v>#N/A</v>
      </c>
      <c r="X33" s="1808"/>
      <c r="Y33" s="3224"/>
      <c r="Z33" s="1809" t="str">
        <f t="shared" si="12"/>
        <v>成新度</v>
      </c>
      <c r="AA33" s="1806" t="e">
        <f t="shared" si="3"/>
        <v>#N/A</v>
      </c>
      <c r="AB33" s="1806" t="e">
        <f t="shared" si="4"/>
        <v>#N/A</v>
      </c>
      <c r="AC33" s="1806"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4"/>
      <c r="Q34" s="1790" t="str">
        <f t="shared" si="8"/>
        <v>物业管理</v>
      </c>
      <c r="R34" s="770" t="s">
        <v>17</v>
      </c>
      <c r="S34" s="771">
        <f t="shared" si="9"/>
        <v>100</v>
      </c>
      <c r="T34" s="770" t="s">
        <v>17</v>
      </c>
      <c r="U34" s="771">
        <f t="shared" si="10"/>
        <v>100</v>
      </c>
      <c r="V34" s="770" t="s">
        <v>17</v>
      </c>
      <c r="W34" s="771">
        <f t="shared" si="11"/>
        <v>100</v>
      </c>
      <c r="X34" s="772"/>
      <c r="Y34" s="3224"/>
      <c r="Z34" s="55" t="str">
        <f t="shared" si="12"/>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4" t="s">
        <v>2566</v>
      </c>
      <c r="Q35" s="1805" t="str">
        <f t="shared" si="8"/>
        <v>市政基础设施</v>
      </c>
      <c r="R35" s="774" t="s">
        <v>17</v>
      </c>
      <c r="S35" s="775">
        <f t="shared" si="9"/>
        <v>100</v>
      </c>
      <c r="T35" s="774" t="s">
        <v>17</v>
      </c>
      <c r="U35" s="775">
        <f t="shared" si="10"/>
        <v>100</v>
      </c>
      <c r="V35" s="774" t="s">
        <v>17</v>
      </c>
      <c r="W35" s="775">
        <f t="shared" si="11"/>
        <v>100</v>
      </c>
      <c r="X35" s="1808"/>
      <c r="Y35" s="3224" t="s">
        <v>2566</v>
      </c>
      <c r="Z35" s="1809" t="str">
        <f t="shared" si="12"/>
        <v>市政基础设施</v>
      </c>
      <c r="AA35" s="1806">
        <f t="shared" si="3"/>
        <v>1</v>
      </c>
      <c r="AB35" s="1806">
        <f t="shared" si="4"/>
        <v>1</v>
      </c>
      <c r="AC35" s="1806">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4"/>
      <c r="Q36" s="1805" t="str">
        <f t="shared" si="8"/>
        <v>内部装修</v>
      </c>
      <c r="R36" s="774" t="s">
        <v>17</v>
      </c>
      <c r="S36" s="775">
        <f t="shared" si="9"/>
        <v>100</v>
      </c>
      <c r="T36" s="774" t="s">
        <v>17</v>
      </c>
      <c r="U36" s="775">
        <f t="shared" si="10"/>
        <v>100</v>
      </c>
      <c r="V36" s="774" t="s">
        <v>17</v>
      </c>
      <c r="W36" s="775">
        <f t="shared" si="11"/>
        <v>100</v>
      </c>
      <c r="X36" s="1808"/>
      <c r="Y36" s="3224"/>
      <c r="Z36" s="1809" t="str">
        <f t="shared" si="12"/>
        <v>内部装修</v>
      </c>
      <c r="AA36" s="1806">
        <f t="shared" si="3"/>
        <v>1</v>
      </c>
      <c r="AB36" s="1806">
        <f t="shared" si="4"/>
        <v>1</v>
      </c>
      <c r="AC36" s="1806">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4"/>
      <c r="Q37" s="1805" t="str">
        <f t="shared" si="8"/>
        <v>内部装修状况</v>
      </c>
      <c r="R37" s="774" t="s">
        <v>17</v>
      </c>
      <c r="S37" s="775">
        <f t="shared" si="9"/>
        <v>100</v>
      </c>
      <c r="T37" s="774" t="s">
        <v>17</v>
      </c>
      <c r="U37" s="775">
        <f t="shared" si="10"/>
        <v>100</v>
      </c>
      <c r="V37" s="774" t="s">
        <v>17</v>
      </c>
      <c r="W37" s="775">
        <f t="shared" si="11"/>
        <v>100</v>
      </c>
      <c r="X37" s="1808"/>
      <c r="Y37" s="3224"/>
      <c r="Z37" s="1809" t="str">
        <f t="shared" si="12"/>
        <v>内部装修状况</v>
      </c>
      <c r="AA37" s="1806">
        <f t="shared" si="3"/>
        <v>1</v>
      </c>
      <c r="AB37" s="1806">
        <f t="shared" si="4"/>
        <v>1</v>
      </c>
      <c r="AC37" s="180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4"/>
      <c r="Q38" s="776">
        <f t="shared" si="8"/>
        <v>111</v>
      </c>
      <c r="R38" s="777" t="s">
        <v>17</v>
      </c>
      <c r="S38" s="778">
        <f t="shared" si="9"/>
        <v>100</v>
      </c>
      <c r="T38" s="777" t="s">
        <v>17</v>
      </c>
      <c r="U38" s="778">
        <f t="shared" si="10"/>
        <v>100</v>
      </c>
      <c r="V38" s="777" t="s">
        <v>17</v>
      </c>
      <c r="W38" s="778">
        <f t="shared" si="11"/>
        <v>100</v>
      </c>
      <c r="X38" s="779"/>
      <c r="Y38" s="3224"/>
      <c r="Z38" s="780">
        <f t="shared" si="12"/>
        <v>111</v>
      </c>
      <c r="AA38" s="1806">
        <f t="shared" si="3"/>
        <v>1</v>
      </c>
      <c r="AB38" s="1806">
        <f t="shared" si="4"/>
        <v>1</v>
      </c>
      <c r="AC38" s="180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4"/>
      <c r="Q39" s="1805">
        <f t="shared" si="8"/>
        <v>111</v>
      </c>
      <c r="R39" s="774" t="s">
        <v>17</v>
      </c>
      <c r="S39" s="775">
        <f t="shared" si="9"/>
        <v>100</v>
      </c>
      <c r="T39" s="774" t="s">
        <v>17</v>
      </c>
      <c r="U39" s="775">
        <f t="shared" si="10"/>
        <v>100</v>
      </c>
      <c r="V39" s="774" t="s">
        <v>17</v>
      </c>
      <c r="W39" s="775">
        <f t="shared" si="11"/>
        <v>100</v>
      </c>
      <c r="X39" s="1808"/>
      <c r="Y39" s="3224"/>
      <c r="Z39" s="1809">
        <f t="shared" si="12"/>
        <v>111</v>
      </c>
      <c r="AA39" s="1806">
        <f t="shared" si="3"/>
        <v>1</v>
      </c>
      <c r="AB39" s="1806">
        <f t="shared" si="4"/>
        <v>1</v>
      </c>
      <c r="AC39" s="1806">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5"/>
      <c r="Q40" s="1805">
        <f t="shared" si="8"/>
        <v>111</v>
      </c>
      <c r="R40" s="774" t="s">
        <v>17</v>
      </c>
      <c r="S40" s="775">
        <f t="shared" si="9"/>
        <v>100</v>
      </c>
      <c r="T40" s="774" t="s">
        <v>17</v>
      </c>
      <c r="U40" s="775">
        <f t="shared" si="10"/>
        <v>100</v>
      </c>
      <c r="V40" s="774" t="s">
        <v>17</v>
      </c>
      <c r="W40" s="775">
        <f t="shared" si="11"/>
        <v>100</v>
      </c>
      <c r="X40" s="1808"/>
      <c r="Y40" s="3225"/>
      <c r="Z40" s="1809">
        <f t="shared" si="12"/>
        <v>111</v>
      </c>
      <c r="AA40" s="1806">
        <f t="shared" si="3"/>
        <v>1</v>
      </c>
      <c r="AB40" s="1806">
        <f t="shared" si="4"/>
        <v>1</v>
      </c>
      <c r="AC40" s="1806">
        <f t="shared" si="5"/>
        <v>1</v>
      </c>
    </row>
    <row r="41" spans="1:29" ht="15">
      <c r="A41" s="479" t="s">
        <v>2578</v>
      </c>
      <c r="B41" s="480"/>
      <c r="C41" s="1407" t="s">
        <v>1</v>
      </c>
      <c r="D41" s="1408"/>
      <c r="E41" s="1409"/>
      <c r="F41" s="1410"/>
      <c r="G41" s="1411"/>
      <c r="H41" s="1412"/>
      <c r="I41" s="1409"/>
      <c r="J41" s="1412"/>
      <c r="K41" s="783"/>
      <c r="L41" s="1143"/>
      <c r="M41" s="1144"/>
      <c r="N41" s="1131"/>
      <c r="O41" s="1144"/>
      <c r="P41" s="3217" t="str">
        <f>A41</f>
        <v>成交单价（元/平方米）</v>
      </c>
      <c r="Q41" s="3217"/>
      <c r="R41" s="3218">
        <f>E41</f>
        <v>0</v>
      </c>
      <c r="S41" s="3218"/>
      <c r="T41" s="3218">
        <f>G41</f>
        <v>0</v>
      </c>
      <c r="U41" s="3218"/>
      <c r="V41" s="3218">
        <f>I41</f>
        <v>0</v>
      </c>
      <c r="W41" s="3218"/>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214" t="str">
        <f>A43</f>
        <v>估价对象XX用房的比较价值（楼面单价，元/平方米）</v>
      </c>
      <c r="Q43" s="3215"/>
      <c r="R43" s="3216" t="e">
        <f>IF(F1="售价",ROUND(AVERAGE(R42:V42),0),ROUND(AVERAGE(R42:V42),1))</f>
        <v>#DIV/0!</v>
      </c>
      <c r="S43" s="3216"/>
      <c r="T43" s="3216"/>
      <c r="U43" s="3216"/>
      <c r="V43" s="3216"/>
      <c r="W43" s="321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69" t="str">
        <f>YEAR(C7)&amp;"-"&amp;MONTH(C7)</f>
        <v>2020-3</v>
      </c>
      <c r="D52" s="1570">
        <f>EDATE(C52,-1)</f>
        <v>43862</v>
      </c>
      <c r="E52" s="1570">
        <f t="shared" ref="E52:O52" si="13">EDATE(D52,-1)</f>
        <v>43831</v>
      </c>
      <c r="F52" s="1570">
        <f t="shared" si="13"/>
        <v>43800</v>
      </c>
      <c r="G52" s="1570">
        <f t="shared" si="13"/>
        <v>43770</v>
      </c>
      <c r="H52" s="1570">
        <f t="shared" si="13"/>
        <v>43739</v>
      </c>
      <c r="I52" s="1570">
        <f t="shared" si="13"/>
        <v>43709</v>
      </c>
      <c r="J52" s="1570">
        <f t="shared" si="13"/>
        <v>43678</v>
      </c>
      <c r="K52" s="1570">
        <f t="shared" si="13"/>
        <v>43647</v>
      </c>
      <c r="L52" s="1570">
        <f t="shared" si="13"/>
        <v>43617</v>
      </c>
      <c r="M52" s="1570">
        <f t="shared" si="13"/>
        <v>43586</v>
      </c>
      <c r="N52" s="1570">
        <f t="shared" si="13"/>
        <v>43556</v>
      </c>
      <c r="O52" s="1570">
        <f t="shared" si="13"/>
        <v>43525</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5.75" thickTop="1">
      <c r="A90" s="534"/>
      <c r="B90" s="538" t="s">
        <v>2614</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2708</v>
      </c>
      <c r="B1" s="1614"/>
      <c r="C1" s="1615" t="s">
        <v>2531</v>
      </c>
      <c r="D1" s="1616"/>
      <c r="E1" s="1617"/>
      <c r="F1" s="2579"/>
      <c r="G1" s="1618" t="s">
        <v>2644</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2328</v>
      </c>
      <c r="B2" s="1418" t="e">
        <f ca="1">IF(C2="——",IF(B37="元/平方米",ROUND(C39*D3/10000,0),ROUND(F3*C39/10000,0)),IF(B37="元/平方米",ROUND(C39*D3/10000,0),ROUND(F3*C39/10000,0))-D2)</f>
        <v>#DIV/0!</v>
      </c>
      <c r="C2" s="2581"/>
      <c r="D2" s="1124" t="e">
        <f ca="1">SUMIF(INDIRECT("'"&amp;F2&amp;"'"&amp;"!A:A"),"承租人权益价值",INDIRECT("'"&amp;F2&amp;"'"&amp;"!c:c"))</f>
        <v>#REF!</v>
      </c>
      <c r="E2" s="2582" t="s">
        <v>2329</v>
      </c>
      <c r="F2" s="2583"/>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200" t="s">
        <v>2647</v>
      </c>
      <c r="D4" s="3201"/>
      <c r="E4" s="3202" t="s">
        <v>2648</v>
      </c>
      <c r="F4" s="3203"/>
      <c r="G4" s="3200" t="s">
        <v>2649</v>
      </c>
      <c r="H4" s="3201"/>
      <c r="I4" s="3200" t="s">
        <v>2650</v>
      </c>
      <c r="J4" s="3201"/>
      <c r="K4" s="610" t="s">
        <v>2651</v>
      </c>
      <c r="L4" s="1130"/>
      <c r="M4" s="1131"/>
      <c r="N4" s="1131"/>
      <c r="O4" s="1131"/>
      <c r="P4" s="3204" t="s">
        <v>2652</v>
      </c>
      <c r="Q4" s="3205"/>
      <c r="R4" s="3187" t="s">
        <v>2648</v>
      </c>
      <c r="S4" s="3188"/>
      <c r="T4" s="3187" t="s">
        <v>2649</v>
      </c>
      <c r="U4" s="3188"/>
      <c r="V4" s="3212" t="s">
        <v>2650</v>
      </c>
      <c r="W4" s="3212"/>
      <c r="X4" s="1808"/>
      <c r="Y4" s="3187" t="s">
        <v>2652</v>
      </c>
      <c r="Z4" s="3188"/>
      <c r="AA4" s="3182" t="s">
        <v>2648</v>
      </c>
      <c r="AB4" s="3183" t="s">
        <v>2649</v>
      </c>
      <c r="AC4" s="3182" t="s">
        <v>2650</v>
      </c>
    </row>
    <row r="5" spans="1:29" ht="15">
      <c r="A5" s="404"/>
      <c r="B5" s="405"/>
      <c r="C5" s="3193" t="s">
        <v>2543</v>
      </c>
      <c r="D5" s="3194"/>
      <c r="E5" s="3191" t="s">
        <v>2544</v>
      </c>
      <c r="F5" s="3192"/>
      <c r="G5" s="3193" t="s">
        <v>2545</v>
      </c>
      <c r="H5" s="3194"/>
      <c r="I5" s="3193" t="s">
        <v>2546</v>
      </c>
      <c r="J5" s="3194"/>
      <c r="K5" s="610"/>
      <c r="L5" s="1130"/>
      <c r="M5" s="1131"/>
      <c r="N5" s="1131"/>
      <c r="O5" s="1131"/>
      <c r="P5" s="3206"/>
      <c r="Q5" s="3207"/>
      <c r="R5" s="3189"/>
      <c r="S5" s="3190"/>
      <c r="T5" s="3189"/>
      <c r="U5" s="3190"/>
      <c r="V5" s="3212"/>
      <c r="W5" s="3212"/>
      <c r="X5" s="1808"/>
      <c r="Y5" s="3189"/>
      <c r="Z5" s="3190"/>
      <c r="AA5" s="3183"/>
      <c r="AB5" s="3183"/>
      <c r="AC5" s="3183"/>
    </row>
    <row r="6" spans="1:29" ht="15.75" thickBot="1">
      <c r="A6" s="406"/>
      <c r="B6" s="407"/>
      <c r="C6" s="3195" t="s">
        <v>2547</v>
      </c>
      <c r="D6" s="3196"/>
      <c r="E6" s="3197" t="s">
        <v>2547</v>
      </c>
      <c r="F6" s="3198"/>
      <c r="G6" s="3195" t="s">
        <v>2547</v>
      </c>
      <c r="H6" s="3196"/>
      <c r="I6" s="3195" t="s">
        <v>2547</v>
      </c>
      <c r="J6" s="3196"/>
      <c r="K6" s="610" t="s">
        <v>2548</v>
      </c>
      <c r="L6" s="1130"/>
      <c r="M6" s="1131"/>
      <c r="N6" s="1131"/>
      <c r="O6" s="1131"/>
      <c r="P6" s="3208"/>
      <c r="Q6" s="3209"/>
      <c r="R6" s="3189"/>
      <c r="S6" s="3190"/>
      <c r="T6" s="3210"/>
      <c r="U6" s="3211"/>
      <c r="V6" s="3212"/>
      <c r="W6" s="3212"/>
      <c r="X6" s="1808"/>
      <c r="Y6" s="3210"/>
      <c r="Z6" s="3211"/>
      <c r="AA6" s="3184"/>
      <c r="AB6" s="3184"/>
      <c r="AC6" s="3184"/>
    </row>
    <row r="7" spans="1:29" s="117" customFormat="1" ht="15.75" thickBot="1">
      <c r="A7" s="408" t="s">
        <v>2549</v>
      </c>
      <c r="B7" s="409"/>
      <c r="C7" s="410">
        <f>'数据-取费表'!B2</f>
        <v>43894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5" t="s">
        <v>2550</v>
      </c>
      <c r="Q7" s="3213"/>
      <c r="R7" s="770" t="s">
        <v>17</v>
      </c>
      <c r="S7" s="771">
        <f t="shared" ref="S7:S14" si="0">F7</f>
        <v>0</v>
      </c>
      <c r="T7" s="770" t="s">
        <v>17</v>
      </c>
      <c r="U7" s="771">
        <f t="shared" ref="U7:U14" si="1">H7</f>
        <v>0</v>
      </c>
      <c r="V7" s="770" t="s">
        <v>17</v>
      </c>
      <c r="W7" s="771">
        <f t="shared" ref="W7:W14" si="2">J7</f>
        <v>0</v>
      </c>
      <c r="X7" s="772"/>
      <c r="Y7" s="3185" t="s">
        <v>2550</v>
      </c>
      <c r="Z7" s="318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5" t="s">
        <v>2553</v>
      </c>
      <c r="Q8" s="3186"/>
      <c r="R8" s="770" t="s">
        <v>17</v>
      </c>
      <c r="S8" s="771">
        <f t="shared" si="0"/>
        <v>0</v>
      </c>
      <c r="T8" s="770" t="s">
        <v>17</v>
      </c>
      <c r="U8" s="771">
        <f t="shared" si="1"/>
        <v>0</v>
      </c>
      <c r="V8" s="770" t="s">
        <v>17</v>
      </c>
      <c r="W8" s="771">
        <f t="shared" si="2"/>
        <v>0</v>
      </c>
      <c r="X8" s="772"/>
      <c r="Y8" s="3185" t="s">
        <v>2553</v>
      </c>
      <c r="Z8" s="318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7" t="s">
        <v>2556</v>
      </c>
      <c r="Q9" s="1790" t="str">
        <f t="shared" ref="Q9:Q14" si="6">B9</f>
        <v>用途</v>
      </c>
      <c r="R9" s="770" t="s">
        <v>17</v>
      </c>
      <c r="S9" s="771">
        <f t="shared" si="0"/>
        <v>100</v>
      </c>
      <c r="T9" s="770" t="s">
        <v>17</v>
      </c>
      <c r="U9" s="771">
        <f t="shared" si="1"/>
        <v>100</v>
      </c>
      <c r="V9" s="770" t="s">
        <v>17</v>
      </c>
      <c r="W9" s="771">
        <f t="shared" si="2"/>
        <v>100</v>
      </c>
      <c r="X9" s="772"/>
      <c r="Y9" s="303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7"/>
      <c r="Q10" s="1790"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7"/>
      <c r="Q11" s="1790">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7"/>
      <c r="Q12" s="1790">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7"/>
      <c r="Q13" s="1790">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01" t="s">
        <v>2560</v>
      </c>
      <c r="B14" s="629" t="s">
        <v>2710</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9" t="s">
        <v>2561</v>
      </c>
      <c r="Q14" s="1805" t="str">
        <f t="shared" si="6"/>
        <v>交通便捷度</v>
      </c>
      <c r="R14" s="774" t="s">
        <v>17</v>
      </c>
      <c r="S14" s="775">
        <f t="shared" si="0"/>
        <v>100</v>
      </c>
      <c r="T14" s="774" t="s">
        <v>17</v>
      </c>
      <c r="U14" s="775">
        <f t="shared" si="1"/>
        <v>100</v>
      </c>
      <c r="V14" s="774" t="s">
        <v>17</v>
      </c>
      <c r="W14" s="775">
        <f t="shared" si="2"/>
        <v>100</v>
      </c>
      <c r="X14" s="1808"/>
      <c r="Y14" s="3219" t="s">
        <v>2561</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40"/>
      <c r="M15" s="1131"/>
      <c r="N15" s="1131"/>
      <c r="O15" s="1131"/>
      <c r="P15" s="3220"/>
      <c r="Q15" s="1805"/>
      <c r="R15" s="774"/>
      <c r="S15" s="775"/>
      <c r="T15" s="774"/>
      <c r="U15" s="775"/>
      <c r="V15" s="774"/>
      <c r="W15" s="775"/>
      <c r="X15" s="1808"/>
      <c r="Y15" s="3220"/>
      <c r="Z15" s="1809"/>
      <c r="AA15" s="1806">
        <v>1</v>
      </c>
      <c r="AB15" s="1806">
        <v>1</v>
      </c>
      <c r="AC15" s="1806">
        <v>1</v>
      </c>
    </row>
    <row r="16" spans="1:29" ht="42.75">
      <c r="A16" s="404"/>
      <c r="B16" s="631" t="s">
        <v>2689</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0"/>
      <c r="Q16" s="1805" t="str">
        <f>B16</f>
        <v>公共配套设施</v>
      </c>
      <c r="R16" s="774" t="s">
        <v>17</v>
      </c>
      <c r="S16" s="775">
        <f>F16</f>
        <v>100</v>
      </c>
      <c r="T16" s="774" t="s">
        <v>17</v>
      </c>
      <c r="U16" s="775">
        <f>H16</f>
        <v>100</v>
      </c>
      <c r="V16" s="774" t="s">
        <v>17</v>
      </c>
      <c r="W16" s="775">
        <f>J16</f>
        <v>100</v>
      </c>
      <c r="X16" s="1808"/>
      <c r="Y16" s="3220"/>
      <c r="Z16" s="1809" t="str">
        <f>Q16</f>
        <v>公共配套设施</v>
      </c>
      <c r="AA16" s="1806">
        <f t="shared" si="3"/>
        <v>1</v>
      </c>
      <c r="AB16" s="1806">
        <f t="shared" si="4"/>
        <v>1</v>
      </c>
      <c r="AC16" s="1806">
        <f t="shared" si="5"/>
        <v>1</v>
      </c>
    </row>
    <row r="17" spans="1:29" ht="15">
      <c r="A17" s="404"/>
      <c r="B17" s="632"/>
      <c r="C17" s="2603"/>
      <c r="D17" s="448"/>
      <c r="E17" s="447"/>
      <c r="F17" s="449"/>
      <c r="G17" s="447"/>
      <c r="H17" s="448"/>
      <c r="I17" s="447"/>
      <c r="J17" s="448"/>
      <c r="K17" s="615"/>
      <c r="L17" s="1140"/>
      <c r="M17" s="1131"/>
      <c r="N17" s="1131"/>
      <c r="O17" s="1131"/>
      <c r="P17" s="3220"/>
      <c r="Q17" s="1805"/>
      <c r="R17" s="774"/>
      <c r="S17" s="775"/>
      <c r="T17" s="774"/>
      <c r="U17" s="775"/>
      <c r="V17" s="774"/>
      <c r="W17" s="775"/>
      <c r="X17" s="1808"/>
      <c r="Y17" s="3220"/>
      <c r="Z17" s="1809"/>
      <c r="AA17" s="1806">
        <v>1</v>
      </c>
      <c r="AB17" s="1806">
        <v>1</v>
      </c>
      <c r="AC17" s="1806">
        <v>1</v>
      </c>
    </row>
    <row r="18" spans="1:29" ht="28.5">
      <c r="A18" s="404"/>
      <c r="B18" s="633" t="s">
        <v>2690</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0"/>
      <c r="Q18" s="1805" t="str">
        <f>B18</f>
        <v>基础设施水平</v>
      </c>
      <c r="R18" s="774" t="s">
        <v>17</v>
      </c>
      <c r="S18" s="775">
        <f>F18</f>
        <v>100</v>
      </c>
      <c r="T18" s="774" t="s">
        <v>17</v>
      </c>
      <c r="U18" s="775">
        <f>H18</f>
        <v>100</v>
      </c>
      <c r="V18" s="774" t="s">
        <v>17</v>
      </c>
      <c r="W18" s="775">
        <f>J18</f>
        <v>100</v>
      </c>
      <c r="X18" s="1808"/>
      <c r="Y18" s="3220"/>
      <c r="Z18" s="1809" t="str">
        <f>Q18</f>
        <v>基础设施水平</v>
      </c>
      <c r="AA18" s="1806">
        <f>D18/F18</f>
        <v>1</v>
      </c>
      <c r="AB18" s="1806">
        <f>D18/H18</f>
        <v>1</v>
      </c>
      <c r="AC18" s="1806">
        <f>D18/J18</f>
        <v>1</v>
      </c>
    </row>
    <row r="19" spans="1:29" ht="15">
      <c r="A19" s="404"/>
      <c r="B19" s="633"/>
      <c r="C19" s="2603"/>
      <c r="D19" s="450"/>
      <c r="E19" s="2603"/>
      <c r="F19" s="453"/>
      <c r="G19" s="2603"/>
      <c r="H19" s="448"/>
      <c r="I19" s="447"/>
      <c r="J19" s="448"/>
      <c r="K19" s="1383"/>
      <c r="L19" s="1140"/>
      <c r="M19" s="1131"/>
      <c r="N19" s="1131"/>
      <c r="O19" s="1131"/>
      <c r="P19" s="3220"/>
      <c r="Q19" s="1805"/>
      <c r="R19" s="774"/>
      <c r="S19" s="775"/>
      <c r="T19" s="774"/>
      <c r="U19" s="775"/>
      <c r="V19" s="774"/>
      <c r="W19" s="775"/>
      <c r="X19" s="1808"/>
      <c r="Y19" s="3220"/>
      <c r="Z19" s="1809"/>
      <c r="AA19" s="1806">
        <v>1</v>
      </c>
      <c r="AB19" s="1806">
        <v>1</v>
      </c>
      <c r="AC19" s="1806">
        <v>1</v>
      </c>
    </row>
    <row r="20" spans="1:29" ht="57">
      <c r="A20" s="404"/>
      <c r="B20" s="631" t="s">
        <v>2711</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0"/>
      <c r="Q20" s="1805" t="str">
        <f>B20</f>
        <v>自然及人文环境</v>
      </c>
      <c r="R20" s="774" t="s">
        <v>17</v>
      </c>
      <c r="S20" s="775">
        <f>F20</f>
        <v>100</v>
      </c>
      <c r="T20" s="774" t="s">
        <v>17</v>
      </c>
      <c r="U20" s="775">
        <f>H20</f>
        <v>100</v>
      </c>
      <c r="V20" s="774" t="s">
        <v>17</v>
      </c>
      <c r="W20" s="775">
        <f>J20</f>
        <v>100</v>
      </c>
      <c r="X20" s="1808"/>
      <c r="Y20" s="3220"/>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40"/>
      <c r="M21" s="1131"/>
      <c r="N21" s="1131"/>
      <c r="O21" s="1131"/>
      <c r="P21" s="3220"/>
      <c r="Q21" s="1805"/>
      <c r="R21" s="774"/>
      <c r="S21" s="775"/>
      <c r="T21" s="774"/>
      <c r="U21" s="775"/>
      <c r="V21" s="774"/>
      <c r="W21" s="775"/>
      <c r="X21" s="1808"/>
      <c r="Y21" s="3220"/>
      <c r="Z21" s="1809"/>
      <c r="AA21" s="1806">
        <v>1</v>
      </c>
      <c r="AB21" s="1806">
        <v>1</v>
      </c>
      <c r="AC21" s="1806">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0"/>
      <c r="Q22" s="1805" t="str">
        <f>B22</f>
        <v>楼层</v>
      </c>
      <c r="R22" s="774" t="s">
        <v>17</v>
      </c>
      <c r="S22" s="775">
        <f>F22</f>
        <v>100</v>
      </c>
      <c r="T22" s="774" t="s">
        <v>17</v>
      </c>
      <c r="U22" s="775">
        <f>H22</f>
        <v>100</v>
      </c>
      <c r="V22" s="774" t="s">
        <v>17</v>
      </c>
      <c r="W22" s="775">
        <f>J22</f>
        <v>100</v>
      </c>
      <c r="X22" s="1808"/>
      <c r="Y22" s="3220"/>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0"/>
      <c r="Q23" s="1805">
        <f>B23</f>
        <v>111</v>
      </c>
      <c r="R23" s="774" t="s">
        <v>17</v>
      </c>
      <c r="S23" s="775">
        <f>F23</f>
        <v>100</v>
      </c>
      <c r="T23" s="774" t="s">
        <v>17</v>
      </c>
      <c r="U23" s="775">
        <f>H23</f>
        <v>100</v>
      </c>
      <c r="V23" s="774" t="s">
        <v>17</v>
      </c>
      <c r="W23" s="775">
        <f>J23</f>
        <v>100</v>
      </c>
      <c r="X23" s="1808"/>
      <c r="Y23" s="3220"/>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0"/>
      <c r="Q24" s="1805">
        <f t="shared" ref="Q24:Q36" si="8">B24</f>
        <v>111</v>
      </c>
      <c r="R24" s="774" t="s">
        <v>17</v>
      </c>
      <c r="S24" s="775">
        <f>F24</f>
        <v>100</v>
      </c>
      <c r="T24" s="774" t="s">
        <v>17</v>
      </c>
      <c r="U24" s="775">
        <f>H24</f>
        <v>100</v>
      </c>
      <c r="V24" s="774" t="s">
        <v>17</v>
      </c>
      <c r="W24" s="775">
        <f>J24</f>
        <v>100</v>
      </c>
      <c r="X24" s="1808"/>
      <c r="Y24" s="3220"/>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0"/>
      <c r="Q25" s="1790">
        <f t="shared" si="8"/>
        <v>111</v>
      </c>
      <c r="R25" s="770" t="s">
        <v>17</v>
      </c>
      <c r="S25" s="771">
        <f>F25</f>
        <v>100</v>
      </c>
      <c r="T25" s="770" t="s">
        <v>17</v>
      </c>
      <c r="U25" s="771">
        <f>H25</f>
        <v>100</v>
      </c>
      <c r="V25" s="770" t="s">
        <v>17</v>
      </c>
      <c r="W25" s="771">
        <f>J25</f>
        <v>100</v>
      </c>
      <c r="X25" s="772"/>
      <c r="Y25" s="3220"/>
      <c r="Z25" s="55">
        <f>Q25</f>
        <v>111</v>
      </c>
      <c r="AA25" s="1806">
        <f>D25/F25</f>
        <v>1</v>
      </c>
      <c r="AB25" s="1806">
        <f>D25/H25</f>
        <v>1</v>
      </c>
      <c r="AC25" s="1806">
        <f>D25/J25</f>
        <v>1</v>
      </c>
    </row>
    <row r="26" spans="1:29" ht="28.5">
      <c r="A26" s="652" t="s">
        <v>2564</v>
      </c>
      <c r="B26" s="70" t="s">
        <v>2713</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3" t="s">
        <v>2566</v>
      </c>
      <c r="Q26" s="1805" t="str">
        <f t="shared" si="8"/>
        <v>配套类型</v>
      </c>
      <c r="R26" s="774" t="s">
        <v>17</v>
      </c>
      <c r="S26" s="775">
        <f t="shared" ref="S26:S36" si="9">F26</f>
        <v>100</v>
      </c>
      <c r="T26" s="774" t="s">
        <v>17</v>
      </c>
      <c r="U26" s="775">
        <f t="shared" ref="U26:U36" si="10">H26</f>
        <v>100</v>
      </c>
      <c r="V26" s="774" t="s">
        <v>17</v>
      </c>
      <c r="W26" s="775">
        <f t="shared" ref="W26:W36" si="11">J26</f>
        <v>100</v>
      </c>
      <c r="X26" s="1808"/>
      <c r="Y26" s="3224" t="s">
        <v>2566</v>
      </c>
      <c r="Z26" s="1809" t="str">
        <f t="shared" ref="Z26:Z36" si="12">Q26</f>
        <v>配套类型</v>
      </c>
      <c r="AA26" s="1806">
        <f t="shared" si="3"/>
        <v>1</v>
      </c>
      <c r="AB26" s="1806">
        <f t="shared" si="4"/>
        <v>1</v>
      </c>
      <c r="AC26" s="1806">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4"/>
      <c r="Q27" s="776" t="str">
        <f t="shared" si="8"/>
        <v>项目停车位配比</v>
      </c>
      <c r="R27" s="777" t="s">
        <v>17</v>
      </c>
      <c r="S27" s="778">
        <f t="shared" si="9"/>
        <v>100</v>
      </c>
      <c r="T27" s="777" t="s">
        <v>17</v>
      </c>
      <c r="U27" s="778">
        <f t="shared" si="10"/>
        <v>100</v>
      </c>
      <c r="V27" s="777" t="s">
        <v>17</v>
      </c>
      <c r="W27" s="778">
        <f t="shared" si="11"/>
        <v>100</v>
      </c>
      <c r="X27" s="779"/>
      <c r="Y27" s="3224"/>
      <c r="Z27" s="780" t="str">
        <f t="shared" si="12"/>
        <v>项目停车位配比</v>
      </c>
      <c r="AA27" s="1806">
        <f t="shared" si="3"/>
        <v>1</v>
      </c>
      <c r="AB27" s="1806">
        <f t="shared" si="4"/>
        <v>1</v>
      </c>
      <c r="AC27" s="1806">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4"/>
      <c r="Q28" s="1805" t="str">
        <f t="shared" si="8"/>
        <v>公共部分装修</v>
      </c>
      <c r="R28" s="774" t="s">
        <v>17</v>
      </c>
      <c r="S28" s="775">
        <f t="shared" si="9"/>
        <v>100</v>
      </c>
      <c r="T28" s="774" t="s">
        <v>17</v>
      </c>
      <c r="U28" s="775">
        <f t="shared" si="10"/>
        <v>100</v>
      </c>
      <c r="V28" s="774" t="s">
        <v>17</v>
      </c>
      <c r="W28" s="775">
        <f t="shared" si="11"/>
        <v>100</v>
      </c>
      <c r="X28" s="1808"/>
      <c r="Y28" s="3224"/>
      <c r="Z28" s="1809" t="str">
        <f t="shared" si="12"/>
        <v>公共部分装修</v>
      </c>
      <c r="AA28" s="1806">
        <f t="shared" si="3"/>
        <v>1</v>
      </c>
      <c r="AB28" s="1806">
        <f t="shared" si="4"/>
        <v>1</v>
      </c>
      <c r="AC28" s="1806">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4"/>
      <c r="Q29" s="1805" t="str">
        <f t="shared" si="8"/>
        <v>成新率</v>
      </c>
      <c r="R29" s="774" t="s">
        <v>17</v>
      </c>
      <c r="S29" s="775" t="e">
        <f t="shared" si="9"/>
        <v>#N/A</v>
      </c>
      <c r="T29" s="774" t="s">
        <v>17</v>
      </c>
      <c r="U29" s="775" t="e">
        <f t="shared" si="10"/>
        <v>#N/A</v>
      </c>
      <c r="V29" s="774" t="s">
        <v>17</v>
      </c>
      <c r="W29" s="775" t="e">
        <f t="shared" si="11"/>
        <v>#N/A</v>
      </c>
      <c r="X29" s="1808"/>
      <c r="Y29" s="3224"/>
      <c r="Z29" s="1809" t="str">
        <f t="shared" si="12"/>
        <v>成新率</v>
      </c>
      <c r="AA29" s="1806" t="e">
        <f t="shared" si="3"/>
        <v>#N/A</v>
      </c>
      <c r="AB29" s="1806" t="e">
        <f t="shared" si="4"/>
        <v>#N/A</v>
      </c>
      <c r="AC29" s="1806"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4"/>
      <c r="Q30" s="1805" t="str">
        <f t="shared" si="8"/>
        <v>物业等级</v>
      </c>
      <c r="R30" s="774" t="s">
        <v>17</v>
      </c>
      <c r="S30" s="775">
        <f t="shared" si="9"/>
        <v>100</v>
      </c>
      <c r="T30" s="774" t="s">
        <v>17</v>
      </c>
      <c r="U30" s="775">
        <f t="shared" si="10"/>
        <v>100</v>
      </c>
      <c r="V30" s="774" t="s">
        <v>17</v>
      </c>
      <c r="W30" s="775">
        <f t="shared" si="11"/>
        <v>100</v>
      </c>
      <c r="X30" s="1808"/>
      <c r="Y30" s="3224"/>
      <c r="Z30" s="1809" t="str">
        <f t="shared" si="12"/>
        <v>物业等级</v>
      </c>
      <c r="AA30" s="1806">
        <f t="shared" si="3"/>
        <v>1</v>
      </c>
      <c r="AB30" s="1806">
        <f t="shared" si="4"/>
        <v>1</v>
      </c>
      <c r="AC30" s="1806">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4"/>
      <c r="Q31" s="1790" t="str">
        <f t="shared" si="8"/>
        <v>停车位面积</v>
      </c>
      <c r="R31" s="770" t="s">
        <v>17</v>
      </c>
      <c r="S31" s="771" t="e">
        <f t="shared" si="9"/>
        <v>#N/A</v>
      </c>
      <c r="T31" s="770" t="s">
        <v>17</v>
      </c>
      <c r="U31" s="771" t="e">
        <f t="shared" si="10"/>
        <v>#N/A</v>
      </c>
      <c r="V31" s="770" t="s">
        <v>17</v>
      </c>
      <c r="W31" s="771" t="e">
        <f t="shared" si="11"/>
        <v>#N/A</v>
      </c>
      <c r="X31" s="772"/>
      <c r="Y31" s="3224"/>
      <c r="Z31" s="55" t="str">
        <f t="shared" si="12"/>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4" t="s">
        <v>2566</v>
      </c>
      <c r="Q32" s="1805" t="str">
        <f t="shared" si="8"/>
        <v>车位类型</v>
      </c>
      <c r="R32" s="774" t="s">
        <v>17</v>
      </c>
      <c r="S32" s="775">
        <f t="shared" si="9"/>
        <v>100</v>
      </c>
      <c r="T32" s="774" t="s">
        <v>17</v>
      </c>
      <c r="U32" s="775">
        <f t="shared" si="10"/>
        <v>100</v>
      </c>
      <c r="V32" s="774" t="s">
        <v>17</v>
      </c>
      <c r="W32" s="775">
        <f t="shared" si="11"/>
        <v>100</v>
      </c>
      <c r="X32" s="1808"/>
      <c r="Y32" s="3224" t="s">
        <v>2566</v>
      </c>
      <c r="Z32" s="1809" t="str">
        <f t="shared" si="12"/>
        <v>车位类型</v>
      </c>
      <c r="AA32" s="1806">
        <f t="shared" si="3"/>
        <v>1</v>
      </c>
      <c r="AB32" s="1806">
        <f t="shared" si="4"/>
        <v>1</v>
      </c>
      <c r="AC32" s="1806">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4"/>
      <c r="Q33" s="1805" t="str">
        <f t="shared" si="8"/>
        <v>是否直接入户</v>
      </c>
      <c r="R33" s="774" t="s">
        <v>17</v>
      </c>
      <c r="S33" s="775">
        <f t="shared" si="9"/>
        <v>100</v>
      </c>
      <c r="T33" s="774" t="s">
        <v>17</v>
      </c>
      <c r="U33" s="775">
        <f t="shared" si="10"/>
        <v>100</v>
      </c>
      <c r="V33" s="774" t="s">
        <v>17</v>
      </c>
      <c r="W33" s="775">
        <f t="shared" si="11"/>
        <v>100</v>
      </c>
      <c r="X33" s="1808"/>
      <c r="Y33" s="3224"/>
      <c r="Z33" s="1809" t="str">
        <f t="shared" si="12"/>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4"/>
      <c r="Q34" s="1805">
        <f t="shared" si="8"/>
        <v>111</v>
      </c>
      <c r="R34" s="774" t="s">
        <v>17</v>
      </c>
      <c r="S34" s="775">
        <f t="shared" si="9"/>
        <v>100</v>
      </c>
      <c r="T34" s="774" t="s">
        <v>17</v>
      </c>
      <c r="U34" s="775">
        <f t="shared" si="10"/>
        <v>100</v>
      </c>
      <c r="V34" s="774" t="s">
        <v>17</v>
      </c>
      <c r="W34" s="775">
        <f t="shared" si="11"/>
        <v>100</v>
      </c>
      <c r="X34" s="1808"/>
      <c r="Y34" s="3224"/>
      <c r="Z34" s="1809">
        <f t="shared" si="12"/>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4"/>
      <c r="Q35" s="776">
        <f t="shared" si="8"/>
        <v>111</v>
      </c>
      <c r="R35" s="777" t="s">
        <v>17</v>
      </c>
      <c r="S35" s="778">
        <f t="shared" si="9"/>
        <v>100</v>
      </c>
      <c r="T35" s="777" t="s">
        <v>17</v>
      </c>
      <c r="U35" s="778">
        <f t="shared" si="10"/>
        <v>100</v>
      </c>
      <c r="V35" s="777" t="s">
        <v>17</v>
      </c>
      <c r="W35" s="778">
        <f t="shared" si="11"/>
        <v>100</v>
      </c>
      <c r="X35" s="779"/>
      <c r="Y35" s="3224"/>
      <c r="Z35" s="780">
        <f t="shared" si="12"/>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4"/>
      <c r="Q36" s="1805">
        <f t="shared" si="8"/>
        <v>111</v>
      </c>
      <c r="R36" s="774" t="s">
        <v>17</v>
      </c>
      <c r="S36" s="775">
        <f t="shared" si="9"/>
        <v>100</v>
      </c>
      <c r="T36" s="774" t="s">
        <v>17</v>
      </c>
      <c r="U36" s="775">
        <f t="shared" si="10"/>
        <v>100</v>
      </c>
      <c r="V36" s="774" t="s">
        <v>17</v>
      </c>
      <c r="W36" s="775">
        <f t="shared" si="11"/>
        <v>100</v>
      </c>
      <c r="X36" s="1808"/>
      <c r="Y36" s="3224"/>
      <c r="Z36" s="1809">
        <f t="shared" si="12"/>
        <v>111</v>
      </c>
      <c r="AA36" s="1806">
        <f t="shared" si="3"/>
        <v>1</v>
      </c>
      <c r="AB36" s="1806">
        <f t="shared" si="4"/>
        <v>1</v>
      </c>
      <c r="AC36" s="1806">
        <f t="shared" si="5"/>
        <v>1</v>
      </c>
    </row>
    <row r="37" spans="1:29" ht="15">
      <c r="A37" s="479" t="s">
        <v>2721</v>
      </c>
      <c r="B37" s="2690" t="s">
        <v>2722</v>
      </c>
      <c r="C37" s="1407" t="s">
        <v>1</v>
      </c>
      <c r="D37" s="1408"/>
      <c r="E37" s="1409"/>
      <c r="F37" s="1410"/>
      <c r="G37" s="1411"/>
      <c r="H37" s="1412"/>
      <c r="I37" s="1409"/>
      <c r="J37" s="1412"/>
      <c r="K37" s="619"/>
      <c r="L37" s="1143"/>
      <c r="M37" s="1144"/>
      <c r="N37" s="1131"/>
      <c r="O37" s="1144"/>
      <c r="P37" s="3217" t="str">
        <f>A37</f>
        <v>成交单价</v>
      </c>
      <c r="Q37" s="3217"/>
      <c r="R37" s="3218">
        <f>E37</f>
        <v>0</v>
      </c>
      <c r="S37" s="3218"/>
      <c r="T37" s="3218">
        <f>G37</f>
        <v>0</v>
      </c>
      <c r="U37" s="3218"/>
      <c r="V37" s="3218">
        <f>I37</f>
        <v>0</v>
      </c>
      <c r="W37" s="3218"/>
      <c r="X37" s="759"/>
      <c r="Y37" s="781"/>
      <c r="Z37" s="759"/>
      <c r="AA37" s="759"/>
      <c r="AB37" s="759"/>
      <c r="AC37" s="759"/>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9"/>
      <c r="Y38" s="759"/>
      <c r="Z38" s="759"/>
      <c r="AA38" s="759"/>
      <c r="AB38" s="759"/>
      <c r="AC38" s="759"/>
    </row>
    <row r="39" spans="1:29" ht="15.75" thickBot="1">
      <c r="A39" s="492" t="s">
        <v>2724</v>
      </c>
      <c r="B39" s="493"/>
      <c r="C39" s="1417" t="e">
        <f>R39</f>
        <v>#DIV/0!</v>
      </c>
      <c r="D39" s="1417"/>
      <c r="E39" s="1417"/>
      <c r="F39" s="1417"/>
      <c r="G39" s="1417"/>
      <c r="H39" s="1417"/>
      <c r="I39" s="1417"/>
      <c r="J39" s="1417"/>
      <c r="K39" s="621"/>
      <c r="L39" s="1143"/>
      <c r="M39" s="1144"/>
      <c r="N39" s="1144"/>
      <c r="O39" s="1144"/>
      <c r="P39" s="3214" t="str">
        <f>A39</f>
        <v>估价对象XX用房的比较价值（楼面单价，元/平方米）</v>
      </c>
      <c r="Q39" s="3215"/>
      <c r="R39" s="3216" t="e">
        <f>IF(F1="售价",ROUND(AVERAGE(R38:V38),0),ROUND(AVERAGE(R38:V38),1))</f>
        <v>#DIV/0!</v>
      </c>
      <c r="S39" s="3216"/>
      <c r="T39" s="3216"/>
      <c r="U39" s="3216"/>
      <c r="V39" s="3216"/>
      <c r="W39" s="321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69" t="str">
        <f>YEAR(C7)&amp;"-"&amp;MONTH(C7)</f>
        <v>2020-3</v>
      </c>
      <c r="D48" s="1570">
        <f>EDATE(C48,-1)</f>
        <v>43862</v>
      </c>
      <c r="E48" s="1570">
        <f t="shared" ref="E48:O48" si="13">EDATE(D48,-1)</f>
        <v>43831</v>
      </c>
      <c r="F48" s="1570">
        <f t="shared" si="13"/>
        <v>43800</v>
      </c>
      <c r="G48" s="1570">
        <f t="shared" si="13"/>
        <v>43770</v>
      </c>
      <c r="H48" s="1570">
        <f t="shared" si="13"/>
        <v>43739</v>
      </c>
      <c r="I48" s="1570">
        <f t="shared" si="13"/>
        <v>43709</v>
      </c>
      <c r="J48" s="1570">
        <f t="shared" si="13"/>
        <v>43678</v>
      </c>
      <c r="K48" s="1570">
        <f t="shared" si="13"/>
        <v>43647</v>
      </c>
      <c r="L48" s="1570">
        <f t="shared" si="13"/>
        <v>43617</v>
      </c>
      <c r="M48" s="1570">
        <f t="shared" si="13"/>
        <v>43586</v>
      </c>
      <c r="N48" s="1570">
        <f t="shared" si="13"/>
        <v>43556</v>
      </c>
      <c r="O48" s="1570">
        <f t="shared" si="13"/>
        <v>43525</v>
      </c>
      <c r="P48" s="1438"/>
      <c r="Q48" s="1439"/>
      <c r="R48" s="1439"/>
      <c r="S48" s="1439"/>
      <c r="T48" s="1439"/>
      <c r="U48" s="1439"/>
      <c r="V48" s="1439"/>
      <c r="W48" s="1439"/>
      <c r="X48" s="1439"/>
      <c r="Y48" s="1439"/>
      <c r="Z48" s="1439"/>
      <c r="AA48" s="1439"/>
      <c r="AB48" s="1439"/>
      <c r="AC48" s="1439"/>
    </row>
    <row r="49" spans="1:29" s="117" customFormat="1" ht="15">
      <c r="A49" s="509"/>
      <c r="B49" s="510"/>
      <c r="C49" s="1561">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1606</v>
      </c>
    </row>
    <row r="2" spans="1:1">
      <c r="A2" s="1940"/>
    </row>
    <row r="3" spans="1:1" ht="18">
      <c r="A3" s="1941" t="str">
        <f>项目基本情况!B5&amp;"："</f>
        <v>曲美家居集团股份有限公司：</v>
      </c>
    </row>
    <row r="4" spans="1:1" ht="36">
      <c r="A4" s="1942" t="str">
        <f>"受贵公司委托，我公司对"&amp;项目基本情况!S1&amp;"进行了预评估。"</f>
        <v>受贵公司委托，我公司对北京市顺义区坞里路68号6号楼1至2层101出让国有建设用地使用权及在建建筑物房地产抵押价值进行了预评估。</v>
      </c>
    </row>
    <row r="5" spans="1:1" ht="18.75">
      <c r="A5" s="1943" t="s">
        <v>1607</v>
      </c>
    </row>
    <row r="6" spans="1:1" ht="18.75">
      <c r="A6" s="1944" t="s">
        <v>1608</v>
      </c>
    </row>
    <row r="7" spans="1:1" ht="7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坞里路68号6号楼1至2层101出让国有建设用地使用权及在建建筑物房地产，为所有。根据《国有土地使用证》[]，估价对象（分摊）出让国有建设用地使用权面积为61612.73平方米，建筑面积为23014.8平方米。</v>
      </c>
    </row>
    <row r="8" spans="1:1" ht="57.75">
      <c r="A8" s="1945" t="s">
        <v>1609</v>
      </c>
    </row>
    <row r="9" spans="1:1" ht="18.75">
      <c r="A9" s="1944" t="s">
        <v>1610</v>
      </c>
    </row>
    <row r="10" spans="1:1" ht="72">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坞里路68号6号楼1至2层101出让国有建设用地使用权及在建建筑物房地产,属开发建设的，该项目尚在开发建设中。根据《国有土地使用证》[]，估价对象（分摊）出让国有建设用地使用权面积为61612.73平方米，规划建筑面积为23014.8平方米。</v>
      </c>
    </row>
    <row r="11" spans="1:1" ht="76.5">
      <c r="A11" s="1945" t="s">
        <v>1611</v>
      </c>
    </row>
    <row r="12" spans="1:1" ht="18.75">
      <c r="A12" s="1943" t="s">
        <v>1612</v>
      </c>
    </row>
    <row r="13" spans="1:1" ht="38.25" customHeight="1">
      <c r="A13" s="1946" t="str">
        <f>IF(项目基本情况!B8="抵押",IF(项目基本情况!B5=项目基本情况!B6,定义!C51,定义!B51),定义!D51)</f>
        <v>为估价委托人在向中国建设银行股份有限公司北京鼎昆支行办理贷款手续过程中，确定房地产抵押贷款额度提供参考依据而评估房地产抵押价值。</v>
      </c>
    </row>
    <row r="14" spans="1:1" ht="18.75">
      <c r="A14" s="1947" t="s">
        <v>1613</v>
      </c>
    </row>
    <row r="15" spans="1:1" ht="18">
      <c r="A15" s="1948" t="str">
        <f>TEXT(项目基本情况!D3,"yyyy年m月d日;;")&amp;IF(项目基本情况!D3=项目基本情况!B3,"（评估专业人员实地查勘之日）","")</f>
        <v>2020年3月4日</v>
      </c>
    </row>
    <row r="16" spans="1:1" ht="18.75">
      <c r="A16" s="1947" t="s">
        <v>1614</v>
      </c>
    </row>
    <row r="17" spans="1:1" ht="75">
      <c r="A17" s="1942" t="s">
        <v>1615</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4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2" t="str">
        <f>IF(项目基本情况!B9="房地产市场价值","——",IF(项目基本情况!E9="——","",定义!C57))</f>
        <v/>
      </c>
    </row>
    <row r="23" spans="1:1" ht="18.75">
      <c r="A23" s="1947" t="s">
        <v>1604</v>
      </c>
    </row>
    <row r="24" spans="1:1" ht="18">
      <c r="A24" s="1949" t="str">
        <f>"本次评估采用的主估价方法为"&amp;结果表!K4&amp;"和"&amp;结果表!L4&amp;"。"</f>
        <v>本次评估采用的主估价方法为成本法和收益法。</v>
      </c>
    </row>
    <row r="25" spans="1:1" ht="18">
      <c r="A25" s="1949"/>
    </row>
    <row r="26" spans="1:1" ht="18.75">
      <c r="A26" s="1950" t="s">
        <v>1605</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2708</v>
      </c>
      <c r="B1" s="1614"/>
      <c r="C1" s="1615" t="s">
        <v>2531</v>
      </c>
      <c r="D1" s="1616"/>
      <c r="E1" s="1625"/>
      <c r="F1" s="2579"/>
      <c r="G1" s="1626" t="s">
        <v>2644</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2328</v>
      </c>
      <c r="B2" s="1418" t="e">
        <f ca="1">IF(C2="——",ROUND(C37*D3/10000,0),ROUND(C37*D3/10000,0)-D2)</f>
        <v>#DIV/0!</v>
      </c>
      <c r="C2" s="2581"/>
      <c r="D2" s="1124" t="e">
        <f ca="1">SUMIF(INDIRECT("'"&amp;F2&amp;"'"&amp;"!A:A"),"承租人权益价值",INDIRECT("'"&amp;F2&amp;"'"&amp;"!c:c"))</f>
        <v>#REF!</v>
      </c>
      <c r="E2" s="2582" t="s">
        <v>2329</v>
      </c>
      <c r="F2" s="2583"/>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00" t="s">
        <v>2647</v>
      </c>
      <c r="D4" s="3201"/>
      <c r="E4" s="3202" t="s">
        <v>2648</v>
      </c>
      <c r="F4" s="3203"/>
      <c r="G4" s="3200" t="s">
        <v>2649</v>
      </c>
      <c r="H4" s="3201"/>
      <c r="I4" s="3200" t="s">
        <v>2650</v>
      </c>
      <c r="J4" s="3201"/>
      <c r="K4" s="610" t="s">
        <v>2651</v>
      </c>
      <c r="L4" s="1130"/>
      <c r="M4" s="1131"/>
      <c r="N4" s="1131"/>
      <c r="O4" s="1131"/>
      <c r="P4" s="3204" t="s">
        <v>2652</v>
      </c>
      <c r="Q4" s="3205"/>
      <c r="R4" s="3187" t="s">
        <v>2648</v>
      </c>
      <c r="S4" s="3188"/>
      <c r="T4" s="3187" t="s">
        <v>2649</v>
      </c>
      <c r="U4" s="3188"/>
      <c r="V4" s="3212" t="s">
        <v>2650</v>
      </c>
      <c r="W4" s="3212"/>
      <c r="X4" s="1808"/>
      <c r="Y4" s="3187" t="s">
        <v>2652</v>
      </c>
      <c r="Z4" s="3188"/>
      <c r="AA4" s="3182" t="s">
        <v>2648</v>
      </c>
      <c r="AB4" s="3183" t="s">
        <v>2649</v>
      </c>
      <c r="AC4" s="3182" t="s">
        <v>2650</v>
      </c>
    </row>
    <row r="5" spans="1:29" ht="15">
      <c r="A5" s="404"/>
      <c r="B5" s="405"/>
      <c r="C5" s="3193" t="s">
        <v>2543</v>
      </c>
      <c r="D5" s="3194"/>
      <c r="E5" s="3191" t="s">
        <v>2544</v>
      </c>
      <c r="F5" s="3192"/>
      <c r="G5" s="3193" t="s">
        <v>2545</v>
      </c>
      <c r="H5" s="3194"/>
      <c r="I5" s="3193" t="s">
        <v>2546</v>
      </c>
      <c r="J5" s="3194"/>
      <c r="K5" s="610"/>
      <c r="L5" s="1130"/>
      <c r="M5" s="1131"/>
      <c r="N5" s="1131"/>
      <c r="O5" s="1131"/>
      <c r="P5" s="3206"/>
      <c r="Q5" s="3207"/>
      <c r="R5" s="3189"/>
      <c r="S5" s="3190"/>
      <c r="T5" s="3189"/>
      <c r="U5" s="3190"/>
      <c r="V5" s="3212"/>
      <c r="W5" s="3212"/>
      <c r="X5" s="1808"/>
      <c r="Y5" s="3189"/>
      <c r="Z5" s="3190"/>
      <c r="AA5" s="3183"/>
      <c r="AB5" s="3183"/>
      <c r="AC5" s="3183"/>
    </row>
    <row r="6" spans="1:29" ht="15.75" thickBot="1">
      <c r="A6" s="406"/>
      <c r="B6" s="407"/>
      <c r="C6" s="3195" t="s">
        <v>2547</v>
      </c>
      <c r="D6" s="3196"/>
      <c r="E6" s="3197" t="s">
        <v>2547</v>
      </c>
      <c r="F6" s="3198"/>
      <c r="G6" s="3195" t="s">
        <v>2547</v>
      </c>
      <c r="H6" s="3196"/>
      <c r="I6" s="3195" t="s">
        <v>2547</v>
      </c>
      <c r="J6" s="3196"/>
      <c r="K6" s="610" t="s">
        <v>2548</v>
      </c>
      <c r="L6" s="1130"/>
      <c r="M6" s="1131"/>
      <c r="N6" s="1131"/>
      <c r="O6" s="1131"/>
      <c r="P6" s="3208"/>
      <c r="Q6" s="3209"/>
      <c r="R6" s="3189"/>
      <c r="S6" s="3190"/>
      <c r="T6" s="3210"/>
      <c r="U6" s="3211"/>
      <c r="V6" s="3212"/>
      <c r="W6" s="3212"/>
      <c r="X6" s="1808"/>
      <c r="Y6" s="3210"/>
      <c r="Z6" s="3211"/>
      <c r="AA6" s="3184"/>
      <c r="AB6" s="3184"/>
      <c r="AC6" s="3184"/>
    </row>
    <row r="7" spans="1:29" s="117" customFormat="1" ht="15.75" thickBot="1">
      <c r="A7" s="408" t="s">
        <v>2549</v>
      </c>
      <c r="B7" s="409"/>
      <c r="C7" s="410">
        <f>'数据-取费表'!B2</f>
        <v>43894</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185" t="s">
        <v>2550</v>
      </c>
      <c r="Q7" s="3213"/>
      <c r="R7" s="770" t="s">
        <v>17</v>
      </c>
      <c r="S7" s="771">
        <f t="shared" ref="S7:S14" si="0">F7</f>
        <v>0</v>
      </c>
      <c r="T7" s="770" t="s">
        <v>17</v>
      </c>
      <c r="U7" s="771">
        <f t="shared" ref="U7:U14" si="1">H7</f>
        <v>0</v>
      </c>
      <c r="V7" s="770" t="s">
        <v>17</v>
      </c>
      <c r="W7" s="771">
        <f t="shared" ref="W7:W14" si="2">J7</f>
        <v>0</v>
      </c>
      <c r="X7" s="772"/>
      <c r="Y7" s="3185" t="s">
        <v>2550</v>
      </c>
      <c r="Z7" s="318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5" t="s">
        <v>2553</v>
      </c>
      <c r="Q8" s="3186"/>
      <c r="R8" s="770" t="s">
        <v>17</v>
      </c>
      <c r="S8" s="771">
        <f t="shared" si="0"/>
        <v>0</v>
      </c>
      <c r="T8" s="770" t="s">
        <v>17</v>
      </c>
      <c r="U8" s="771">
        <f t="shared" si="1"/>
        <v>0</v>
      </c>
      <c r="V8" s="770" t="s">
        <v>17</v>
      </c>
      <c r="W8" s="771">
        <f t="shared" si="2"/>
        <v>0</v>
      </c>
      <c r="X8" s="772"/>
      <c r="Y8" s="3185" t="s">
        <v>2553</v>
      </c>
      <c r="Z8" s="318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7" t="s">
        <v>2556</v>
      </c>
      <c r="Q9" s="1790" t="str">
        <f t="shared" ref="Q9:Q14" si="6">B9</f>
        <v>用途</v>
      </c>
      <c r="R9" s="770" t="s">
        <v>17</v>
      </c>
      <c r="S9" s="771">
        <f t="shared" si="0"/>
        <v>100</v>
      </c>
      <c r="T9" s="770" t="s">
        <v>17</v>
      </c>
      <c r="U9" s="771">
        <f t="shared" si="1"/>
        <v>100</v>
      </c>
      <c r="V9" s="770" t="s">
        <v>17</v>
      </c>
      <c r="W9" s="771">
        <f t="shared" si="2"/>
        <v>100</v>
      </c>
      <c r="X9" s="772"/>
      <c r="Y9" s="303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7"/>
      <c r="Q10" s="1790"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7"/>
      <c r="Q11" s="1790">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7"/>
      <c r="Q12" s="1790">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17"/>
      <c r="Q13" s="1790">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40" t="s">
        <v>2560</v>
      </c>
      <c r="B14" s="69" t="s">
        <v>2710</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9" t="s">
        <v>2561</v>
      </c>
      <c r="Q14" s="1805" t="str">
        <f t="shared" si="6"/>
        <v>交通便捷度</v>
      </c>
      <c r="R14" s="774" t="s">
        <v>17</v>
      </c>
      <c r="S14" s="775">
        <f t="shared" si="0"/>
        <v>100</v>
      </c>
      <c r="T14" s="774" t="s">
        <v>17</v>
      </c>
      <c r="U14" s="775">
        <f t="shared" si="1"/>
        <v>100</v>
      </c>
      <c r="V14" s="774" t="s">
        <v>17</v>
      </c>
      <c r="W14" s="775">
        <f t="shared" si="2"/>
        <v>100</v>
      </c>
      <c r="X14" s="1808"/>
      <c r="Y14" s="3219" t="s">
        <v>2561</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40"/>
      <c r="M15" s="1131"/>
      <c r="N15" s="1131"/>
      <c r="O15" s="1139"/>
      <c r="P15" s="3220"/>
      <c r="Q15" s="1805"/>
      <c r="R15" s="774"/>
      <c r="S15" s="775"/>
      <c r="T15" s="774"/>
      <c r="U15" s="775"/>
      <c r="V15" s="774"/>
      <c r="W15" s="775"/>
      <c r="X15" s="1808"/>
      <c r="Y15" s="3220"/>
      <c r="Z15" s="1809"/>
      <c r="AA15" s="1806">
        <v>1</v>
      </c>
      <c r="AB15" s="1806">
        <v>1</v>
      </c>
      <c r="AC15" s="1806">
        <v>1</v>
      </c>
    </row>
    <row r="16" spans="1:29" ht="42.75">
      <c r="A16" s="428"/>
      <c r="B16" s="451" t="s">
        <v>2689</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0"/>
      <c r="Q16" s="1805" t="str">
        <f>B16</f>
        <v>公共配套设施</v>
      </c>
      <c r="R16" s="774" t="s">
        <v>17</v>
      </c>
      <c r="S16" s="775">
        <f>F16</f>
        <v>100</v>
      </c>
      <c r="T16" s="774" t="s">
        <v>17</v>
      </c>
      <c r="U16" s="775">
        <f>H16</f>
        <v>100</v>
      </c>
      <c r="V16" s="774" t="s">
        <v>17</v>
      </c>
      <c r="W16" s="775">
        <f>J16</f>
        <v>100</v>
      </c>
      <c r="X16" s="1808"/>
      <c r="Y16" s="3220"/>
      <c r="Z16" s="1809" t="str">
        <f>Q16</f>
        <v>公共配套设施</v>
      </c>
      <c r="AA16" s="1806">
        <f t="shared" si="3"/>
        <v>1</v>
      </c>
      <c r="AB16" s="1806">
        <f t="shared" si="4"/>
        <v>1</v>
      </c>
      <c r="AC16" s="1806">
        <f t="shared" si="5"/>
        <v>1</v>
      </c>
    </row>
    <row r="17" spans="1:29" ht="15">
      <c r="A17" s="428"/>
      <c r="B17" s="456"/>
      <c r="C17" s="2603"/>
      <c r="D17" s="448"/>
      <c r="E17" s="447"/>
      <c r="F17" s="449"/>
      <c r="G17" s="447"/>
      <c r="H17" s="448"/>
      <c r="I17" s="447"/>
      <c r="J17" s="448"/>
      <c r="K17" s="615"/>
      <c r="L17" s="1140"/>
      <c r="M17" s="1131"/>
      <c r="N17" s="1131"/>
      <c r="O17" s="1139"/>
      <c r="P17" s="3220"/>
      <c r="Q17" s="1805"/>
      <c r="R17" s="774"/>
      <c r="S17" s="775"/>
      <c r="T17" s="774"/>
      <c r="U17" s="775"/>
      <c r="V17" s="774"/>
      <c r="W17" s="775"/>
      <c r="X17" s="1808"/>
      <c r="Y17" s="3220"/>
      <c r="Z17" s="1809"/>
      <c r="AA17" s="1806">
        <v>1</v>
      </c>
      <c r="AB17" s="1806">
        <v>1</v>
      </c>
      <c r="AC17" s="1806">
        <v>1</v>
      </c>
    </row>
    <row r="18" spans="1:29" ht="28.5">
      <c r="A18" s="428"/>
      <c r="B18" s="1384" t="s">
        <v>2690</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0"/>
      <c r="Q18" s="1805" t="str">
        <f>B18</f>
        <v>基础设施水平</v>
      </c>
      <c r="R18" s="774" t="s">
        <v>17</v>
      </c>
      <c r="S18" s="775">
        <f>F18</f>
        <v>100</v>
      </c>
      <c r="T18" s="774" t="s">
        <v>17</v>
      </c>
      <c r="U18" s="775">
        <f>H18</f>
        <v>100</v>
      </c>
      <c r="V18" s="774" t="s">
        <v>17</v>
      </c>
      <c r="W18" s="775">
        <f>J18</f>
        <v>100</v>
      </c>
      <c r="X18" s="1808"/>
      <c r="Y18" s="3220"/>
      <c r="Z18" s="1809" t="str">
        <f>Q18</f>
        <v>基础设施水平</v>
      </c>
      <c r="AA18" s="1806">
        <f>D18/F18</f>
        <v>1</v>
      </c>
      <c r="AB18" s="1806">
        <f>D18/H18</f>
        <v>1</v>
      </c>
      <c r="AC18" s="1806">
        <f>D18/J18</f>
        <v>1</v>
      </c>
    </row>
    <row r="19" spans="1:29" ht="15">
      <c r="A19" s="428"/>
      <c r="B19" s="1384"/>
      <c r="C19" s="2603"/>
      <c r="D19" s="450"/>
      <c r="E19" s="2603"/>
      <c r="F19" s="453"/>
      <c r="G19" s="2603"/>
      <c r="H19" s="448"/>
      <c r="I19" s="447"/>
      <c r="J19" s="448"/>
      <c r="K19" s="1383"/>
      <c r="L19" s="1140"/>
      <c r="M19" s="1131"/>
      <c r="N19" s="1131"/>
      <c r="O19" s="1139"/>
      <c r="P19" s="3220"/>
      <c r="Q19" s="1805"/>
      <c r="R19" s="774"/>
      <c r="S19" s="775"/>
      <c r="T19" s="774"/>
      <c r="U19" s="775"/>
      <c r="V19" s="774"/>
      <c r="W19" s="775"/>
      <c r="X19" s="1808"/>
      <c r="Y19" s="3220"/>
      <c r="Z19" s="1809"/>
      <c r="AA19" s="1806">
        <v>1</v>
      </c>
      <c r="AB19" s="1806">
        <v>1</v>
      </c>
      <c r="AC19" s="1806">
        <v>1</v>
      </c>
    </row>
    <row r="20" spans="1:29" ht="57">
      <c r="A20" s="428"/>
      <c r="B20" s="451" t="s">
        <v>2711</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0"/>
      <c r="Q20" s="1805" t="str">
        <f>B20</f>
        <v>自然及人文环境</v>
      </c>
      <c r="R20" s="774" t="s">
        <v>17</v>
      </c>
      <c r="S20" s="775">
        <f>F20</f>
        <v>100</v>
      </c>
      <c r="T20" s="774" t="s">
        <v>17</v>
      </c>
      <c r="U20" s="775">
        <f>H20</f>
        <v>100</v>
      </c>
      <c r="V20" s="774" t="s">
        <v>17</v>
      </c>
      <c r="W20" s="775">
        <f>J20</f>
        <v>100</v>
      </c>
      <c r="X20" s="1808"/>
      <c r="Y20" s="3220"/>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40"/>
      <c r="M21" s="1131"/>
      <c r="N21" s="1131"/>
      <c r="O21" s="1139"/>
      <c r="P21" s="3220"/>
      <c r="Q21" s="1805"/>
      <c r="R21" s="774"/>
      <c r="S21" s="775"/>
      <c r="T21" s="774"/>
      <c r="U21" s="775"/>
      <c r="V21" s="774"/>
      <c r="W21" s="775"/>
      <c r="X21" s="1808"/>
      <c r="Y21" s="3220"/>
      <c r="Z21" s="1809"/>
      <c r="AA21" s="1806">
        <v>1</v>
      </c>
      <c r="AB21" s="1806">
        <v>1</v>
      </c>
      <c r="AC21" s="1806">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0"/>
      <c r="Q22" s="1805" t="str">
        <f>B22</f>
        <v>楼层</v>
      </c>
      <c r="R22" s="774" t="s">
        <v>17</v>
      </c>
      <c r="S22" s="775">
        <f>F22</f>
        <v>100</v>
      </c>
      <c r="T22" s="774" t="s">
        <v>17</v>
      </c>
      <c r="U22" s="775">
        <f>H22</f>
        <v>100</v>
      </c>
      <c r="V22" s="774" t="s">
        <v>17</v>
      </c>
      <c r="W22" s="775">
        <f>J22</f>
        <v>100</v>
      </c>
      <c r="X22" s="1808"/>
      <c r="Y22" s="3220"/>
      <c r="Z22" s="1809" t="str">
        <f>Q22</f>
        <v>楼层</v>
      </c>
      <c r="AA22" s="1806">
        <f t="shared" si="3"/>
        <v>1</v>
      </c>
      <c r="AB22" s="1806">
        <f t="shared" si="4"/>
        <v>1</v>
      </c>
      <c r="AC22" s="1806">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0"/>
      <c r="Q23" s="1805">
        <f>B23</f>
        <v>111</v>
      </c>
      <c r="R23" s="774" t="s">
        <v>17</v>
      </c>
      <c r="S23" s="775">
        <f>F23</f>
        <v>100</v>
      </c>
      <c r="T23" s="774" t="s">
        <v>17</v>
      </c>
      <c r="U23" s="775">
        <f>H23</f>
        <v>100</v>
      </c>
      <c r="V23" s="774" t="s">
        <v>17</v>
      </c>
      <c r="W23" s="775">
        <f>J23</f>
        <v>100</v>
      </c>
      <c r="X23" s="1808"/>
      <c r="Y23" s="3220"/>
      <c r="Z23" s="1809">
        <f>Q23</f>
        <v>111</v>
      </c>
      <c r="AA23" s="1806">
        <f t="shared" si="3"/>
        <v>1</v>
      </c>
      <c r="AB23" s="1806">
        <f t="shared" si="4"/>
        <v>1</v>
      </c>
      <c r="AC23" s="1806">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0"/>
      <c r="Q24" s="1805">
        <f t="shared" ref="Q24:Q34" si="8">B24</f>
        <v>111</v>
      </c>
      <c r="R24" s="774" t="s">
        <v>17</v>
      </c>
      <c r="S24" s="775">
        <f>F24</f>
        <v>100</v>
      </c>
      <c r="T24" s="774" t="s">
        <v>17</v>
      </c>
      <c r="U24" s="775">
        <f>H24</f>
        <v>100</v>
      </c>
      <c r="V24" s="774" t="s">
        <v>17</v>
      </c>
      <c r="W24" s="775">
        <f>J24</f>
        <v>100</v>
      </c>
      <c r="X24" s="1808"/>
      <c r="Y24" s="3220"/>
      <c r="Z24" s="1809">
        <f>Q24</f>
        <v>111</v>
      </c>
      <c r="AA24" s="1806">
        <f t="shared" si="3"/>
        <v>1</v>
      </c>
      <c r="AB24" s="1806">
        <f t="shared" si="4"/>
        <v>1</v>
      </c>
      <c r="AC24" s="1806">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220"/>
      <c r="Q25" s="1790">
        <f t="shared" si="8"/>
        <v>111</v>
      </c>
      <c r="R25" s="770" t="s">
        <v>17</v>
      </c>
      <c r="S25" s="771">
        <f>F25</f>
        <v>100</v>
      </c>
      <c r="T25" s="770" t="s">
        <v>17</v>
      </c>
      <c r="U25" s="771">
        <f>H25</f>
        <v>100</v>
      </c>
      <c r="V25" s="770" t="s">
        <v>17</v>
      </c>
      <c r="W25" s="771">
        <f>J25</f>
        <v>100</v>
      </c>
      <c r="X25" s="772"/>
      <c r="Y25" s="3220"/>
      <c r="Z25" s="55">
        <f>Q25</f>
        <v>111</v>
      </c>
      <c r="AA25" s="1806">
        <f>D25/F25</f>
        <v>1</v>
      </c>
      <c r="AB25" s="1806">
        <f>D25/H25</f>
        <v>1</v>
      </c>
      <c r="AC25" s="1806">
        <f>D25/J25</f>
        <v>1</v>
      </c>
    </row>
    <row r="26" spans="1:29" ht="28.5">
      <c r="A26" s="466" t="s">
        <v>2564</v>
      </c>
      <c r="B26" s="71" t="s">
        <v>2715</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243" t="s">
        <v>2566</v>
      </c>
      <c r="Q26" s="1805" t="str">
        <f t="shared" si="8"/>
        <v>公共部分装修</v>
      </c>
      <c r="R26" s="774" t="s">
        <v>17</v>
      </c>
      <c r="S26" s="775">
        <f t="shared" ref="S26:S34" si="9">F26</f>
        <v>100</v>
      </c>
      <c r="T26" s="774" t="s">
        <v>17</v>
      </c>
      <c r="U26" s="775">
        <f t="shared" ref="U26:U34" si="10">H26</f>
        <v>100</v>
      </c>
      <c r="V26" s="774" t="s">
        <v>17</v>
      </c>
      <c r="W26" s="775">
        <f t="shared" ref="W26:W34" si="11">J26</f>
        <v>100</v>
      </c>
      <c r="X26" s="1808"/>
      <c r="Y26" s="3224" t="s">
        <v>2566</v>
      </c>
      <c r="Z26" s="1809" t="str">
        <f t="shared" ref="Z26:Z34" si="12">Q26</f>
        <v>公共部分装修</v>
      </c>
      <c r="AA26" s="1806">
        <f t="shared" si="3"/>
        <v>1</v>
      </c>
      <c r="AB26" s="1806">
        <f t="shared" si="4"/>
        <v>1</v>
      </c>
      <c r="AC26" s="1806">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4"/>
      <c r="Q27" s="776" t="str">
        <f t="shared" si="8"/>
        <v>成新率</v>
      </c>
      <c r="R27" s="777" t="s">
        <v>17</v>
      </c>
      <c r="S27" s="778" t="e">
        <f t="shared" si="9"/>
        <v>#N/A</v>
      </c>
      <c r="T27" s="777" t="s">
        <v>17</v>
      </c>
      <c r="U27" s="778" t="e">
        <f t="shared" si="10"/>
        <v>#N/A</v>
      </c>
      <c r="V27" s="777" t="s">
        <v>17</v>
      </c>
      <c r="W27" s="778" t="e">
        <f t="shared" si="11"/>
        <v>#N/A</v>
      </c>
      <c r="X27" s="779"/>
      <c r="Y27" s="3224"/>
      <c r="Z27" s="780" t="str">
        <f t="shared" si="12"/>
        <v>成新率</v>
      </c>
      <c r="AA27" s="1806" t="e">
        <f t="shared" si="3"/>
        <v>#N/A</v>
      </c>
      <c r="AB27" s="1806" t="e">
        <f t="shared" si="4"/>
        <v>#N/A</v>
      </c>
      <c r="AC27" s="1806"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4"/>
      <c r="Q28" s="1805" t="str">
        <f t="shared" si="8"/>
        <v>物业等级</v>
      </c>
      <c r="R28" s="774" t="s">
        <v>17</v>
      </c>
      <c r="S28" s="775">
        <f t="shared" si="9"/>
        <v>100</v>
      </c>
      <c r="T28" s="774" t="s">
        <v>17</v>
      </c>
      <c r="U28" s="775">
        <f t="shared" si="10"/>
        <v>100</v>
      </c>
      <c r="V28" s="774" t="s">
        <v>17</v>
      </c>
      <c r="W28" s="775">
        <f t="shared" si="11"/>
        <v>100</v>
      </c>
      <c r="X28" s="1808"/>
      <c r="Y28" s="3224"/>
      <c r="Z28" s="1809" t="str">
        <f t="shared" si="12"/>
        <v>物业等级</v>
      </c>
      <c r="AA28" s="1806">
        <f t="shared" si="3"/>
        <v>1</v>
      </c>
      <c r="AB28" s="1806">
        <f t="shared" si="4"/>
        <v>1</v>
      </c>
      <c r="AC28" s="1806">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4"/>
      <c r="Q29" s="1805" t="str">
        <f t="shared" si="8"/>
        <v>有无电梯</v>
      </c>
      <c r="R29" s="774" t="s">
        <v>17</v>
      </c>
      <c r="S29" s="775">
        <f t="shared" si="9"/>
        <v>100</v>
      </c>
      <c r="T29" s="774" t="s">
        <v>17</v>
      </c>
      <c r="U29" s="775">
        <f t="shared" si="10"/>
        <v>100</v>
      </c>
      <c r="V29" s="774" t="s">
        <v>17</v>
      </c>
      <c r="W29" s="775">
        <f t="shared" si="11"/>
        <v>100</v>
      </c>
      <c r="X29" s="1808"/>
      <c r="Y29" s="3224"/>
      <c r="Z29" s="1809" t="str">
        <f t="shared" si="12"/>
        <v>有无电梯</v>
      </c>
      <c r="AA29" s="1806">
        <f t="shared" si="3"/>
        <v>1</v>
      </c>
      <c r="AB29" s="1806">
        <f t="shared" si="4"/>
        <v>1</v>
      </c>
      <c r="AC29" s="1806">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4"/>
      <c r="Q30" s="1805" t="str">
        <f t="shared" si="8"/>
        <v>建筑面积</v>
      </c>
      <c r="R30" s="774" t="s">
        <v>17</v>
      </c>
      <c r="S30" s="775" t="e">
        <f t="shared" si="9"/>
        <v>#N/A</v>
      </c>
      <c r="T30" s="774" t="s">
        <v>17</v>
      </c>
      <c r="U30" s="775" t="e">
        <f t="shared" si="10"/>
        <v>#N/A</v>
      </c>
      <c r="V30" s="774" t="s">
        <v>17</v>
      </c>
      <c r="W30" s="775" t="e">
        <f t="shared" si="11"/>
        <v>#N/A</v>
      </c>
      <c r="X30" s="1808"/>
      <c r="Y30" s="3224"/>
      <c r="Z30" s="1809" t="str">
        <f t="shared" si="12"/>
        <v>建筑面积</v>
      </c>
      <c r="AA30" s="1806" t="e">
        <f t="shared" si="3"/>
        <v>#N/A</v>
      </c>
      <c r="AB30" s="1806" t="e">
        <f t="shared" si="4"/>
        <v>#N/A</v>
      </c>
      <c r="AC30" s="1806"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4"/>
      <c r="Q31" s="1790" t="str">
        <f t="shared" si="8"/>
        <v>是否封闭</v>
      </c>
      <c r="R31" s="770" t="s">
        <v>17</v>
      </c>
      <c r="S31" s="771">
        <f t="shared" si="9"/>
        <v>100</v>
      </c>
      <c r="T31" s="770" t="s">
        <v>17</v>
      </c>
      <c r="U31" s="771">
        <f t="shared" si="10"/>
        <v>100</v>
      </c>
      <c r="V31" s="770" t="s">
        <v>17</v>
      </c>
      <c r="W31" s="771">
        <f t="shared" si="11"/>
        <v>100</v>
      </c>
      <c r="X31" s="772"/>
      <c r="Y31" s="3224"/>
      <c r="Z31" s="55" t="str">
        <f t="shared" si="12"/>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4" t="s">
        <v>2566</v>
      </c>
      <c r="Q32" s="1805">
        <f t="shared" si="8"/>
        <v>111</v>
      </c>
      <c r="R32" s="774" t="s">
        <v>17</v>
      </c>
      <c r="S32" s="775">
        <f t="shared" si="9"/>
        <v>100</v>
      </c>
      <c r="T32" s="774" t="s">
        <v>17</v>
      </c>
      <c r="U32" s="775">
        <f t="shared" si="10"/>
        <v>100</v>
      </c>
      <c r="V32" s="774" t="s">
        <v>17</v>
      </c>
      <c r="W32" s="775">
        <f t="shared" si="11"/>
        <v>100</v>
      </c>
      <c r="X32" s="1808"/>
      <c r="Y32" s="3224" t="s">
        <v>2566</v>
      </c>
      <c r="Z32" s="1809">
        <f t="shared" si="12"/>
        <v>111</v>
      </c>
      <c r="AA32" s="1806">
        <f t="shared" si="3"/>
        <v>1</v>
      </c>
      <c r="AB32" s="1806">
        <f t="shared" si="4"/>
        <v>1</v>
      </c>
      <c r="AC32" s="1806">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4"/>
      <c r="Q33" s="1805">
        <f t="shared" si="8"/>
        <v>111</v>
      </c>
      <c r="R33" s="774" t="s">
        <v>17</v>
      </c>
      <c r="S33" s="775">
        <f t="shared" si="9"/>
        <v>100</v>
      </c>
      <c r="T33" s="774" t="s">
        <v>17</v>
      </c>
      <c r="U33" s="775">
        <f t="shared" si="10"/>
        <v>100</v>
      </c>
      <c r="V33" s="774" t="s">
        <v>17</v>
      </c>
      <c r="W33" s="775">
        <f t="shared" si="11"/>
        <v>100</v>
      </c>
      <c r="X33" s="1808"/>
      <c r="Y33" s="3224"/>
      <c r="Z33" s="1809">
        <f t="shared" si="12"/>
        <v>111</v>
      </c>
      <c r="AA33" s="1806">
        <f t="shared" si="3"/>
        <v>1</v>
      </c>
      <c r="AB33" s="1806">
        <f t="shared" si="4"/>
        <v>1</v>
      </c>
      <c r="AC33" s="1806">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24"/>
      <c r="Q34" s="1805">
        <f t="shared" si="8"/>
        <v>111</v>
      </c>
      <c r="R34" s="774" t="s">
        <v>17</v>
      </c>
      <c r="S34" s="775">
        <f t="shared" si="9"/>
        <v>100</v>
      </c>
      <c r="T34" s="774" t="s">
        <v>17</v>
      </c>
      <c r="U34" s="775">
        <f t="shared" si="10"/>
        <v>100</v>
      </c>
      <c r="V34" s="774" t="s">
        <v>17</v>
      </c>
      <c r="W34" s="775">
        <f t="shared" si="11"/>
        <v>100</v>
      </c>
      <c r="X34" s="1808"/>
      <c r="Y34" s="3224"/>
      <c r="Z34" s="1809">
        <f t="shared" si="12"/>
        <v>111</v>
      </c>
      <c r="AA34" s="1806">
        <f t="shared" si="3"/>
        <v>1</v>
      </c>
      <c r="AB34" s="1806">
        <f t="shared" si="4"/>
        <v>1</v>
      </c>
      <c r="AC34" s="1806">
        <f t="shared" si="5"/>
        <v>1</v>
      </c>
    </row>
    <row r="35" spans="1:29" ht="15">
      <c r="A35" s="479" t="s">
        <v>2578</v>
      </c>
      <c r="B35" s="480"/>
      <c r="C35" s="1407" t="s">
        <v>1</v>
      </c>
      <c r="D35" s="1408"/>
      <c r="E35" s="1409"/>
      <c r="F35" s="1410"/>
      <c r="G35" s="1411"/>
      <c r="H35" s="1412"/>
      <c r="I35" s="1409"/>
      <c r="J35" s="1412"/>
      <c r="K35" s="783"/>
      <c r="L35" s="1143"/>
      <c r="M35" s="1144"/>
      <c r="N35" s="1131"/>
      <c r="O35" s="1144"/>
      <c r="P35" s="3217" t="str">
        <f>A35</f>
        <v>成交单价（元/平方米）</v>
      </c>
      <c r="Q35" s="3217"/>
      <c r="R35" s="3218">
        <f>E35</f>
        <v>0</v>
      </c>
      <c r="S35" s="3218"/>
      <c r="T35" s="3218">
        <f>G35</f>
        <v>0</v>
      </c>
      <c r="U35" s="3218"/>
      <c r="V35" s="3218">
        <f>I35</f>
        <v>0</v>
      </c>
      <c r="W35" s="3218"/>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214" t="str">
        <f>A37</f>
        <v>估价对象XX用房的比较价值（楼面单价，元/平方米）</v>
      </c>
      <c r="Q37" s="3215"/>
      <c r="R37" s="3216" t="e">
        <f>IF(F1="售价",ROUND(AVERAGE(R36:V36),0),ROUND(AVERAGE(R36:V36),1))</f>
        <v>#DIV/0!</v>
      </c>
      <c r="S37" s="3216"/>
      <c r="T37" s="3216"/>
      <c r="U37" s="3216"/>
      <c r="V37" s="3216"/>
      <c r="W37" s="321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69" t="str">
        <f>YEAR(C7)&amp;"-"&amp;MONTH(C7)</f>
        <v>2020-3</v>
      </c>
      <c r="D46" s="1570">
        <f>EDATE(C46,-1)</f>
        <v>43862</v>
      </c>
      <c r="E46" s="1570">
        <f t="shared" ref="E46:O46" si="13">EDATE(D46,-1)</f>
        <v>43831</v>
      </c>
      <c r="F46" s="1570">
        <f t="shared" si="13"/>
        <v>43800</v>
      </c>
      <c r="G46" s="1570">
        <f t="shared" si="13"/>
        <v>43770</v>
      </c>
      <c r="H46" s="1570">
        <f t="shared" si="13"/>
        <v>43739</v>
      </c>
      <c r="I46" s="1570">
        <f t="shared" si="13"/>
        <v>43709</v>
      </c>
      <c r="J46" s="1570">
        <f t="shared" si="13"/>
        <v>43678</v>
      </c>
      <c r="K46" s="1570">
        <f t="shared" si="13"/>
        <v>43647</v>
      </c>
      <c r="L46" s="1570">
        <f t="shared" si="13"/>
        <v>43617</v>
      </c>
      <c r="M46" s="1570">
        <f t="shared" si="13"/>
        <v>43586</v>
      </c>
      <c r="N46" s="1570">
        <f t="shared" si="13"/>
        <v>43556</v>
      </c>
      <c r="O46" s="1570">
        <f t="shared" si="13"/>
        <v>43525</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5" thickTop="1">
      <c r="A86" s="599"/>
      <c r="B86" s="546" t="s">
        <v>2743</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78"/>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200" t="s">
        <v>2647</v>
      </c>
      <c r="D4" s="3201"/>
      <c r="E4" s="3202" t="s">
        <v>2648</v>
      </c>
      <c r="F4" s="3203"/>
      <c r="G4" s="3200" t="s">
        <v>2649</v>
      </c>
      <c r="H4" s="3201"/>
      <c r="I4" s="3200" t="s">
        <v>2650</v>
      </c>
      <c r="J4" s="3201"/>
      <c r="K4" s="610" t="s">
        <v>2651</v>
      </c>
      <c r="L4" s="1130"/>
      <c r="M4" s="1131"/>
      <c r="N4" s="1131"/>
      <c r="O4" s="1131"/>
      <c r="P4" s="3204" t="s">
        <v>2652</v>
      </c>
      <c r="Q4" s="3205"/>
      <c r="R4" s="3187" t="s">
        <v>2648</v>
      </c>
      <c r="S4" s="3188"/>
      <c r="T4" s="3187" t="s">
        <v>2649</v>
      </c>
      <c r="U4" s="3188"/>
      <c r="V4" s="3212" t="s">
        <v>2650</v>
      </c>
      <c r="W4" s="3212"/>
      <c r="X4" s="1808"/>
      <c r="Y4" s="3187" t="s">
        <v>2652</v>
      </c>
      <c r="Z4" s="3188"/>
      <c r="AA4" s="3182" t="s">
        <v>2648</v>
      </c>
      <c r="AB4" s="3183" t="s">
        <v>2649</v>
      </c>
      <c r="AC4" s="3182" t="s">
        <v>2650</v>
      </c>
    </row>
    <row r="5" spans="1:30" ht="15">
      <c r="A5" s="404"/>
      <c r="B5" s="405"/>
      <c r="C5" s="3193" t="s">
        <v>2543</v>
      </c>
      <c r="D5" s="3194"/>
      <c r="E5" s="3191" t="s">
        <v>2544</v>
      </c>
      <c r="F5" s="3192"/>
      <c r="G5" s="3193" t="s">
        <v>2545</v>
      </c>
      <c r="H5" s="3194"/>
      <c r="I5" s="3193" t="s">
        <v>2546</v>
      </c>
      <c r="J5" s="3194"/>
      <c r="K5" s="610"/>
      <c r="L5" s="1130"/>
      <c r="M5" s="1131"/>
      <c r="N5" s="1131"/>
      <c r="O5" s="1131"/>
      <c r="P5" s="3206"/>
      <c r="Q5" s="3207"/>
      <c r="R5" s="3189"/>
      <c r="S5" s="3190"/>
      <c r="T5" s="3189"/>
      <c r="U5" s="3190"/>
      <c r="V5" s="3212"/>
      <c r="W5" s="3212"/>
      <c r="X5" s="1808"/>
      <c r="Y5" s="3189"/>
      <c r="Z5" s="3190"/>
      <c r="AA5" s="3183"/>
      <c r="AB5" s="3183"/>
      <c r="AC5" s="3183"/>
    </row>
    <row r="6" spans="1:30" ht="15.75" thickBot="1">
      <c r="A6" s="406"/>
      <c r="B6" s="407"/>
      <c r="C6" s="3195" t="s">
        <v>2547</v>
      </c>
      <c r="D6" s="3196"/>
      <c r="E6" s="3197" t="s">
        <v>2547</v>
      </c>
      <c r="F6" s="3198"/>
      <c r="G6" s="3195" t="s">
        <v>2547</v>
      </c>
      <c r="H6" s="3196"/>
      <c r="I6" s="3195" t="s">
        <v>2547</v>
      </c>
      <c r="J6" s="3196"/>
      <c r="K6" s="610" t="s">
        <v>2548</v>
      </c>
      <c r="L6" s="1130"/>
      <c r="M6" s="1131"/>
      <c r="N6" s="1131"/>
      <c r="O6" s="1131"/>
      <c r="P6" s="3208"/>
      <c r="Q6" s="3209"/>
      <c r="R6" s="3189"/>
      <c r="S6" s="3190"/>
      <c r="T6" s="3210"/>
      <c r="U6" s="3211"/>
      <c r="V6" s="3212"/>
      <c r="W6" s="3212"/>
      <c r="X6" s="1808"/>
      <c r="Y6" s="3210"/>
      <c r="Z6" s="3211"/>
      <c r="AA6" s="3184"/>
      <c r="AB6" s="3184"/>
      <c r="AC6" s="3184"/>
    </row>
    <row r="7" spans="1:30" s="117" customFormat="1" ht="15.75" thickBot="1">
      <c r="A7" s="408" t="s">
        <v>2549</v>
      </c>
      <c r="B7" s="409"/>
      <c r="C7" s="410">
        <f>'数据-取费表'!B2</f>
        <v>43894</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2"/>
      <c r="M7" s="1133"/>
      <c r="N7" s="1133"/>
      <c r="O7" s="1133"/>
      <c r="P7" s="3185" t="s">
        <v>2550</v>
      </c>
      <c r="Q7" s="3213"/>
      <c r="R7" s="770" t="s">
        <v>17</v>
      </c>
      <c r="S7" s="771">
        <f t="shared" ref="S7:S15" si="0">F7</f>
        <v>0</v>
      </c>
      <c r="T7" s="770" t="s">
        <v>17</v>
      </c>
      <c r="U7" s="771">
        <f t="shared" ref="U7:U15" si="1">H7</f>
        <v>0</v>
      </c>
      <c r="V7" s="770" t="s">
        <v>17</v>
      </c>
      <c r="W7" s="771">
        <f t="shared" ref="W7:W15" si="2">J7</f>
        <v>0</v>
      </c>
      <c r="X7" s="772"/>
      <c r="Y7" s="3185" t="s">
        <v>2550</v>
      </c>
      <c r="Z7" s="318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5" t="s">
        <v>2553</v>
      </c>
      <c r="Q8" s="3186"/>
      <c r="R8" s="770" t="s">
        <v>17</v>
      </c>
      <c r="S8" s="771">
        <f t="shared" si="0"/>
        <v>0</v>
      </c>
      <c r="T8" s="770" t="s">
        <v>17</v>
      </c>
      <c r="U8" s="771">
        <f t="shared" si="1"/>
        <v>0</v>
      </c>
      <c r="V8" s="770" t="s">
        <v>17</v>
      </c>
      <c r="W8" s="771">
        <f t="shared" si="2"/>
        <v>0</v>
      </c>
      <c r="X8" s="772"/>
      <c r="Y8" s="3185" t="s">
        <v>2553</v>
      </c>
      <c r="Z8" s="3186"/>
      <c r="AA8" s="773" t="e">
        <f t="shared" ref="AA8:AA45" si="3">D8/F8</f>
        <v>#DIV/0!</v>
      </c>
      <c r="AB8" s="773" t="e">
        <f t="shared" ref="AB8:AB45" si="4">D8/H8</f>
        <v>#DIV/0!</v>
      </c>
      <c r="AC8" s="773" t="e">
        <f t="shared" ref="AC8:AC45" si="5">D8/J8</f>
        <v>#DIV/0!</v>
      </c>
    </row>
    <row r="9" spans="1:30" s="117" customFormat="1">
      <c r="A9" s="415" t="s">
        <v>2554</v>
      </c>
      <c r="B9" s="71" t="s">
        <v>2555</v>
      </c>
      <c r="C9" s="2694"/>
      <c r="D9" s="135">
        <v>100</v>
      </c>
      <c r="E9" s="2694"/>
      <c r="F9" s="135">
        <f>SUMIF(75:75,E9,76:76)-SUMIF(75:75,C9,76:76)+100</f>
        <v>100</v>
      </c>
      <c r="G9" s="2694"/>
      <c r="H9" s="135">
        <f>SUMIF(75:75,G9,76:76)-SUMIF(75:75,C9,76:76)+100</f>
        <v>100</v>
      </c>
      <c r="I9" s="2694"/>
      <c r="J9" s="135">
        <f>SUMIF(75:75,I9,76:76)-SUMIF(75:75,C9,76:76)+100</f>
        <v>100</v>
      </c>
      <c r="K9" s="611"/>
      <c r="L9" s="1132"/>
      <c r="M9" s="1133"/>
      <c r="N9" s="1133"/>
      <c r="O9" s="1134"/>
      <c r="P9" s="3217" t="s">
        <v>2556</v>
      </c>
      <c r="Q9" s="1790" t="str">
        <f t="shared" ref="Q9:Q15" si="6">B9</f>
        <v>用途</v>
      </c>
      <c r="R9" s="770" t="s">
        <v>17</v>
      </c>
      <c r="S9" s="771">
        <f t="shared" si="0"/>
        <v>100</v>
      </c>
      <c r="T9" s="770" t="s">
        <v>17</v>
      </c>
      <c r="U9" s="771">
        <f t="shared" si="1"/>
        <v>100</v>
      </c>
      <c r="V9" s="770" t="s">
        <v>17</v>
      </c>
      <c r="W9" s="771">
        <f t="shared" si="2"/>
        <v>100</v>
      </c>
      <c r="X9" s="772"/>
      <c r="Y9" s="303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 ca="1">ROUND(100/'数据-取费表'!G16,0)</f>
        <v>106</v>
      </c>
      <c r="G10" s="463"/>
      <c r="H10" s="136">
        <f ca="1">ROUND(100/'数据-取费表'!G16,0)</f>
        <v>106</v>
      </c>
      <c r="I10" s="463"/>
      <c r="J10" s="136">
        <f ca="1">ROUND(100/'数据-取费表'!G16,0)</f>
        <v>106</v>
      </c>
      <c r="K10" s="672"/>
      <c r="L10" s="1135"/>
      <c r="M10" s="1136"/>
      <c r="N10" s="1136"/>
      <c r="O10" s="1137"/>
      <c r="P10" s="3217"/>
      <c r="Q10" s="1790" t="str">
        <f t="shared" si="6"/>
        <v>土地使用年限（年）</v>
      </c>
      <c r="R10" s="770" t="s">
        <v>17</v>
      </c>
      <c r="S10" s="771">
        <f t="shared" ca="1" si="0"/>
        <v>106</v>
      </c>
      <c r="T10" s="770" t="s">
        <v>17</v>
      </c>
      <c r="U10" s="771">
        <f t="shared" ca="1" si="1"/>
        <v>106</v>
      </c>
      <c r="V10" s="770" t="s">
        <v>17</v>
      </c>
      <c r="W10" s="771">
        <f t="shared" ca="1" si="2"/>
        <v>106</v>
      </c>
      <c r="X10" s="772"/>
      <c r="Y10" s="3032"/>
      <c r="Z10" s="55" t="str">
        <f t="shared" si="7"/>
        <v>土地使用年限（年）</v>
      </c>
      <c r="AA10" s="773">
        <f t="shared" ca="1" si="3"/>
        <v>0.94339622641509435</v>
      </c>
      <c r="AB10" s="773">
        <f t="shared" ca="1" si="4"/>
        <v>0.94339622641509435</v>
      </c>
      <c r="AC10" s="773">
        <f t="shared" ca="1"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7"/>
      <c r="Q11" s="1790"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30" s="117" customFormat="1" ht="15">
      <c r="A12" s="431"/>
      <c r="B12" s="2595"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7"/>
      <c r="Q12" s="1790"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7"/>
      <c r="Q13" s="1790">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7"/>
      <c r="Q14" s="1790">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99.75">
      <c r="A15" s="440" t="s">
        <v>2560</v>
      </c>
      <c r="B15" s="69" t="s">
        <v>2084</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9" t="s">
        <v>2561</v>
      </c>
      <c r="Q15" s="1805" t="str">
        <f t="shared" si="6"/>
        <v>居住社区成熟度</v>
      </c>
      <c r="R15" s="774" t="s">
        <v>17</v>
      </c>
      <c r="S15" s="775">
        <f t="shared" si="0"/>
        <v>100</v>
      </c>
      <c r="T15" s="774" t="s">
        <v>17</v>
      </c>
      <c r="U15" s="775">
        <f t="shared" si="1"/>
        <v>100</v>
      </c>
      <c r="V15" s="774" t="s">
        <v>17</v>
      </c>
      <c r="W15" s="775">
        <f t="shared" si="2"/>
        <v>100</v>
      </c>
      <c r="X15" s="1808"/>
      <c r="Y15" s="3219" t="s">
        <v>2561</v>
      </c>
      <c r="Z15" s="1809" t="str">
        <f t="shared" si="7"/>
        <v>居住社区成熟度</v>
      </c>
      <c r="AA15" s="1806">
        <f t="shared" si="3"/>
        <v>1</v>
      </c>
      <c r="AB15" s="1806">
        <f t="shared" si="4"/>
        <v>1</v>
      </c>
      <c r="AC15" s="1806">
        <f t="shared" si="5"/>
        <v>1</v>
      </c>
    </row>
    <row r="16" spans="1:30" ht="15">
      <c r="A16" s="428"/>
      <c r="B16" s="446"/>
      <c r="C16" s="447"/>
      <c r="D16" s="448"/>
      <c r="E16" s="2600"/>
      <c r="F16" s="448"/>
      <c r="G16" s="2600"/>
      <c r="H16" s="450"/>
      <c r="I16" s="2599"/>
      <c r="J16" s="448"/>
      <c r="K16" s="672"/>
      <c r="L16" s="1140"/>
      <c r="M16" s="1131"/>
      <c r="N16" s="1131"/>
      <c r="O16" s="1139"/>
      <c r="P16" s="3220"/>
      <c r="Q16" s="1805"/>
      <c r="R16" s="774"/>
      <c r="S16" s="775"/>
      <c r="T16" s="774"/>
      <c r="U16" s="775"/>
      <c r="V16" s="774"/>
      <c r="W16" s="775"/>
      <c r="X16" s="1808"/>
      <c r="Y16" s="3220"/>
      <c r="Z16" s="1809"/>
      <c r="AA16" s="1806">
        <v>1</v>
      </c>
      <c r="AB16" s="1806">
        <v>1</v>
      </c>
      <c r="AC16" s="1806">
        <v>1</v>
      </c>
    </row>
    <row r="17" spans="1:29" ht="71.25">
      <c r="A17" s="428"/>
      <c r="B17" s="451" t="s">
        <v>2654</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0"/>
      <c r="Q17" s="1805" t="str">
        <f>B17</f>
        <v>商业繁华度</v>
      </c>
      <c r="R17" s="774" t="s">
        <v>17</v>
      </c>
      <c r="S17" s="775">
        <f>F17</f>
        <v>100</v>
      </c>
      <c r="T17" s="774" t="s">
        <v>17</v>
      </c>
      <c r="U17" s="775">
        <f>H17</f>
        <v>100</v>
      </c>
      <c r="V17" s="774" t="s">
        <v>17</v>
      </c>
      <c r="W17" s="775">
        <f>J17</f>
        <v>100</v>
      </c>
      <c r="X17" s="1808"/>
      <c r="Y17" s="3220"/>
      <c r="Z17" s="1809" t="str">
        <f>Q17</f>
        <v>商业繁华度</v>
      </c>
      <c r="AA17" s="1806">
        <f t="shared" si="3"/>
        <v>1</v>
      </c>
      <c r="AB17" s="1806">
        <f t="shared" si="4"/>
        <v>1</v>
      </c>
      <c r="AC17" s="1806">
        <f t="shared" si="5"/>
        <v>1</v>
      </c>
    </row>
    <row r="18" spans="1:29" ht="15">
      <c r="A18" s="428"/>
      <c r="B18" s="456"/>
      <c r="C18" s="2603"/>
      <c r="D18" s="450"/>
      <c r="E18" s="2605"/>
      <c r="F18" s="450"/>
      <c r="G18" s="2605"/>
      <c r="H18" s="448"/>
      <c r="I18" s="2604"/>
      <c r="J18" s="448"/>
      <c r="K18" s="672"/>
      <c r="L18" s="1140"/>
      <c r="M18" s="1131"/>
      <c r="N18" s="1131"/>
      <c r="O18" s="1139"/>
      <c r="P18" s="3220"/>
      <c r="Q18" s="1805"/>
      <c r="R18" s="774"/>
      <c r="S18" s="775"/>
      <c r="T18" s="774"/>
      <c r="U18" s="775"/>
      <c r="V18" s="774"/>
      <c r="W18" s="775"/>
      <c r="X18" s="1808"/>
      <c r="Y18" s="3220"/>
      <c r="Z18" s="1809"/>
      <c r="AA18" s="1806">
        <v>1</v>
      </c>
      <c r="AB18" s="1806">
        <v>1</v>
      </c>
      <c r="AC18" s="1806">
        <v>1</v>
      </c>
    </row>
    <row r="19" spans="1:29" ht="71.25">
      <c r="A19" s="428"/>
      <c r="B19" s="451" t="s">
        <v>2688</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0"/>
      <c r="Q19" s="1805" t="str">
        <f>B19</f>
        <v>办公集聚程度</v>
      </c>
      <c r="R19" s="774" t="s">
        <v>17</v>
      </c>
      <c r="S19" s="775">
        <f>F19</f>
        <v>100</v>
      </c>
      <c r="T19" s="774" t="s">
        <v>17</v>
      </c>
      <c r="U19" s="775">
        <f>H19</f>
        <v>100</v>
      </c>
      <c r="V19" s="774" t="s">
        <v>17</v>
      </c>
      <c r="W19" s="775">
        <f>J19</f>
        <v>100</v>
      </c>
      <c r="X19" s="1808"/>
      <c r="Y19" s="3220"/>
      <c r="Z19" s="1809" t="str">
        <f>Q19</f>
        <v>办公集聚程度</v>
      </c>
      <c r="AA19" s="1806">
        <f t="shared" si="3"/>
        <v>1</v>
      </c>
      <c r="AB19" s="1806">
        <f t="shared" si="4"/>
        <v>1</v>
      </c>
      <c r="AC19" s="1806">
        <f t="shared" si="5"/>
        <v>1</v>
      </c>
    </row>
    <row r="20" spans="1:29" ht="15">
      <c r="A20" s="428"/>
      <c r="B20" s="456"/>
      <c r="C20" s="447"/>
      <c r="D20" s="448"/>
      <c r="E20" s="2600"/>
      <c r="F20" s="448"/>
      <c r="G20" s="2600"/>
      <c r="H20" s="448"/>
      <c r="I20" s="2599"/>
      <c r="J20" s="448"/>
      <c r="K20" s="672"/>
      <c r="L20" s="1140"/>
      <c r="M20" s="1131"/>
      <c r="N20" s="1131"/>
      <c r="O20" s="1139"/>
      <c r="P20" s="3220"/>
      <c r="Q20" s="1805"/>
      <c r="R20" s="774"/>
      <c r="S20" s="775"/>
      <c r="T20" s="774"/>
      <c r="U20" s="775"/>
      <c r="V20" s="774"/>
      <c r="W20" s="775"/>
      <c r="X20" s="1808"/>
      <c r="Y20" s="3220"/>
      <c r="Z20" s="1809"/>
      <c r="AA20" s="1806">
        <v>1</v>
      </c>
      <c r="AB20" s="1806">
        <v>1</v>
      </c>
      <c r="AC20" s="1806">
        <v>1</v>
      </c>
    </row>
    <row r="21" spans="1:29" ht="85.5">
      <c r="A21" s="428"/>
      <c r="B21" s="451" t="s">
        <v>2710</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0"/>
      <c r="Q21" s="1805" t="str">
        <f>B21</f>
        <v>交通便捷度</v>
      </c>
      <c r="R21" s="774" t="s">
        <v>17</v>
      </c>
      <c r="S21" s="775">
        <f>F21</f>
        <v>100</v>
      </c>
      <c r="T21" s="774" t="s">
        <v>17</v>
      </c>
      <c r="U21" s="775">
        <f>H21</f>
        <v>100</v>
      </c>
      <c r="V21" s="774" t="s">
        <v>17</v>
      </c>
      <c r="W21" s="775">
        <f>J21</f>
        <v>100</v>
      </c>
      <c r="X21" s="1808"/>
      <c r="Y21" s="3220"/>
      <c r="Z21" s="1809" t="str">
        <f>Q21</f>
        <v>交通便捷度</v>
      </c>
      <c r="AA21" s="1806">
        <f t="shared" si="3"/>
        <v>1</v>
      </c>
      <c r="AB21" s="1806">
        <f t="shared" si="4"/>
        <v>1</v>
      </c>
      <c r="AC21" s="1806">
        <f t="shared" si="5"/>
        <v>1</v>
      </c>
    </row>
    <row r="22" spans="1:29" ht="15">
      <c r="A22" s="428"/>
      <c r="B22" s="1384"/>
      <c r="C22" s="447"/>
      <c r="D22" s="450"/>
      <c r="E22" s="2600"/>
      <c r="F22" s="448"/>
      <c r="G22" s="2600"/>
      <c r="H22" s="448"/>
      <c r="I22" s="2599"/>
      <c r="J22" s="448"/>
      <c r="K22" s="672"/>
      <c r="L22" s="1140"/>
      <c r="M22" s="1131"/>
      <c r="N22" s="1131"/>
      <c r="O22" s="1139"/>
      <c r="P22" s="3220"/>
      <c r="Q22" s="1805"/>
      <c r="R22" s="774"/>
      <c r="S22" s="775"/>
      <c r="T22" s="774"/>
      <c r="U22" s="775"/>
      <c r="V22" s="774"/>
      <c r="W22" s="775"/>
      <c r="X22" s="1808"/>
      <c r="Y22" s="3220"/>
      <c r="Z22" s="1809"/>
      <c r="AA22" s="1806">
        <v>1</v>
      </c>
      <c r="AB22" s="1806">
        <v>1</v>
      </c>
      <c r="AC22" s="1806">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0"/>
      <c r="Q23" s="1805" t="str">
        <f t="shared" ref="Q23:Q37" si="8">B23</f>
        <v>区域土地利用方向</v>
      </c>
      <c r="R23" s="774" t="s">
        <v>17</v>
      </c>
      <c r="S23" s="775">
        <f>F23</f>
        <v>100</v>
      </c>
      <c r="T23" s="774" t="s">
        <v>17</v>
      </c>
      <c r="U23" s="775">
        <f>H23</f>
        <v>100</v>
      </c>
      <c r="V23" s="774" t="s">
        <v>17</v>
      </c>
      <c r="W23" s="775">
        <f>J23</f>
        <v>100</v>
      </c>
      <c r="X23" s="1808"/>
      <c r="Y23" s="3220"/>
      <c r="Z23" s="1809" t="str">
        <f>Q23</f>
        <v>区域土地利用方向</v>
      </c>
      <c r="AA23" s="1806">
        <f t="shared" si="3"/>
        <v>1</v>
      </c>
      <c r="AB23" s="1806">
        <f t="shared" si="4"/>
        <v>1</v>
      </c>
      <c r="AC23" s="1806">
        <f t="shared" si="5"/>
        <v>1</v>
      </c>
    </row>
    <row r="24" spans="1:29" ht="15">
      <c r="A24" s="404"/>
      <c r="B24" s="456"/>
      <c r="C24" s="616"/>
      <c r="D24" s="448"/>
      <c r="E24" s="2600"/>
      <c r="F24" s="448"/>
      <c r="G24" s="2599"/>
      <c r="H24" s="448"/>
      <c r="I24" s="2599"/>
      <c r="J24" s="448"/>
      <c r="K24" s="812"/>
      <c r="L24" s="1140"/>
      <c r="M24" s="1131"/>
      <c r="N24" s="1131"/>
      <c r="O24" s="1139"/>
      <c r="P24" s="3220"/>
      <c r="Q24" s="1805"/>
      <c r="R24" s="774"/>
      <c r="S24" s="775"/>
      <c r="T24" s="774"/>
      <c r="U24" s="775"/>
      <c r="V24" s="774"/>
      <c r="W24" s="775"/>
      <c r="X24" s="1808"/>
      <c r="Y24" s="3220"/>
      <c r="Z24" s="1809"/>
      <c r="AA24" s="1806"/>
      <c r="AB24" s="1806"/>
      <c r="AC24" s="1806"/>
    </row>
    <row r="25" spans="1:29" ht="57">
      <c r="A25" s="404"/>
      <c r="B25" s="1384" t="s">
        <v>2750</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0"/>
      <c r="Q25" s="1805" t="str">
        <f t="shared" si="8"/>
        <v>自然及人文环境状况</v>
      </c>
      <c r="R25" s="774" t="s">
        <v>17</v>
      </c>
      <c r="S25" s="775">
        <f>F25</f>
        <v>100</v>
      </c>
      <c r="T25" s="774" t="s">
        <v>17</v>
      </c>
      <c r="U25" s="775">
        <f>H25</f>
        <v>100</v>
      </c>
      <c r="V25" s="774" t="s">
        <v>17</v>
      </c>
      <c r="W25" s="775">
        <f>J25</f>
        <v>100</v>
      </c>
      <c r="X25" s="1808"/>
      <c r="Y25" s="3220"/>
      <c r="Z25" s="1809" t="str">
        <f>Q25</f>
        <v>自然及人文环境状况</v>
      </c>
      <c r="AA25" s="1806">
        <f t="shared" si="3"/>
        <v>1</v>
      </c>
      <c r="AB25" s="1806">
        <f t="shared" si="4"/>
        <v>1</v>
      </c>
      <c r="AC25" s="1806">
        <f t="shared" si="5"/>
        <v>1</v>
      </c>
    </row>
    <row r="26" spans="1:29" ht="15">
      <c r="A26" s="404"/>
      <c r="B26" s="456"/>
      <c r="C26" s="447"/>
      <c r="D26" s="448"/>
      <c r="E26" s="2606"/>
      <c r="F26" s="448"/>
      <c r="G26" s="2606"/>
      <c r="H26" s="448"/>
      <c r="I26" s="447"/>
      <c r="J26" s="448"/>
      <c r="K26" s="672"/>
      <c r="L26" s="1140"/>
      <c r="M26" s="1131"/>
      <c r="N26" s="1131"/>
      <c r="O26" s="1139"/>
      <c r="P26" s="3220"/>
      <c r="Q26" s="1805"/>
      <c r="R26" s="774"/>
      <c r="S26" s="775"/>
      <c r="T26" s="774"/>
      <c r="U26" s="775"/>
      <c r="V26" s="774"/>
      <c r="W26" s="775"/>
      <c r="X26" s="1808"/>
      <c r="Y26" s="3220"/>
      <c r="Z26" s="1809"/>
      <c r="AA26" s="1806">
        <v>1</v>
      </c>
      <c r="AB26" s="1806">
        <v>1</v>
      </c>
      <c r="AC26" s="1806">
        <v>1</v>
      </c>
    </row>
    <row r="27" spans="1:29" s="117" customFormat="1" ht="42.75">
      <c r="A27" s="649"/>
      <c r="B27" s="1384" t="s">
        <v>2655</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0"/>
      <c r="Q27" s="1790" t="str">
        <f t="shared" si="8"/>
        <v>公共配套设施</v>
      </c>
      <c r="R27" s="770" t="s">
        <v>17</v>
      </c>
      <c r="S27" s="771">
        <f>F27</f>
        <v>100</v>
      </c>
      <c r="T27" s="770" t="s">
        <v>17</v>
      </c>
      <c r="U27" s="771">
        <f>H27</f>
        <v>100</v>
      </c>
      <c r="V27" s="770" t="s">
        <v>17</v>
      </c>
      <c r="W27" s="771">
        <f>J27</f>
        <v>100</v>
      </c>
      <c r="X27" s="772"/>
      <c r="Y27" s="3220"/>
      <c r="Z27" s="55" t="str">
        <f>Q27</f>
        <v>公共配套设施</v>
      </c>
      <c r="AA27" s="1806">
        <f>D27/F27</f>
        <v>1</v>
      </c>
      <c r="AB27" s="1806">
        <f>D27/H27</f>
        <v>1</v>
      </c>
      <c r="AC27" s="1806">
        <f>D27/J27</f>
        <v>1</v>
      </c>
    </row>
    <row r="28" spans="1:29" s="117" customFormat="1" ht="15">
      <c r="A28" s="649"/>
      <c r="B28" s="456"/>
      <c r="C28" s="2695"/>
      <c r="D28" s="448"/>
      <c r="E28" s="2606"/>
      <c r="F28" s="448"/>
      <c r="G28" s="2606"/>
      <c r="H28" s="448"/>
      <c r="I28" s="447"/>
      <c r="J28" s="448"/>
      <c r="K28" s="672"/>
      <c r="L28" s="1132"/>
      <c r="M28" s="1133"/>
      <c r="N28" s="1133"/>
      <c r="O28" s="1134"/>
      <c r="P28" s="3220"/>
      <c r="Q28" s="1790"/>
      <c r="R28" s="770"/>
      <c r="S28" s="771"/>
      <c r="T28" s="770"/>
      <c r="U28" s="771"/>
      <c r="V28" s="770"/>
      <c r="W28" s="771"/>
      <c r="X28" s="772"/>
      <c r="Y28" s="3220"/>
      <c r="Z28" s="55"/>
      <c r="AA28" s="1806">
        <v>1</v>
      </c>
      <c r="AB28" s="1806">
        <v>1</v>
      </c>
      <c r="AC28" s="1806">
        <v>1</v>
      </c>
    </row>
    <row r="29" spans="1:29" s="117" customFormat="1" ht="28.5">
      <c r="A29" s="649"/>
      <c r="B29" s="1384" t="s">
        <v>2656</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0"/>
      <c r="Q29" s="1790" t="str">
        <f>B29</f>
        <v>基础设施水平</v>
      </c>
      <c r="R29" s="770" t="s">
        <v>17</v>
      </c>
      <c r="S29" s="771">
        <f>F29</f>
        <v>100</v>
      </c>
      <c r="T29" s="770" t="s">
        <v>17</v>
      </c>
      <c r="U29" s="771">
        <f>H29</f>
        <v>100</v>
      </c>
      <c r="V29" s="770" t="s">
        <v>17</v>
      </c>
      <c r="W29" s="771">
        <f>J29</f>
        <v>100</v>
      </c>
      <c r="X29" s="772"/>
      <c r="Y29" s="3220"/>
      <c r="Z29" s="55" t="str">
        <f>Q29</f>
        <v>基础设施水平</v>
      </c>
      <c r="AA29" s="1806">
        <f>D29/F29</f>
        <v>1</v>
      </c>
      <c r="AB29" s="1806">
        <f>D29/H29</f>
        <v>1</v>
      </c>
      <c r="AC29" s="1806">
        <f>D29/J29</f>
        <v>1</v>
      </c>
    </row>
    <row r="30" spans="1:29" s="117" customFormat="1" ht="15">
      <c r="A30" s="649"/>
      <c r="B30" s="456"/>
      <c r="C30" s="2695"/>
      <c r="D30" s="448"/>
      <c r="E30" s="2696"/>
      <c r="F30" s="448"/>
      <c r="G30" s="2696"/>
      <c r="H30" s="448"/>
      <c r="I30" s="2696"/>
      <c r="J30" s="448"/>
      <c r="K30" s="672"/>
      <c r="L30" s="1132"/>
      <c r="M30" s="1133"/>
      <c r="N30" s="1133"/>
      <c r="O30" s="1134"/>
      <c r="P30" s="3220"/>
      <c r="Q30" s="1790"/>
      <c r="R30" s="770"/>
      <c r="S30" s="771"/>
      <c r="T30" s="770"/>
      <c r="U30" s="771"/>
      <c r="V30" s="770"/>
      <c r="W30" s="771"/>
      <c r="X30" s="772"/>
      <c r="Y30" s="3220"/>
      <c r="Z30" s="55"/>
      <c r="AA30" s="1806">
        <v>1</v>
      </c>
      <c r="AB30" s="1806">
        <v>1</v>
      </c>
      <c r="AC30" s="1806">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0"/>
      <c r="Q31" s="1805" t="str">
        <f t="shared" si="8"/>
        <v>临街状况</v>
      </c>
      <c r="R31" s="774" t="s">
        <v>17</v>
      </c>
      <c r="S31" s="775">
        <f t="shared" ref="S31:S45" si="9">F31</f>
        <v>100</v>
      </c>
      <c r="T31" s="774" t="s">
        <v>17</v>
      </c>
      <c r="U31" s="775">
        <f t="shared" ref="U31:U45" si="10">H31</f>
        <v>100</v>
      </c>
      <c r="V31" s="774" t="s">
        <v>17</v>
      </c>
      <c r="W31" s="775">
        <f t="shared" ref="W31:W45" si="11">J31</f>
        <v>100</v>
      </c>
      <c r="X31" s="1808"/>
      <c r="Y31" s="3220"/>
      <c r="Z31" s="1809" t="str">
        <f t="shared" ref="Z31:Z45" si="12">Q31</f>
        <v>临街状况</v>
      </c>
      <c r="AA31" s="1806">
        <f t="shared" si="3"/>
        <v>1</v>
      </c>
      <c r="AB31" s="1806">
        <f t="shared" si="4"/>
        <v>1</v>
      </c>
      <c r="AC31" s="1806">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0"/>
      <c r="Q32" s="1805" t="str">
        <f t="shared" si="8"/>
        <v>毗邻道路的类型与等级</v>
      </c>
      <c r="R32" s="774" t="s">
        <v>17</v>
      </c>
      <c r="S32" s="775">
        <f t="shared" si="9"/>
        <v>100</v>
      </c>
      <c r="T32" s="774" t="s">
        <v>17</v>
      </c>
      <c r="U32" s="775">
        <f t="shared" si="10"/>
        <v>100</v>
      </c>
      <c r="V32" s="774" t="s">
        <v>17</v>
      </c>
      <c r="W32" s="775">
        <f t="shared" si="11"/>
        <v>100</v>
      </c>
      <c r="X32" s="1808"/>
      <c r="Y32" s="3220"/>
      <c r="Z32" s="1809" t="str">
        <f t="shared" si="12"/>
        <v>毗邻道路的类型与等级</v>
      </c>
      <c r="AA32" s="1806">
        <f t="shared" si="3"/>
        <v>1</v>
      </c>
      <c r="AB32" s="1806">
        <f t="shared" si="4"/>
        <v>1</v>
      </c>
      <c r="AC32" s="1806">
        <f t="shared" si="5"/>
        <v>1</v>
      </c>
    </row>
    <row r="33" spans="1:29" ht="15">
      <c r="A33" s="428"/>
      <c r="B33" s="456"/>
      <c r="C33" s="447"/>
      <c r="D33" s="448"/>
      <c r="E33" s="2606"/>
      <c r="F33" s="448"/>
      <c r="G33" s="2606"/>
      <c r="H33" s="448"/>
      <c r="I33" s="447"/>
      <c r="J33" s="448"/>
      <c r="K33" s="613"/>
      <c r="L33" s="1140"/>
      <c r="M33" s="1131"/>
      <c r="N33" s="1131"/>
      <c r="O33" s="1139"/>
      <c r="P33" s="3220"/>
      <c r="Q33" s="1805"/>
      <c r="R33" s="774"/>
      <c r="S33" s="775"/>
      <c r="T33" s="774"/>
      <c r="U33" s="775"/>
      <c r="V33" s="774"/>
      <c r="W33" s="775"/>
      <c r="X33" s="1808"/>
      <c r="Y33" s="3220"/>
      <c r="Z33" s="1809"/>
      <c r="AA33" s="1806">
        <v>1</v>
      </c>
      <c r="AB33" s="1806">
        <v>1</v>
      </c>
      <c r="AC33" s="1806">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0"/>
      <c r="Q34" s="1805" t="str">
        <f t="shared" si="8"/>
        <v>土地级别</v>
      </c>
      <c r="R34" s="774" t="s">
        <v>17</v>
      </c>
      <c r="S34" s="775">
        <f t="shared" si="9"/>
        <v>100</v>
      </c>
      <c r="T34" s="774" t="s">
        <v>17</v>
      </c>
      <c r="U34" s="775">
        <f t="shared" si="10"/>
        <v>100</v>
      </c>
      <c r="V34" s="774" t="s">
        <v>17</v>
      </c>
      <c r="W34" s="775">
        <f t="shared" si="11"/>
        <v>100</v>
      </c>
      <c r="X34" s="1808"/>
      <c r="Y34" s="3220"/>
      <c r="Z34" s="1809" t="str">
        <f t="shared" si="12"/>
        <v>土地级别</v>
      </c>
      <c r="AA34" s="1806">
        <f t="shared" si="3"/>
        <v>1</v>
      </c>
      <c r="AB34" s="1806">
        <f t="shared" si="4"/>
        <v>1</v>
      </c>
      <c r="AC34" s="180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0"/>
      <c r="Q35" s="1805">
        <f t="shared" si="8"/>
        <v>111</v>
      </c>
      <c r="R35" s="774" t="s">
        <v>17</v>
      </c>
      <c r="S35" s="775">
        <f t="shared" si="9"/>
        <v>100</v>
      </c>
      <c r="T35" s="774" t="s">
        <v>17</v>
      </c>
      <c r="U35" s="775">
        <f t="shared" si="10"/>
        <v>100</v>
      </c>
      <c r="V35" s="774" t="s">
        <v>17</v>
      </c>
      <c r="W35" s="775">
        <f t="shared" si="11"/>
        <v>100</v>
      </c>
      <c r="X35" s="1808"/>
      <c r="Y35" s="3220"/>
      <c r="Z35" s="1809">
        <f t="shared" si="12"/>
        <v>111</v>
      </c>
      <c r="AA35" s="1806">
        <f t="shared" si="3"/>
        <v>1</v>
      </c>
      <c r="AB35" s="1806">
        <f t="shared" si="4"/>
        <v>1</v>
      </c>
      <c r="AC35" s="180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3" t="s">
        <v>2566</v>
      </c>
      <c r="Q36" s="1805">
        <f t="shared" si="8"/>
        <v>111</v>
      </c>
      <c r="R36" s="774" t="s">
        <v>17</v>
      </c>
      <c r="S36" s="775">
        <f t="shared" si="9"/>
        <v>100</v>
      </c>
      <c r="T36" s="774" t="s">
        <v>17</v>
      </c>
      <c r="U36" s="775">
        <f t="shared" si="10"/>
        <v>100</v>
      </c>
      <c r="V36" s="774" t="s">
        <v>17</v>
      </c>
      <c r="W36" s="775">
        <f t="shared" si="11"/>
        <v>100</v>
      </c>
      <c r="X36" s="1808"/>
      <c r="Y36" s="3224" t="s">
        <v>2566</v>
      </c>
      <c r="Z36" s="1809">
        <f t="shared" si="12"/>
        <v>111</v>
      </c>
      <c r="AA36" s="1806">
        <f t="shared" si="3"/>
        <v>1</v>
      </c>
      <c r="AB36" s="1806">
        <f t="shared" si="4"/>
        <v>1</v>
      </c>
      <c r="AC36" s="180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4"/>
      <c r="Q37" s="1805">
        <f t="shared" si="8"/>
        <v>111</v>
      </c>
      <c r="R37" s="777" t="s">
        <v>17</v>
      </c>
      <c r="S37" s="778">
        <f t="shared" si="9"/>
        <v>100</v>
      </c>
      <c r="T37" s="777" t="s">
        <v>17</v>
      </c>
      <c r="U37" s="778">
        <f t="shared" si="10"/>
        <v>100</v>
      </c>
      <c r="V37" s="777" t="s">
        <v>17</v>
      </c>
      <c r="W37" s="778">
        <f t="shared" si="11"/>
        <v>100</v>
      </c>
      <c r="X37" s="779"/>
      <c r="Y37" s="3224"/>
      <c r="Z37" s="780">
        <f t="shared" si="12"/>
        <v>111</v>
      </c>
      <c r="AA37" s="1806">
        <f t="shared" si="3"/>
        <v>1</v>
      </c>
      <c r="AB37" s="1806">
        <f t="shared" si="4"/>
        <v>1</v>
      </c>
      <c r="AC37" s="1806">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4"/>
      <c r="Q38" s="1805" t="str">
        <f>B38</f>
        <v>宗地面积</v>
      </c>
      <c r="R38" s="774" t="s">
        <v>17</v>
      </c>
      <c r="S38" s="775" t="e">
        <f t="shared" si="9"/>
        <v>#N/A</v>
      </c>
      <c r="T38" s="774" t="s">
        <v>17</v>
      </c>
      <c r="U38" s="775" t="e">
        <f t="shared" si="10"/>
        <v>#N/A</v>
      </c>
      <c r="V38" s="774" t="s">
        <v>17</v>
      </c>
      <c r="W38" s="775" t="e">
        <f t="shared" si="11"/>
        <v>#N/A</v>
      </c>
      <c r="X38" s="1808"/>
      <c r="Y38" s="3224"/>
      <c r="Z38" s="1809" t="str">
        <f t="shared" si="12"/>
        <v>宗地面积</v>
      </c>
      <c r="AA38" s="1806" t="e">
        <f t="shared" si="3"/>
        <v>#N/A</v>
      </c>
      <c r="AB38" s="1806" t="e">
        <f t="shared" si="4"/>
        <v>#N/A</v>
      </c>
      <c r="AC38" s="1806" t="e">
        <f t="shared" si="5"/>
        <v>#N/A</v>
      </c>
    </row>
    <row r="39" spans="1:29" ht="15">
      <c r="A39" s="472"/>
      <c r="B39" s="422" t="s">
        <v>2753</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40"/>
      <c r="M39" s="1131"/>
      <c r="N39" s="1131"/>
      <c r="O39" s="1139"/>
      <c r="P39" s="3224"/>
      <c r="Q39" s="1805" t="str">
        <f t="shared" ref="Q39:Q45" si="13">B39</f>
        <v>宗地形状</v>
      </c>
      <c r="R39" s="774" t="s">
        <v>17</v>
      </c>
      <c r="S39" s="775">
        <f t="shared" si="9"/>
        <v>100</v>
      </c>
      <c r="T39" s="774" t="s">
        <v>17</v>
      </c>
      <c r="U39" s="775">
        <f t="shared" si="10"/>
        <v>100</v>
      </c>
      <c r="V39" s="774" t="s">
        <v>17</v>
      </c>
      <c r="W39" s="775">
        <f t="shared" si="11"/>
        <v>100</v>
      </c>
      <c r="X39" s="1808"/>
      <c r="Y39" s="3224"/>
      <c r="Z39" s="1809" t="str">
        <f t="shared" si="12"/>
        <v>宗地形状</v>
      </c>
      <c r="AA39" s="1806">
        <f t="shared" si="3"/>
        <v>1</v>
      </c>
      <c r="AB39" s="1806">
        <f t="shared" si="4"/>
        <v>1</v>
      </c>
      <c r="AC39" s="1806">
        <f t="shared" si="5"/>
        <v>1</v>
      </c>
    </row>
    <row r="40" spans="1:29" ht="15">
      <c r="A40" s="472"/>
      <c r="B40" s="422" t="s">
        <v>2754</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40"/>
      <c r="M40" s="1131"/>
      <c r="N40" s="1131"/>
      <c r="O40" s="1139"/>
      <c r="P40" s="3224"/>
      <c r="Q40" s="1805" t="str">
        <f t="shared" si="13"/>
        <v>临街宽度及深度</v>
      </c>
      <c r="R40" s="774" t="s">
        <v>17</v>
      </c>
      <c r="S40" s="775">
        <f t="shared" si="9"/>
        <v>100</v>
      </c>
      <c r="T40" s="774" t="s">
        <v>17</v>
      </c>
      <c r="U40" s="775">
        <f t="shared" si="10"/>
        <v>100</v>
      </c>
      <c r="V40" s="774" t="s">
        <v>17</v>
      </c>
      <c r="W40" s="775">
        <f t="shared" si="11"/>
        <v>100</v>
      </c>
      <c r="X40" s="1808"/>
      <c r="Y40" s="3224"/>
      <c r="Z40" s="1809" t="str">
        <f t="shared" si="12"/>
        <v>临街宽度及深度</v>
      </c>
      <c r="AA40" s="1806">
        <f t="shared" si="3"/>
        <v>1</v>
      </c>
      <c r="AB40" s="1806">
        <f t="shared" si="4"/>
        <v>1</v>
      </c>
      <c r="AC40" s="1806">
        <f t="shared" si="5"/>
        <v>1</v>
      </c>
    </row>
    <row r="41" spans="1:29" s="117" customFormat="1" ht="15">
      <c r="A41" s="473"/>
      <c r="B41" s="422" t="s">
        <v>2755</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2"/>
      <c r="M41" s="1133"/>
      <c r="N41" s="1133"/>
      <c r="O41" s="1134"/>
      <c r="P41" s="3224"/>
      <c r="Q41" s="1805" t="str">
        <f t="shared" si="13"/>
        <v>宗地开发程度</v>
      </c>
      <c r="R41" s="770" t="s">
        <v>17</v>
      </c>
      <c r="S41" s="771">
        <f t="shared" si="9"/>
        <v>100</v>
      </c>
      <c r="T41" s="770" t="s">
        <v>17</v>
      </c>
      <c r="U41" s="771">
        <f t="shared" si="10"/>
        <v>100</v>
      </c>
      <c r="V41" s="770" t="s">
        <v>17</v>
      </c>
      <c r="W41" s="771">
        <f t="shared" si="11"/>
        <v>100</v>
      </c>
      <c r="X41" s="772"/>
      <c r="Y41" s="3224"/>
      <c r="Z41" s="55" t="str">
        <f t="shared" si="12"/>
        <v>宗地开发程度</v>
      </c>
      <c r="AA41" s="773">
        <f t="shared" si="3"/>
        <v>1</v>
      </c>
      <c r="AB41" s="773">
        <f t="shared" si="4"/>
        <v>1</v>
      </c>
      <c r="AC41" s="773">
        <f t="shared" si="5"/>
        <v>1</v>
      </c>
    </row>
    <row r="42" spans="1:29" ht="15">
      <c r="A42" s="472"/>
      <c r="B42" s="422" t="s">
        <v>2756</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40"/>
      <c r="M42" s="1131"/>
      <c r="N42" s="1131"/>
      <c r="O42" s="1139"/>
      <c r="P42" s="3224" t="s">
        <v>2566</v>
      </c>
      <c r="Q42" s="1805" t="str">
        <f t="shared" si="13"/>
        <v>工程地质条件</v>
      </c>
      <c r="R42" s="774" t="s">
        <v>17</v>
      </c>
      <c r="S42" s="775">
        <f t="shared" si="9"/>
        <v>100</v>
      </c>
      <c r="T42" s="774" t="s">
        <v>17</v>
      </c>
      <c r="U42" s="775">
        <f t="shared" si="10"/>
        <v>100</v>
      </c>
      <c r="V42" s="774" t="s">
        <v>17</v>
      </c>
      <c r="W42" s="775">
        <f t="shared" si="11"/>
        <v>100</v>
      </c>
      <c r="X42" s="1808"/>
      <c r="Y42" s="3224" t="s">
        <v>2566</v>
      </c>
      <c r="Z42" s="1809" t="str">
        <f t="shared" si="12"/>
        <v>工程地质条件</v>
      </c>
      <c r="AA42" s="1806">
        <f t="shared" si="3"/>
        <v>1</v>
      </c>
      <c r="AB42" s="1806">
        <f t="shared" si="4"/>
        <v>1</v>
      </c>
      <c r="AC42" s="180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4"/>
      <c r="Q43" s="1805">
        <f t="shared" si="13"/>
        <v>111</v>
      </c>
      <c r="R43" s="774" t="s">
        <v>17</v>
      </c>
      <c r="S43" s="775">
        <f t="shared" si="9"/>
        <v>100</v>
      </c>
      <c r="T43" s="774" t="s">
        <v>17</v>
      </c>
      <c r="U43" s="775">
        <f t="shared" si="10"/>
        <v>100</v>
      </c>
      <c r="V43" s="774" t="s">
        <v>17</v>
      </c>
      <c r="W43" s="775">
        <f t="shared" si="11"/>
        <v>100</v>
      </c>
      <c r="X43" s="1808"/>
      <c r="Y43" s="3224"/>
      <c r="Z43" s="1809">
        <f t="shared" si="12"/>
        <v>111</v>
      </c>
      <c r="AA43" s="1806">
        <f t="shared" si="3"/>
        <v>1</v>
      </c>
      <c r="AB43" s="1806">
        <f t="shared" si="4"/>
        <v>1</v>
      </c>
      <c r="AC43" s="180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4"/>
      <c r="Q44" s="1805">
        <f t="shared" si="13"/>
        <v>111</v>
      </c>
      <c r="R44" s="774" t="s">
        <v>17</v>
      </c>
      <c r="S44" s="775">
        <f t="shared" si="9"/>
        <v>100</v>
      </c>
      <c r="T44" s="774" t="s">
        <v>17</v>
      </c>
      <c r="U44" s="775">
        <f t="shared" si="10"/>
        <v>100</v>
      </c>
      <c r="V44" s="774" t="s">
        <v>17</v>
      </c>
      <c r="W44" s="775">
        <f t="shared" si="11"/>
        <v>100</v>
      </c>
      <c r="X44" s="1808"/>
      <c r="Y44" s="3224"/>
      <c r="Z44" s="1809">
        <f t="shared" si="12"/>
        <v>111</v>
      </c>
      <c r="AA44" s="1806">
        <f t="shared" si="3"/>
        <v>1</v>
      </c>
      <c r="AB44" s="1806">
        <f t="shared" si="4"/>
        <v>1</v>
      </c>
      <c r="AC44" s="1806">
        <f t="shared" si="5"/>
        <v>1</v>
      </c>
    </row>
    <row r="45" spans="1:29" s="471" customFormat="1" ht="15.75"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4"/>
      <c r="Q45" s="1805">
        <f t="shared" si="13"/>
        <v>111</v>
      </c>
      <c r="R45" s="777" t="s">
        <v>17</v>
      </c>
      <c r="S45" s="778">
        <f t="shared" si="9"/>
        <v>100</v>
      </c>
      <c r="T45" s="777" t="s">
        <v>17</v>
      </c>
      <c r="U45" s="778">
        <f t="shared" si="10"/>
        <v>100</v>
      </c>
      <c r="V45" s="777" t="s">
        <v>17</v>
      </c>
      <c r="W45" s="778">
        <f t="shared" si="11"/>
        <v>100</v>
      </c>
      <c r="X45" s="779"/>
      <c r="Y45" s="3224"/>
      <c r="Z45" s="780">
        <f t="shared" si="12"/>
        <v>111</v>
      </c>
      <c r="AA45" s="1806">
        <f t="shared" si="3"/>
        <v>1</v>
      </c>
      <c r="AB45" s="1806">
        <f t="shared" si="4"/>
        <v>1</v>
      </c>
      <c r="AC45" s="1806">
        <f t="shared" si="5"/>
        <v>1</v>
      </c>
    </row>
    <row r="46" spans="1:29" ht="15">
      <c r="A46" s="479" t="s">
        <v>2721</v>
      </c>
      <c r="B46" s="2699" t="s">
        <v>2757</v>
      </c>
      <c r="C46" s="682" t="s">
        <v>1</v>
      </c>
      <c r="D46" s="481"/>
      <c r="E46" s="482"/>
      <c r="F46" s="483"/>
      <c r="G46" s="484"/>
      <c r="H46" s="485"/>
      <c r="I46" s="482"/>
      <c r="J46" s="485"/>
      <c r="K46" s="783"/>
      <c r="L46" s="1143"/>
      <c r="M46" s="1144"/>
      <c r="N46" s="1131"/>
      <c r="O46" s="1144"/>
      <c r="P46" s="3217" t="str">
        <f>A46</f>
        <v>成交单价</v>
      </c>
      <c r="Q46" s="3217"/>
      <c r="R46" s="3212">
        <f>E46</f>
        <v>0</v>
      </c>
      <c r="S46" s="3212"/>
      <c r="T46" s="3212">
        <f>G46</f>
        <v>0</v>
      </c>
      <c r="U46" s="3212"/>
      <c r="V46" s="3212">
        <f>I46</f>
        <v>0</v>
      </c>
      <c r="W46" s="3212"/>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17" t="str">
        <f>A47</f>
        <v>比较价值（元/平方米）</v>
      </c>
      <c r="Q47" s="3217"/>
      <c r="R47" s="3244" t="e">
        <f>ROUND(PRODUCT(R46,AA7:AA45),0)</f>
        <v>#DIV/0!</v>
      </c>
      <c r="S47" s="3244"/>
      <c r="T47" s="3244" t="e">
        <f>ROUND(PRODUCT(T46,AB7:AB45),0)</f>
        <v>#DIV/0!</v>
      </c>
      <c r="U47" s="3244"/>
      <c r="V47" s="3244" t="e">
        <f>ROUND(PRODUCT(V46,AC7:AC45),0)</f>
        <v>#DIV/0!</v>
      </c>
      <c r="W47" s="324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14" t="str">
        <f>A48</f>
        <v>估价对象XX用房的比较价值（楼面单价，元/平方米）</v>
      </c>
      <c r="Q48" s="3215"/>
      <c r="R48" s="3245" t="e">
        <f>ROUND(AVERAGE(R47:V47),0)</f>
        <v>#DIV/0!</v>
      </c>
      <c r="S48" s="3245"/>
      <c r="T48" s="3245"/>
      <c r="U48" s="3245"/>
      <c r="V48" s="3245"/>
      <c r="W48" s="324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0" t="s">
        <v>2761</v>
      </c>
      <c r="D55" s="2701" t="s">
        <v>2762</v>
      </c>
      <c r="E55" s="686" t="s">
        <v>2763</v>
      </c>
      <c r="F55" s="1107" t="s">
        <v>2764</v>
      </c>
      <c r="G55" s="3200" t="s">
        <v>2765</v>
      </c>
      <c r="H55" s="3246"/>
      <c r="I55" s="144" t="s">
        <v>2766</v>
      </c>
      <c r="J55" s="2702">
        <f>项目基本情况!F35</f>
        <v>0</v>
      </c>
      <c r="K55" s="2703" t="s">
        <v>2767</v>
      </c>
      <c r="L55" s="1106"/>
      <c r="M55" s="1144"/>
      <c r="N55" s="1144"/>
      <c r="O55" s="1144"/>
    </row>
    <row r="56" spans="1:15" s="692" customFormat="1">
      <c r="A56" s="688" t="s">
        <v>2768</v>
      </c>
      <c r="B56" s="689" t="e">
        <f>C48</f>
        <v>#DIV/0!</v>
      </c>
      <c r="C56" s="690">
        <v>1</v>
      </c>
      <c r="D56" s="1163">
        <v>1</v>
      </c>
      <c r="E56" s="690">
        <f>'数据-汇总表'!E8+'数据-汇总表'!E9</f>
        <v>23014.799999999999</v>
      </c>
      <c r="F56" s="1103" t="e">
        <f t="shared" ref="F56:F65" si="14">ROUND(B56*E56/10000,0)</f>
        <v>#DIV/0!</v>
      </c>
      <c r="G56" s="3199"/>
      <c r="H56" s="3217"/>
      <c r="I56" s="1108">
        <v>1</v>
      </c>
      <c r="J56" s="1111">
        <v>1</v>
      </c>
      <c r="K56" s="1145"/>
      <c r="L56" s="941"/>
      <c r="M56" s="941"/>
      <c r="N56" s="941"/>
      <c r="O56" s="941"/>
    </row>
    <row r="57" spans="1:15" s="692" customFormat="1">
      <c r="A57" s="693" t="s">
        <v>2769</v>
      </c>
      <c r="B57" s="262" t="e">
        <f>ROUND($C$48*C57*D57,0)</f>
        <v>#DIV/0!</v>
      </c>
      <c r="C57" s="200">
        <f t="shared" ref="C57:C65" si="15">IF($C$55="北京市系数",I57,J57)</f>
        <v>0</v>
      </c>
      <c r="D57" s="1164">
        <v>0.25</v>
      </c>
      <c r="E57" s="694"/>
      <c r="F57" s="1103" t="e">
        <f t="shared" si="14"/>
        <v>#DIV/0!</v>
      </c>
      <c r="G57" s="3247"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6">ROUND($C$48*C58*D58,0)</f>
        <v>#DIV/0!</v>
      </c>
      <c r="C58" s="200">
        <f t="shared" si="15"/>
        <v>0</v>
      </c>
      <c r="D58" s="1164">
        <v>0.25</v>
      </c>
      <c r="E58" s="694"/>
      <c r="F58" s="1103" t="e">
        <f t="shared" si="14"/>
        <v>#DIV/0!</v>
      </c>
      <c r="G58" s="3247"/>
      <c r="H58" s="1104">
        <f>项目基本情况!B37</f>
        <v>0</v>
      </c>
      <c r="I58" s="1108">
        <f>SUMIF(修正!A45:A56,H58,修正!C45:C56)</f>
        <v>0</v>
      </c>
      <c r="J58" s="1112"/>
      <c r="K58" s="1145"/>
      <c r="L58" s="941"/>
      <c r="M58" s="941"/>
      <c r="N58" s="941"/>
      <c r="O58" s="941"/>
    </row>
    <row r="59" spans="1:15" s="692" customFormat="1">
      <c r="A59" s="693" t="s">
        <v>2772</v>
      </c>
      <c r="B59" s="262" t="e">
        <f t="shared" si="16"/>
        <v>#DIV/0!</v>
      </c>
      <c r="C59" s="200">
        <f t="shared" si="15"/>
        <v>0</v>
      </c>
      <c r="D59" s="1164">
        <v>0.25</v>
      </c>
      <c r="E59" s="694"/>
      <c r="F59" s="1103" t="e">
        <f t="shared" si="14"/>
        <v>#DIV/0!</v>
      </c>
      <c r="G59" s="3247"/>
      <c r="H59" s="1104">
        <f>项目基本情况!B37</f>
        <v>0</v>
      </c>
      <c r="I59" s="1108">
        <f>SUMIF(修正!A45:A56,H59,修正!D45:D56)</f>
        <v>0</v>
      </c>
      <c r="J59" s="1112"/>
      <c r="K59" s="1144"/>
      <c r="L59" s="941"/>
      <c r="M59" s="941"/>
      <c r="N59" s="941"/>
      <c r="O59" s="941"/>
    </row>
    <row r="60" spans="1:15" s="692" customFormat="1">
      <c r="A60" s="693" t="s">
        <v>2773</v>
      </c>
      <c r="B60" s="262" t="e">
        <f t="shared" si="16"/>
        <v>#DIV/0!</v>
      </c>
      <c r="C60" s="200">
        <f t="shared" si="15"/>
        <v>0</v>
      </c>
      <c r="D60" s="1164">
        <v>0.25</v>
      </c>
      <c r="E60" s="694"/>
      <c r="F60" s="1103" t="e">
        <f t="shared" si="14"/>
        <v>#DIV/0!</v>
      </c>
      <c r="G60" s="3247"/>
      <c r="H60" s="1104">
        <f>项目基本情况!B37</f>
        <v>0</v>
      </c>
      <c r="I60" s="1108">
        <f>SUMIF(修正!A45:A56,H60,修正!E45:E56)</f>
        <v>0</v>
      </c>
      <c r="J60" s="1112"/>
      <c r="K60" s="1145"/>
      <c r="L60" s="941"/>
      <c r="M60" s="941"/>
      <c r="N60" s="941"/>
      <c r="O60" s="941"/>
    </row>
    <row r="61" spans="1:15" s="692" customFormat="1">
      <c r="A61" s="693" t="s">
        <v>2774</v>
      </c>
      <c r="B61" s="262" t="e">
        <f t="shared" si="16"/>
        <v>#DIV/0!</v>
      </c>
      <c r="C61" s="200">
        <f t="shared" si="15"/>
        <v>0</v>
      </c>
      <c r="D61" s="1164">
        <v>0.25</v>
      </c>
      <c r="E61" s="261">
        <f>'数据-汇总表'!E11</f>
        <v>0</v>
      </c>
      <c r="F61" s="1103" t="e">
        <f t="shared" si="14"/>
        <v>#DIV/0!</v>
      </c>
      <c r="G61" s="2704" t="s">
        <v>2775</v>
      </c>
      <c r="H61" s="1104">
        <f>项目基本情况!C37</f>
        <v>0</v>
      </c>
      <c r="I61" s="1108">
        <f>SUMIF(修正!A45:A56,H61,修正!F45:F56)</f>
        <v>0</v>
      </c>
      <c r="J61" s="1112"/>
      <c r="K61" s="1144"/>
      <c r="L61" s="941"/>
      <c r="M61" s="941"/>
      <c r="N61" s="941"/>
      <c r="O61" s="941"/>
    </row>
    <row r="62" spans="1:15" s="692" customFormat="1">
      <c r="A62" s="693" t="s">
        <v>2776</v>
      </c>
      <c r="B62" s="262" t="e">
        <f t="shared" si="16"/>
        <v>#DIV/0!</v>
      </c>
      <c r="C62" s="200">
        <f t="shared" si="15"/>
        <v>0</v>
      </c>
      <c r="D62" s="1164">
        <v>0.25</v>
      </c>
      <c r="E62" s="261">
        <f>'数据-汇总表'!E12</f>
        <v>0</v>
      </c>
      <c r="F62" s="1103" t="e">
        <f t="shared" si="14"/>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6"/>
        <v>#DIV/0!</v>
      </c>
      <c r="C63" s="200">
        <f t="shared" si="15"/>
        <v>0</v>
      </c>
      <c r="D63" s="1164">
        <v>0.25</v>
      </c>
      <c r="E63" s="261">
        <f>'数据-汇总表'!E13</f>
        <v>0</v>
      </c>
      <c r="F63" s="1103" t="e">
        <f t="shared" si="14"/>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6"/>
        <v>#DIV/0!</v>
      </c>
      <c r="C64" s="200">
        <f t="shared" si="15"/>
        <v>0</v>
      </c>
      <c r="D64" s="1164">
        <v>0.25</v>
      </c>
      <c r="E64" s="261">
        <f>'数据-汇总表'!E14</f>
        <v>0</v>
      </c>
      <c r="F64" s="1103" t="e">
        <f t="shared" si="14"/>
        <v>#DIV/0!</v>
      </c>
      <c r="G64" s="2704"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6"/>
        <v>#DIV/0!</v>
      </c>
      <c r="C65" s="200">
        <f t="shared" si="15"/>
        <v>0</v>
      </c>
      <c r="D65" s="1164">
        <v>0.25</v>
      </c>
      <c r="E65" s="261">
        <f>'数据-汇总表'!E15</f>
        <v>0</v>
      </c>
      <c r="F65" s="1103" t="e">
        <f t="shared" si="14"/>
        <v>#DIV/0!</v>
      </c>
      <c r="G65" s="2705"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23014.799999999999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7">EDATE(E68,-3)</f>
        <v>43617</v>
      </c>
      <c r="G68" s="761">
        <f t="shared" si="17"/>
        <v>43525</v>
      </c>
      <c r="H68" s="761">
        <f t="shared" si="17"/>
        <v>43435</v>
      </c>
      <c r="I68" s="761">
        <f t="shared" si="17"/>
        <v>43344</v>
      </c>
      <c r="J68" s="761">
        <f t="shared" si="17"/>
        <v>43252</v>
      </c>
      <c r="K68" s="761">
        <f t="shared" si="17"/>
        <v>43160</v>
      </c>
      <c r="L68" s="761">
        <f t="shared" si="17"/>
        <v>43070</v>
      </c>
      <c r="M68" s="761">
        <f t="shared" si="17"/>
        <v>42979</v>
      </c>
      <c r="N68" s="761">
        <f t="shared" si="17"/>
        <v>42887</v>
      </c>
      <c r="O68" s="761">
        <f t="shared" si="17"/>
        <v>42795</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06" t="s">
        <v>2783</v>
      </c>
      <c r="B70" s="1359"/>
      <c r="C70" s="1567" t="str">
        <f>YEAR(C68)&amp;"-"&amp;ROUNDUP(MONTH(C68)/3,0)</f>
        <v>2020-1</v>
      </c>
      <c r="D70" s="1567" t="str">
        <f>YEAR(D68)&amp;"-"&amp;ROUNDUP(MONTH(D68)/3,0)</f>
        <v>2019-4</v>
      </c>
      <c r="E70" s="1567" t="str">
        <f t="shared" ref="E70:O70" si="18">YEAR(E68)&amp;"-"&amp;ROUNDUP(MONTH(E68)/3,0)</f>
        <v>2019-3</v>
      </c>
      <c r="F70" s="1567" t="str">
        <f t="shared" si="18"/>
        <v>2019-2</v>
      </c>
      <c r="G70" s="1567" t="str">
        <f t="shared" si="18"/>
        <v>2019-1</v>
      </c>
      <c r="H70" s="1567" t="str">
        <f t="shared" si="18"/>
        <v>2018-4</v>
      </c>
      <c r="I70" s="1567" t="str">
        <f t="shared" si="18"/>
        <v>2018-3</v>
      </c>
      <c r="J70" s="1567" t="str">
        <f t="shared" si="18"/>
        <v>2018-2</v>
      </c>
      <c r="K70" s="1567" t="str">
        <f t="shared" si="18"/>
        <v>2018-1</v>
      </c>
      <c r="L70" s="1567" t="str">
        <f t="shared" si="18"/>
        <v>2017-4</v>
      </c>
      <c r="M70" s="1567" t="str">
        <f t="shared" si="18"/>
        <v>2017-3</v>
      </c>
      <c r="N70" s="1567" t="str">
        <f t="shared" si="18"/>
        <v>2017-2</v>
      </c>
      <c r="O70" s="1567" t="str">
        <f t="shared" si="18"/>
        <v>2017-1</v>
      </c>
      <c r="P70" s="507"/>
    </row>
    <row r="71" spans="1:17" s="117" customFormat="1" ht="30" customHeight="1">
      <c r="A71" s="2707" t="s">
        <v>2784</v>
      </c>
      <c r="B71" s="332" t="str">
        <f>"北京市平均增长率"&amp;TEXT(SUMIF(基准地价修正!N21:N25,A71,基准地价修正!P21:P25),"0.00%")</f>
        <v>北京市平均增长率2.05%</v>
      </c>
      <c r="C71" s="603">
        <v>100</v>
      </c>
      <c r="D71" s="595"/>
      <c r="E71" s="595"/>
      <c r="F71" s="595"/>
      <c r="G71" s="595"/>
      <c r="H71" s="595"/>
      <c r="I71" s="595"/>
      <c r="J71" s="595"/>
      <c r="K71" s="595"/>
      <c r="L71" s="595"/>
      <c r="M71" s="1562"/>
      <c r="N71" s="595"/>
      <c r="O71" s="1563"/>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78"/>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00" t="s">
        <v>2647</v>
      </c>
      <c r="D4" s="3201"/>
      <c r="E4" s="3202" t="s">
        <v>2648</v>
      </c>
      <c r="F4" s="3203"/>
      <c r="G4" s="3200" t="s">
        <v>2649</v>
      </c>
      <c r="H4" s="3201"/>
      <c r="I4" s="3200" t="s">
        <v>2650</v>
      </c>
      <c r="J4" s="3201"/>
      <c r="K4" s="610" t="s">
        <v>2651</v>
      </c>
      <c r="L4" s="1130"/>
      <c r="M4" s="1131"/>
      <c r="N4" s="1131"/>
      <c r="O4" s="1131"/>
      <c r="P4" s="3204" t="s">
        <v>2652</v>
      </c>
      <c r="Q4" s="3205"/>
      <c r="R4" s="3187" t="s">
        <v>2648</v>
      </c>
      <c r="S4" s="3188"/>
      <c r="T4" s="3187" t="s">
        <v>2649</v>
      </c>
      <c r="U4" s="3188"/>
      <c r="V4" s="3212" t="s">
        <v>2650</v>
      </c>
      <c r="W4" s="3212"/>
      <c r="X4" s="1808"/>
      <c r="Y4" s="3187" t="s">
        <v>2652</v>
      </c>
      <c r="Z4" s="3188"/>
      <c r="AA4" s="3182" t="s">
        <v>2648</v>
      </c>
      <c r="AB4" s="3183" t="s">
        <v>2649</v>
      </c>
      <c r="AC4" s="3182" t="s">
        <v>2650</v>
      </c>
    </row>
    <row r="5" spans="1:29" ht="15">
      <c r="A5" s="404"/>
      <c r="B5" s="405"/>
      <c r="C5" s="3193" t="s">
        <v>2543</v>
      </c>
      <c r="D5" s="3194"/>
      <c r="E5" s="3191" t="s">
        <v>2544</v>
      </c>
      <c r="F5" s="3192"/>
      <c r="G5" s="3193" t="s">
        <v>2545</v>
      </c>
      <c r="H5" s="3194"/>
      <c r="I5" s="3193" t="s">
        <v>2546</v>
      </c>
      <c r="J5" s="3194"/>
      <c r="K5" s="610"/>
      <c r="L5" s="1130"/>
      <c r="M5" s="1131"/>
      <c r="N5" s="1131"/>
      <c r="O5" s="1131"/>
      <c r="P5" s="3206"/>
      <c r="Q5" s="3207"/>
      <c r="R5" s="3189"/>
      <c r="S5" s="3190"/>
      <c r="T5" s="3189"/>
      <c r="U5" s="3190"/>
      <c r="V5" s="3212"/>
      <c r="W5" s="3212"/>
      <c r="X5" s="1808"/>
      <c r="Y5" s="3189"/>
      <c r="Z5" s="3190"/>
      <c r="AA5" s="3183"/>
      <c r="AB5" s="3183"/>
      <c r="AC5" s="3183"/>
    </row>
    <row r="6" spans="1:29" ht="15.75" thickBot="1">
      <c r="A6" s="406"/>
      <c r="B6" s="407"/>
      <c r="C6" s="3248" t="s">
        <v>2798</v>
      </c>
      <c r="D6" s="3249"/>
      <c r="E6" s="3250" t="s">
        <v>2798</v>
      </c>
      <c r="F6" s="3251"/>
      <c r="G6" s="3248" t="s">
        <v>2798</v>
      </c>
      <c r="H6" s="3249"/>
      <c r="I6" s="3248" t="s">
        <v>2798</v>
      </c>
      <c r="J6" s="3249"/>
      <c r="K6" s="610" t="s">
        <v>2548</v>
      </c>
      <c r="L6" s="1130"/>
      <c r="M6" s="1131"/>
      <c r="N6" s="1131"/>
      <c r="O6" s="1131"/>
      <c r="P6" s="3208"/>
      <c r="Q6" s="3209"/>
      <c r="R6" s="3189"/>
      <c r="S6" s="3190"/>
      <c r="T6" s="3210"/>
      <c r="U6" s="3211"/>
      <c r="V6" s="3212"/>
      <c r="W6" s="3212"/>
      <c r="X6" s="1808"/>
      <c r="Y6" s="3210"/>
      <c r="Z6" s="3211"/>
      <c r="AA6" s="3184"/>
      <c r="AB6" s="3184"/>
      <c r="AC6" s="3184"/>
    </row>
    <row r="7" spans="1:29" s="117" customFormat="1" ht="15.75" thickBot="1">
      <c r="A7" s="408" t="s">
        <v>2549</v>
      </c>
      <c r="B7" s="409"/>
      <c r="C7" s="410">
        <f>'数据-取费表'!B2</f>
        <v>43894</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185" t="s">
        <v>2550</v>
      </c>
      <c r="Q7" s="3213"/>
      <c r="R7" s="770" t="s">
        <v>17</v>
      </c>
      <c r="S7" s="771">
        <f t="shared" ref="S7:S15" si="0">F7</f>
        <v>0</v>
      </c>
      <c r="T7" s="770" t="s">
        <v>17</v>
      </c>
      <c r="U7" s="771">
        <f t="shared" ref="U7:U15" si="1">H7</f>
        <v>0</v>
      </c>
      <c r="V7" s="770" t="s">
        <v>17</v>
      </c>
      <c r="W7" s="771">
        <f t="shared" ref="W7:W15" si="2">J7</f>
        <v>0</v>
      </c>
      <c r="X7" s="772"/>
      <c r="Y7" s="3185" t="s">
        <v>2550</v>
      </c>
      <c r="Z7" s="318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5" t="s">
        <v>2553</v>
      </c>
      <c r="Q8" s="3186"/>
      <c r="R8" s="770" t="s">
        <v>17</v>
      </c>
      <c r="S8" s="771">
        <f t="shared" si="0"/>
        <v>0</v>
      </c>
      <c r="T8" s="770" t="s">
        <v>17</v>
      </c>
      <c r="U8" s="771">
        <f t="shared" si="1"/>
        <v>0</v>
      </c>
      <c r="V8" s="770" t="s">
        <v>17</v>
      </c>
      <c r="W8" s="771">
        <f t="shared" si="2"/>
        <v>0</v>
      </c>
      <c r="X8" s="772"/>
      <c r="Y8" s="3185" t="s">
        <v>2553</v>
      </c>
      <c r="Z8" s="3186"/>
      <c r="AA8" s="773" t="e">
        <f t="shared" ref="AA8:AA40" si="3">D8/F8</f>
        <v>#DIV/0!</v>
      </c>
      <c r="AB8" s="773" t="e">
        <f t="shared" ref="AB8:AB40" si="4">D8/H8</f>
        <v>#DIV/0!</v>
      </c>
      <c r="AC8" s="773" t="e">
        <f t="shared" ref="AC8:AC40" si="5">D8/J8</f>
        <v>#DIV/0!</v>
      </c>
    </row>
    <row r="9" spans="1:29" s="117" customFormat="1">
      <c r="A9" s="415" t="s">
        <v>2554</v>
      </c>
      <c r="B9" s="71" t="s">
        <v>2555</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17" t="s">
        <v>2556</v>
      </c>
      <c r="Q9" s="1790" t="str">
        <f t="shared" ref="Q9:Q15" si="6">B9</f>
        <v>用途</v>
      </c>
      <c r="R9" s="770" t="s">
        <v>17</v>
      </c>
      <c r="S9" s="771">
        <f t="shared" si="0"/>
        <v>100</v>
      </c>
      <c r="T9" s="770" t="s">
        <v>17</v>
      </c>
      <c r="U9" s="771">
        <f t="shared" si="1"/>
        <v>100</v>
      </c>
      <c r="V9" s="770" t="s">
        <v>17</v>
      </c>
      <c r="W9" s="771">
        <f t="shared" si="2"/>
        <v>100</v>
      </c>
      <c r="X9" s="772"/>
      <c r="Y9" s="3032"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 ca="1">ROUND(100/'数据-取费表'!G16,0)</f>
        <v>106</v>
      </c>
      <c r="G10" s="432"/>
      <c r="H10" s="136">
        <f ca="1">ROUND(100/'数据-取费表'!G16,0)</f>
        <v>106</v>
      </c>
      <c r="I10" s="432"/>
      <c r="J10" s="136">
        <f ca="1">ROUND(100/'数据-取费表'!G16,0)</f>
        <v>106</v>
      </c>
      <c r="K10" s="672"/>
      <c r="L10" s="1135"/>
      <c r="M10" s="1136"/>
      <c r="N10" s="1136"/>
      <c r="O10" s="1137"/>
      <c r="P10" s="3217"/>
      <c r="Q10" s="1790" t="str">
        <f t="shared" si="6"/>
        <v>土地使用年限（年）</v>
      </c>
      <c r="R10" s="770" t="s">
        <v>17</v>
      </c>
      <c r="S10" s="771">
        <f t="shared" ca="1" si="0"/>
        <v>106</v>
      </c>
      <c r="T10" s="770" t="s">
        <v>17</v>
      </c>
      <c r="U10" s="771">
        <f t="shared" ca="1" si="1"/>
        <v>106</v>
      </c>
      <c r="V10" s="770" t="s">
        <v>17</v>
      </c>
      <c r="W10" s="771">
        <f t="shared" ca="1" si="2"/>
        <v>106</v>
      </c>
      <c r="X10" s="772"/>
      <c r="Y10" s="3032"/>
      <c r="Z10" s="55" t="str">
        <f t="shared" si="7"/>
        <v>土地使用年限（年）</v>
      </c>
      <c r="AA10" s="773">
        <f t="shared" ca="1" si="3"/>
        <v>0.94339622641509435</v>
      </c>
      <c r="AB10" s="773">
        <f t="shared" ca="1" si="4"/>
        <v>0.94339622641509435</v>
      </c>
      <c r="AC10" s="773">
        <f t="shared" ca="1"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7"/>
      <c r="Q11" s="1790"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7"/>
      <c r="Q12" s="1790">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7"/>
      <c r="Q13" s="1790">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7"/>
      <c r="Q14" s="1790">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2560</v>
      </c>
      <c r="B15" s="629" t="s">
        <v>2799</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9" t="s">
        <v>2561</v>
      </c>
      <c r="Q15" s="1805" t="str">
        <f t="shared" si="6"/>
        <v>产业集聚程度</v>
      </c>
      <c r="R15" s="774" t="s">
        <v>17</v>
      </c>
      <c r="S15" s="775">
        <f t="shared" si="0"/>
        <v>100</v>
      </c>
      <c r="T15" s="774" t="s">
        <v>17</v>
      </c>
      <c r="U15" s="775">
        <f t="shared" si="1"/>
        <v>100</v>
      </c>
      <c r="V15" s="774" t="s">
        <v>17</v>
      </c>
      <c r="W15" s="775">
        <f t="shared" si="2"/>
        <v>100</v>
      </c>
      <c r="X15" s="1808"/>
      <c r="Y15" s="3219" t="s">
        <v>2561</v>
      </c>
      <c r="Z15" s="1809" t="str">
        <f t="shared" si="7"/>
        <v>产业集聚程度</v>
      </c>
      <c r="AA15" s="1806">
        <f t="shared" si="3"/>
        <v>1</v>
      </c>
      <c r="AB15" s="1806">
        <f t="shared" si="4"/>
        <v>1</v>
      </c>
      <c r="AC15" s="1806">
        <f t="shared" si="5"/>
        <v>1</v>
      </c>
    </row>
    <row r="16" spans="1:29" ht="15">
      <c r="A16" s="428"/>
      <c r="B16" s="630"/>
      <c r="C16" s="447"/>
      <c r="D16" s="448"/>
      <c r="E16" s="2606"/>
      <c r="F16" s="448"/>
      <c r="G16" s="2606"/>
      <c r="H16" s="450"/>
      <c r="I16" s="2606"/>
      <c r="J16" s="448"/>
      <c r="K16" s="672"/>
      <c r="L16" s="1140"/>
      <c r="M16" s="1131"/>
      <c r="N16" s="1131"/>
      <c r="O16" s="1139"/>
      <c r="P16" s="3220"/>
      <c r="Q16" s="1805"/>
      <c r="R16" s="774"/>
      <c r="S16" s="775"/>
      <c r="T16" s="774"/>
      <c r="U16" s="775"/>
      <c r="V16" s="774"/>
      <c r="W16" s="775"/>
      <c r="X16" s="1808"/>
      <c r="Y16" s="3220"/>
      <c r="Z16" s="1809"/>
      <c r="AA16" s="1806">
        <v>1</v>
      </c>
      <c r="AB16" s="1806">
        <v>1</v>
      </c>
      <c r="AC16" s="1806">
        <v>1</v>
      </c>
    </row>
    <row r="17" spans="1:29" ht="85.5">
      <c r="A17" s="428"/>
      <c r="B17" s="631" t="s">
        <v>2710</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0"/>
      <c r="Q17" s="1805" t="str">
        <f>B17</f>
        <v>交通便捷度</v>
      </c>
      <c r="R17" s="774" t="s">
        <v>17</v>
      </c>
      <c r="S17" s="775">
        <f>F17</f>
        <v>100</v>
      </c>
      <c r="T17" s="774" t="s">
        <v>17</v>
      </c>
      <c r="U17" s="775">
        <f>H17</f>
        <v>100</v>
      </c>
      <c r="V17" s="774" t="s">
        <v>17</v>
      </c>
      <c r="W17" s="775">
        <f>J17</f>
        <v>100</v>
      </c>
      <c r="X17" s="1808"/>
      <c r="Y17" s="3220"/>
      <c r="Z17" s="1809" t="str">
        <f>Q17</f>
        <v>交通便捷度</v>
      </c>
      <c r="AA17" s="1806">
        <f t="shared" si="3"/>
        <v>1</v>
      </c>
      <c r="AB17" s="1806">
        <f t="shared" si="4"/>
        <v>1</v>
      </c>
      <c r="AC17" s="1806">
        <f t="shared" si="5"/>
        <v>1</v>
      </c>
    </row>
    <row r="18" spans="1:29" ht="15">
      <c r="A18" s="428"/>
      <c r="B18" s="632"/>
      <c r="C18" s="447"/>
      <c r="D18" s="448"/>
      <c r="E18" s="2600"/>
      <c r="F18" s="448"/>
      <c r="G18" s="2600"/>
      <c r="H18" s="448"/>
      <c r="I18" s="2599"/>
      <c r="J18" s="448"/>
      <c r="K18" s="672"/>
      <c r="L18" s="1140"/>
      <c r="M18" s="1131"/>
      <c r="N18" s="1131"/>
      <c r="O18" s="1139"/>
      <c r="P18" s="3220"/>
      <c r="Q18" s="1805"/>
      <c r="R18" s="774"/>
      <c r="S18" s="775"/>
      <c r="T18" s="774"/>
      <c r="U18" s="775"/>
      <c r="V18" s="774"/>
      <c r="W18" s="775"/>
      <c r="X18" s="1808"/>
      <c r="Y18" s="3220"/>
      <c r="Z18" s="1809"/>
      <c r="AA18" s="1806">
        <v>1</v>
      </c>
      <c r="AB18" s="1806">
        <v>1</v>
      </c>
      <c r="AC18" s="1806">
        <v>1</v>
      </c>
    </row>
    <row r="19" spans="1:29" ht="15">
      <c r="A19" s="428"/>
      <c r="B19" s="631" t="s">
        <v>2749</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0"/>
      <c r="Q19" s="1805" t="str">
        <f t="shared" ref="Q19:Q33" si="8">B19</f>
        <v>区域土地利用方向</v>
      </c>
      <c r="R19" s="774" t="s">
        <v>17</v>
      </c>
      <c r="S19" s="775">
        <f>F19</f>
        <v>100</v>
      </c>
      <c r="T19" s="774" t="s">
        <v>17</v>
      </c>
      <c r="U19" s="775">
        <f>H19</f>
        <v>100</v>
      </c>
      <c r="V19" s="774" t="s">
        <v>17</v>
      </c>
      <c r="W19" s="775">
        <f>J19</f>
        <v>100</v>
      </c>
      <c r="X19" s="1808"/>
      <c r="Y19" s="3220"/>
      <c r="Z19" s="1809" t="str">
        <f>Q19</f>
        <v>区域土地利用方向</v>
      </c>
      <c r="AA19" s="1806">
        <f t="shared" si="3"/>
        <v>1</v>
      </c>
      <c r="AB19" s="1806">
        <f t="shared" si="4"/>
        <v>1</v>
      </c>
      <c r="AC19" s="1806">
        <f t="shared" si="5"/>
        <v>1</v>
      </c>
    </row>
    <row r="20" spans="1:29" ht="15">
      <c r="A20" s="404"/>
      <c r="B20" s="632"/>
      <c r="C20" s="447"/>
      <c r="D20" s="448"/>
      <c r="E20" s="2600"/>
      <c r="F20" s="448"/>
      <c r="G20" s="2600"/>
      <c r="H20" s="448"/>
      <c r="I20" s="2600"/>
      <c r="J20" s="448"/>
      <c r="K20" s="812"/>
      <c r="L20" s="1140"/>
      <c r="M20" s="1131"/>
      <c r="N20" s="1131"/>
      <c r="O20" s="1139"/>
      <c r="P20" s="3220"/>
      <c r="Q20" s="1805"/>
      <c r="R20" s="774"/>
      <c r="S20" s="775"/>
      <c r="T20" s="774"/>
      <c r="U20" s="775"/>
      <c r="V20" s="774"/>
      <c r="W20" s="775"/>
      <c r="X20" s="1808"/>
      <c r="Y20" s="3220"/>
      <c r="Z20" s="1809"/>
      <c r="AA20" s="1806"/>
      <c r="AB20" s="1806"/>
      <c r="AC20" s="1806"/>
    </row>
    <row r="21" spans="1:29" ht="71.25">
      <c r="A21" s="404"/>
      <c r="B21" s="631" t="s">
        <v>2800</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0"/>
      <c r="Q21" s="1805" t="str">
        <f t="shared" si="8"/>
        <v>环境状况</v>
      </c>
      <c r="R21" s="774" t="s">
        <v>17</v>
      </c>
      <c r="S21" s="775">
        <f>F21</f>
        <v>100</v>
      </c>
      <c r="T21" s="774" t="s">
        <v>17</v>
      </c>
      <c r="U21" s="775">
        <f>H21</f>
        <v>100</v>
      </c>
      <c r="V21" s="774" t="s">
        <v>17</v>
      </c>
      <c r="W21" s="775">
        <f>J21</f>
        <v>100</v>
      </c>
      <c r="X21" s="1808"/>
      <c r="Y21" s="3220"/>
      <c r="Z21" s="1809" t="str">
        <f>Q21</f>
        <v>环境状况</v>
      </c>
      <c r="AA21" s="1806">
        <f t="shared" si="3"/>
        <v>1</v>
      </c>
      <c r="AB21" s="1806">
        <f t="shared" si="4"/>
        <v>1</v>
      </c>
      <c r="AC21" s="1806">
        <f t="shared" si="5"/>
        <v>1</v>
      </c>
    </row>
    <row r="22" spans="1:29" ht="15">
      <c r="A22" s="404"/>
      <c r="B22" s="632"/>
      <c r="C22" s="447"/>
      <c r="D22" s="448"/>
      <c r="E22" s="2606"/>
      <c r="F22" s="448"/>
      <c r="G22" s="2606"/>
      <c r="H22" s="448"/>
      <c r="I22" s="447"/>
      <c r="J22" s="448"/>
      <c r="K22" s="672"/>
      <c r="L22" s="1140"/>
      <c r="M22" s="1131"/>
      <c r="N22" s="1131"/>
      <c r="O22" s="1139"/>
      <c r="P22" s="3220"/>
      <c r="Q22" s="1805"/>
      <c r="R22" s="774"/>
      <c r="S22" s="775"/>
      <c r="T22" s="774"/>
      <c r="U22" s="775"/>
      <c r="V22" s="774"/>
      <c r="W22" s="775"/>
      <c r="X22" s="1808"/>
      <c r="Y22" s="3220"/>
      <c r="Z22" s="1809"/>
      <c r="AA22" s="1806">
        <v>1</v>
      </c>
      <c r="AB22" s="1806">
        <v>1</v>
      </c>
      <c r="AC22" s="1806">
        <v>1</v>
      </c>
    </row>
    <row r="23" spans="1:29" s="117" customFormat="1" ht="42.75">
      <c r="A23" s="649"/>
      <c r="B23" s="633" t="s">
        <v>2655</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0"/>
      <c r="Q23" s="1790" t="str">
        <f t="shared" si="8"/>
        <v>公共配套设施</v>
      </c>
      <c r="R23" s="770" t="s">
        <v>17</v>
      </c>
      <c r="S23" s="771">
        <f>F23</f>
        <v>100</v>
      </c>
      <c r="T23" s="770" t="s">
        <v>17</v>
      </c>
      <c r="U23" s="771">
        <f>H23</f>
        <v>100</v>
      </c>
      <c r="V23" s="770" t="s">
        <v>17</v>
      </c>
      <c r="W23" s="771">
        <f>J23</f>
        <v>100</v>
      </c>
      <c r="X23" s="772"/>
      <c r="Y23" s="3220"/>
      <c r="Z23" s="55" t="str">
        <f>Q23</f>
        <v>公共配套设施</v>
      </c>
      <c r="AA23" s="1806">
        <f>D23/F23</f>
        <v>1</v>
      </c>
      <c r="AB23" s="1806">
        <f>D23/H23</f>
        <v>1</v>
      </c>
      <c r="AC23" s="1806">
        <f>D23/J23</f>
        <v>1</v>
      </c>
    </row>
    <row r="24" spans="1:29" s="117" customFormat="1" ht="15">
      <c r="A24" s="649"/>
      <c r="B24" s="632"/>
      <c r="C24" s="2695"/>
      <c r="D24" s="448"/>
      <c r="E24" s="2606"/>
      <c r="F24" s="448"/>
      <c r="G24" s="2606"/>
      <c r="H24" s="448"/>
      <c r="I24" s="447"/>
      <c r="J24" s="448"/>
      <c r="K24" s="672"/>
      <c r="L24" s="1132"/>
      <c r="M24" s="1133"/>
      <c r="N24" s="1133"/>
      <c r="O24" s="1134"/>
      <c r="P24" s="3220"/>
      <c r="Q24" s="1790"/>
      <c r="R24" s="770"/>
      <c r="S24" s="771"/>
      <c r="T24" s="770"/>
      <c r="U24" s="771"/>
      <c r="V24" s="770"/>
      <c r="W24" s="771"/>
      <c r="X24" s="772"/>
      <c r="Y24" s="3220"/>
      <c r="Z24" s="55"/>
      <c r="AA24" s="773">
        <v>1</v>
      </c>
      <c r="AB24" s="773">
        <v>1</v>
      </c>
      <c r="AC24" s="773">
        <v>1</v>
      </c>
    </row>
    <row r="25" spans="1:29" s="117" customFormat="1" ht="28.5">
      <c r="A25" s="649"/>
      <c r="B25" s="633" t="s">
        <v>2656</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0"/>
      <c r="Q25" s="1790" t="str">
        <f>B25</f>
        <v>基础设施水平</v>
      </c>
      <c r="R25" s="770" t="s">
        <v>17</v>
      </c>
      <c r="S25" s="771">
        <f>F25</f>
        <v>100</v>
      </c>
      <c r="T25" s="770" t="s">
        <v>17</v>
      </c>
      <c r="U25" s="771">
        <f>H25</f>
        <v>100</v>
      </c>
      <c r="V25" s="770" t="s">
        <v>17</v>
      </c>
      <c r="W25" s="771">
        <f>J25</f>
        <v>100</v>
      </c>
      <c r="X25" s="772"/>
      <c r="Y25" s="3220"/>
      <c r="Z25" s="55" t="str">
        <f>Q25</f>
        <v>基础设施水平</v>
      </c>
      <c r="AA25" s="1806">
        <f>D25/F25</f>
        <v>1</v>
      </c>
      <c r="AB25" s="1806">
        <f>D25/H25</f>
        <v>1</v>
      </c>
      <c r="AC25" s="1806">
        <f>D25/J25</f>
        <v>1</v>
      </c>
    </row>
    <row r="26" spans="1:29" s="117" customFormat="1" ht="15">
      <c r="A26" s="649"/>
      <c r="B26" s="632"/>
      <c r="C26" s="2695"/>
      <c r="D26" s="448"/>
      <c r="E26" s="2696"/>
      <c r="F26" s="448"/>
      <c r="G26" s="2696"/>
      <c r="H26" s="448"/>
      <c r="I26" s="2696"/>
      <c r="J26" s="448"/>
      <c r="K26" s="672"/>
      <c r="L26" s="1132"/>
      <c r="M26" s="1133"/>
      <c r="N26" s="1133"/>
      <c r="O26" s="1134"/>
      <c r="P26" s="3220"/>
      <c r="Q26" s="1790"/>
      <c r="R26" s="770"/>
      <c r="S26" s="771"/>
      <c r="T26" s="770"/>
      <c r="U26" s="771"/>
      <c r="V26" s="770"/>
      <c r="W26" s="771"/>
      <c r="X26" s="772"/>
      <c r="Y26" s="322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0"/>
      <c r="Q27" s="1805" t="str">
        <f t="shared" si="8"/>
        <v>临街状况</v>
      </c>
      <c r="R27" s="774" t="s">
        <v>17</v>
      </c>
      <c r="S27" s="775">
        <f t="shared" ref="S27:S40" si="9">F27</f>
        <v>100</v>
      </c>
      <c r="T27" s="774" t="s">
        <v>17</v>
      </c>
      <c r="U27" s="775">
        <f t="shared" ref="U27:U40" si="10">H27</f>
        <v>100</v>
      </c>
      <c r="V27" s="774" t="s">
        <v>17</v>
      </c>
      <c r="W27" s="775">
        <f t="shared" ref="W27:W40" si="11">J27</f>
        <v>100</v>
      </c>
      <c r="X27" s="1808"/>
      <c r="Y27" s="3220"/>
      <c r="Z27" s="1809" t="str">
        <f t="shared" ref="Z27:Z40" si="12">Q27</f>
        <v>临街状况</v>
      </c>
      <c r="AA27" s="1806">
        <f t="shared" si="3"/>
        <v>1</v>
      </c>
      <c r="AB27" s="1806">
        <f t="shared" si="4"/>
        <v>1</v>
      </c>
      <c r="AC27" s="1806">
        <f t="shared" si="5"/>
        <v>1</v>
      </c>
    </row>
    <row r="28" spans="1:29" ht="27">
      <c r="A28" s="428"/>
      <c r="B28" s="633" t="s">
        <v>2692</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0"/>
      <c r="Q28" s="1805" t="str">
        <f t="shared" si="8"/>
        <v>毗邻道路的类型与等级</v>
      </c>
      <c r="R28" s="774" t="s">
        <v>17</v>
      </c>
      <c r="S28" s="775">
        <f t="shared" si="9"/>
        <v>100</v>
      </c>
      <c r="T28" s="774" t="s">
        <v>17</v>
      </c>
      <c r="U28" s="775">
        <f t="shared" si="10"/>
        <v>100</v>
      </c>
      <c r="V28" s="774" t="s">
        <v>17</v>
      </c>
      <c r="W28" s="775">
        <f t="shared" si="11"/>
        <v>100</v>
      </c>
      <c r="X28" s="1808"/>
      <c r="Y28" s="3220"/>
      <c r="Z28" s="1809" t="str">
        <f t="shared" si="12"/>
        <v>毗邻道路的类型与等级</v>
      </c>
      <c r="AA28" s="1806">
        <f t="shared" si="3"/>
        <v>1</v>
      </c>
      <c r="AB28" s="1806">
        <f t="shared" si="4"/>
        <v>1</v>
      </c>
      <c r="AC28" s="1806">
        <f t="shared" si="5"/>
        <v>1</v>
      </c>
    </row>
    <row r="29" spans="1:29" ht="15">
      <c r="A29" s="428"/>
      <c r="B29" s="632"/>
      <c r="C29" s="447"/>
      <c r="D29" s="448"/>
      <c r="E29" s="2606"/>
      <c r="F29" s="448"/>
      <c r="G29" s="2606"/>
      <c r="H29" s="448"/>
      <c r="I29" s="2606"/>
      <c r="J29" s="448"/>
      <c r="K29" s="613"/>
      <c r="L29" s="1140"/>
      <c r="M29" s="1131"/>
      <c r="N29" s="1131"/>
      <c r="O29" s="1139"/>
      <c r="P29" s="3220"/>
      <c r="Q29" s="1805"/>
      <c r="R29" s="774"/>
      <c r="S29" s="775"/>
      <c r="T29" s="774"/>
      <c r="U29" s="775"/>
      <c r="V29" s="774"/>
      <c r="W29" s="775"/>
      <c r="X29" s="1808"/>
      <c r="Y29" s="3220"/>
      <c r="Z29" s="1809"/>
      <c r="AA29" s="1806">
        <v>1</v>
      </c>
      <c r="AB29" s="1806">
        <v>1</v>
      </c>
      <c r="AC29" s="1806">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0"/>
      <c r="Q30" s="1805" t="str">
        <f t="shared" si="8"/>
        <v>土地级别</v>
      </c>
      <c r="R30" s="774" t="s">
        <v>17</v>
      </c>
      <c r="S30" s="775">
        <f t="shared" si="9"/>
        <v>100</v>
      </c>
      <c r="T30" s="774" t="s">
        <v>17</v>
      </c>
      <c r="U30" s="775">
        <f t="shared" si="10"/>
        <v>100</v>
      </c>
      <c r="V30" s="774" t="s">
        <v>17</v>
      </c>
      <c r="W30" s="775">
        <f t="shared" si="11"/>
        <v>100</v>
      </c>
      <c r="X30" s="1808"/>
      <c r="Y30" s="3220"/>
      <c r="Z30" s="1809" t="str">
        <f t="shared" si="12"/>
        <v>土地级别</v>
      </c>
      <c r="AA30" s="1806">
        <f t="shared" si="3"/>
        <v>1</v>
      </c>
      <c r="AB30" s="1806">
        <f t="shared" si="4"/>
        <v>1</v>
      </c>
      <c r="AC30" s="1806">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0"/>
      <c r="Q31" s="1805">
        <f t="shared" si="8"/>
        <v>111</v>
      </c>
      <c r="R31" s="774" t="s">
        <v>17</v>
      </c>
      <c r="S31" s="775">
        <f t="shared" si="9"/>
        <v>100</v>
      </c>
      <c r="T31" s="774" t="s">
        <v>17</v>
      </c>
      <c r="U31" s="775">
        <f t="shared" si="10"/>
        <v>100</v>
      </c>
      <c r="V31" s="774" t="s">
        <v>17</v>
      </c>
      <c r="W31" s="775">
        <f t="shared" si="11"/>
        <v>100</v>
      </c>
      <c r="X31" s="1808"/>
      <c r="Y31" s="3220"/>
      <c r="Z31" s="1809">
        <f t="shared" si="12"/>
        <v>111</v>
      </c>
      <c r="AA31" s="1806">
        <f t="shared" si="3"/>
        <v>1</v>
      </c>
      <c r="AB31" s="1806">
        <f t="shared" si="4"/>
        <v>1</v>
      </c>
      <c r="AC31" s="1806">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3" t="s">
        <v>2566</v>
      </c>
      <c r="Q32" s="1805">
        <f t="shared" si="8"/>
        <v>111</v>
      </c>
      <c r="R32" s="774" t="s">
        <v>17</v>
      </c>
      <c r="S32" s="775">
        <f t="shared" si="9"/>
        <v>100</v>
      </c>
      <c r="T32" s="774" t="s">
        <v>17</v>
      </c>
      <c r="U32" s="775">
        <f t="shared" si="10"/>
        <v>100</v>
      </c>
      <c r="V32" s="774" t="s">
        <v>17</v>
      </c>
      <c r="W32" s="775">
        <f t="shared" si="11"/>
        <v>100</v>
      </c>
      <c r="X32" s="1808"/>
      <c r="Y32" s="3224" t="s">
        <v>2566</v>
      </c>
      <c r="Z32" s="1809">
        <f t="shared" si="12"/>
        <v>111</v>
      </c>
      <c r="AA32" s="1806">
        <f t="shared" si="3"/>
        <v>1</v>
      </c>
      <c r="AB32" s="1806">
        <f t="shared" si="4"/>
        <v>1</v>
      </c>
      <c r="AC32" s="1806">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4"/>
      <c r="Q33" s="1805">
        <f t="shared" si="8"/>
        <v>111</v>
      </c>
      <c r="R33" s="777" t="s">
        <v>17</v>
      </c>
      <c r="S33" s="778">
        <f t="shared" si="9"/>
        <v>100</v>
      </c>
      <c r="T33" s="777" t="s">
        <v>17</v>
      </c>
      <c r="U33" s="778">
        <f t="shared" si="10"/>
        <v>100</v>
      </c>
      <c r="V33" s="777" t="s">
        <v>17</v>
      </c>
      <c r="W33" s="778">
        <f t="shared" si="11"/>
        <v>100</v>
      </c>
      <c r="X33" s="779"/>
      <c r="Y33" s="3224"/>
      <c r="Z33" s="780">
        <f t="shared" si="12"/>
        <v>111</v>
      </c>
      <c r="AA33" s="1806">
        <f t="shared" si="3"/>
        <v>1</v>
      </c>
      <c r="AB33" s="1806">
        <f t="shared" si="4"/>
        <v>1</v>
      </c>
      <c r="AC33" s="1806">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4"/>
      <c r="Q34" s="1805" t="str">
        <f>B34</f>
        <v>宗地面积</v>
      </c>
      <c r="R34" s="774" t="s">
        <v>17</v>
      </c>
      <c r="S34" s="775" t="e">
        <f t="shared" si="9"/>
        <v>#N/A</v>
      </c>
      <c r="T34" s="774" t="s">
        <v>17</v>
      </c>
      <c r="U34" s="775" t="e">
        <f t="shared" si="10"/>
        <v>#N/A</v>
      </c>
      <c r="V34" s="774" t="s">
        <v>17</v>
      </c>
      <c r="W34" s="775" t="e">
        <f t="shared" si="11"/>
        <v>#N/A</v>
      </c>
      <c r="X34" s="1808"/>
      <c r="Y34" s="3224"/>
      <c r="Z34" s="1809" t="str">
        <f t="shared" si="12"/>
        <v>宗地面积</v>
      </c>
      <c r="AA34" s="1806" t="e">
        <f t="shared" si="3"/>
        <v>#N/A</v>
      </c>
      <c r="AB34" s="1806" t="e">
        <f t="shared" si="4"/>
        <v>#N/A</v>
      </c>
      <c r="AC34" s="1806" t="e">
        <f t="shared" si="5"/>
        <v>#N/A</v>
      </c>
    </row>
    <row r="35" spans="1:29" ht="15">
      <c r="A35" s="472"/>
      <c r="B35" s="422" t="s">
        <v>2753</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0"/>
      <c r="M35" s="1131"/>
      <c r="N35" s="1131"/>
      <c r="O35" s="1139"/>
      <c r="P35" s="3224"/>
      <c r="Q35" s="1805" t="str">
        <f t="shared" ref="Q35:Q40" si="13">B35</f>
        <v>宗地形状</v>
      </c>
      <c r="R35" s="774" t="s">
        <v>17</v>
      </c>
      <c r="S35" s="775">
        <f t="shared" si="9"/>
        <v>100</v>
      </c>
      <c r="T35" s="774" t="s">
        <v>17</v>
      </c>
      <c r="U35" s="775">
        <f t="shared" si="10"/>
        <v>100</v>
      </c>
      <c r="V35" s="774" t="s">
        <v>17</v>
      </c>
      <c r="W35" s="775">
        <f t="shared" si="11"/>
        <v>100</v>
      </c>
      <c r="X35" s="1808"/>
      <c r="Y35" s="3224"/>
      <c r="Z35" s="1809" t="str">
        <f t="shared" si="12"/>
        <v>宗地形状</v>
      </c>
      <c r="AA35" s="1806">
        <f t="shared" si="3"/>
        <v>1</v>
      </c>
      <c r="AB35" s="1806">
        <f t="shared" si="4"/>
        <v>1</v>
      </c>
      <c r="AC35" s="1806">
        <f t="shared" si="5"/>
        <v>1</v>
      </c>
    </row>
    <row r="36" spans="1:29" s="117" customFormat="1" ht="15">
      <c r="A36" s="473"/>
      <c r="B36" s="422" t="s">
        <v>2755</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24"/>
      <c r="Q36" s="1805" t="str">
        <f t="shared" si="13"/>
        <v>宗地开发程度</v>
      </c>
      <c r="R36" s="770" t="s">
        <v>17</v>
      </c>
      <c r="S36" s="771">
        <f t="shared" si="9"/>
        <v>100</v>
      </c>
      <c r="T36" s="770" t="s">
        <v>17</v>
      </c>
      <c r="U36" s="771">
        <f t="shared" si="10"/>
        <v>100</v>
      </c>
      <c r="V36" s="770" t="s">
        <v>17</v>
      </c>
      <c r="W36" s="771">
        <f t="shared" si="11"/>
        <v>100</v>
      </c>
      <c r="X36" s="772"/>
      <c r="Y36" s="3224"/>
      <c r="Z36" s="55" t="str">
        <f t="shared" si="12"/>
        <v>宗地开发程度</v>
      </c>
      <c r="AA36" s="773">
        <f t="shared" si="3"/>
        <v>1</v>
      </c>
      <c r="AB36" s="773">
        <f t="shared" si="4"/>
        <v>1</v>
      </c>
      <c r="AC36" s="773">
        <f t="shared" si="5"/>
        <v>1</v>
      </c>
    </row>
    <row r="37" spans="1:29" ht="15">
      <c r="A37" s="472"/>
      <c r="B37" s="422" t="s">
        <v>2756</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0"/>
      <c r="M37" s="1131"/>
      <c r="N37" s="1131"/>
      <c r="O37" s="1139"/>
      <c r="P37" s="3224" t="s">
        <v>2566</v>
      </c>
      <c r="Q37" s="1805" t="str">
        <f t="shared" si="13"/>
        <v>工程地质条件</v>
      </c>
      <c r="R37" s="774" t="s">
        <v>17</v>
      </c>
      <c r="S37" s="775">
        <f t="shared" si="9"/>
        <v>100</v>
      </c>
      <c r="T37" s="774" t="s">
        <v>17</v>
      </c>
      <c r="U37" s="775">
        <f t="shared" si="10"/>
        <v>100</v>
      </c>
      <c r="V37" s="774" t="s">
        <v>17</v>
      </c>
      <c r="W37" s="775">
        <f t="shared" si="11"/>
        <v>100</v>
      </c>
      <c r="X37" s="1808"/>
      <c r="Y37" s="3224" t="s">
        <v>2566</v>
      </c>
      <c r="Z37" s="1809" t="str">
        <f t="shared" si="12"/>
        <v>工程地质条件</v>
      </c>
      <c r="AA37" s="1806">
        <f t="shared" si="3"/>
        <v>1</v>
      </c>
      <c r="AB37" s="1806">
        <f t="shared" si="4"/>
        <v>1</v>
      </c>
      <c r="AC37" s="180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4"/>
      <c r="Q38" s="1805">
        <f t="shared" si="13"/>
        <v>111</v>
      </c>
      <c r="R38" s="774" t="s">
        <v>17</v>
      </c>
      <c r="S38" s="775">
        <f t="shared" si="9"/>
        <v>100</v>
      </c>
      <c r="T38" s="774" t="s">
        <v>17</v>
      </c>
      <c r="U38" s="775">
        <f t="shared" si="10"/>
        <v>100</v>
      </c>
      <c r="V38" s="774" t="s">
        <v>17</v>
      </c>
      <c r="W38" s="775">
        <f t="shared" si="11"/>
        <v>100</v>
      </c>
      <c r="X38" s="1808"/>
      <c r="Y38" s="3224"/>
      <c r="Z38" s="1809">
        <f t="shared" si="12"/>
        <v>111</v>
      </c>
      <c r="AA38" s="1806">
        <f t="shared" si="3"/>
        <v>1</v>
      </c>
      <c r="AB38" s="1806">
        <f t="shared" si="4"/>
        <v>1</v>
      </c>
      <c r="AC38" s="180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4"/>
      <c r="Q39" s="1805">
        <f t="shared" si="13"/>
        <v>111</v>
      </c>
      <c r="R39" s="774" t="s">
        <v>17</v>
      </c>
      <c r="S39" s="775">
        <f t="shared" si="9"/>
        <v>100</v>
      </c>
      <c r="T39" s="774" t="s">
        <v>17</v>
      </c>
      <c r="U39" s="775">
        <f t="shared" si="10"/>
        <v>100</v>
      </c>
      <c r="V39" s="774" t="s">
        <v>17</v>
      </c>
      <c r="W39" s="775">
        <f t="shared" si="11"/>
        <v>100</v>
      </c>
      <c r="X39" s="1808"/>
      <c r="Y39" s="3224"/>
      <c r="Z39" s="1809">
        <f t="shared" si="12"/>
        <v>111</v>
      </c>
      <c r="AA39" s="1806">
        <f t="shared" si="3"/>
        <v>1</v>
      </c>
      <c r="AB39" s="1806">
        <f t="shared" si="4"/>
        <v>1</v>
      </c>
      <c r="AC39" s="1806">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4"/>
      <c r="Q40" s="1805">
        <f t="shared" si="13"/>
        <v>111</v>
      </c>
      <c r="R40" s="777" t="s">
        <v>17</v>
      </c>
      <c r="S40" s="778">
        <f t="shared" si="9"/>
        <v>100</v>
      </c>
      <c r="T40" s="777" t="s">
        <v>17</v>
      </c>
      <c r="U40" s="778">
        <f t="shared" si="10"/>
        <v>100</v>
      </c>
      <c r="V40" s="777" t="s">
        <v>17</v>
      </c>
      <c r="W40" s="778">
        <f t="shared" si="11"/>
        <v>100</v>
      </c>
      <c r="X40" s="779"/>
      <c r="Y40" s="3224"/>
      <c r="Z40" s="780">
        <f t="shared" si="12"/>
        <v>111</v>
      </c>
      <c r="AA40" s="1806">
        <f t="shared" si="3"/>
        <v>1</v>
      </c>
      <c r="AB40" s="1806">
        <f t="shared" si="4"/>
        <v>1</v>
      </c>
      <c r="AC40" s="1806">
        <f t="shared" si="5"/>
        <v>1</v>
      </c>
    </row>
    <row r="41" spans="1:29" ht="15">
      <c r="A41" s="479" t="s">
        <v>2721</v>
      </c>
      <c r="B41" s="2699" t="s">
        <v>2801</v>
      </c>
      <c r="C41" s="682" t="s">
        <v>1</v>
      </c>
      <c r="D41" s="481"/>
      <c r="E41" s="482"/>
      <c r="F41" s="483"/>
      <c r="G41" s="484"/>
      <c r="H41" s="485"/>
      <c r="I41" s="482"/>
      <c r="J41" s="485"/>
      <c r="K41" s="783"/>
      <c r="L41" s="1143"/>
      <c r="M41" s="1131"/>
      <c r="N41" s="1131"/>
      <c r="O41" s="1144"/>
      <c r="P41" s="3217" t="str">
        <f>A41</f>
        <v>成交单价</v>
      </c>
      <c r="Q41" s="3217"/>
      <c r="R41" s="3212">
        <f>E41</f>
        <v>0</v>
      </c>
      <c r="S41" s="3212"/>
      <c r="T41" s="3212">
        <f>G41</f>
        <v>0</v>
      </c>
      <c r="U41" s="3212"/>
      <c r="V41" s="3212">
        <f>I41</f>
        <v>0</v>
      </c>
      <c r="W41" s="3212"/>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17" t="str">
        <f>A42</f>
        <v>比较价值（元/平方米）</v>
      </c>
      <c r="Q42" s="3217"/>
      <c r="R42" s="3244" t="e">
        <f>ROUND(PRODUCT(R41,AA7:AA40),0)</f>
        <v>#DIV/0!</v>
      </c>
      <c r="S42" s="3244"/>
      <c r="T42" s="3244" t="e">
        <f>ROUND(PRODUCT(T41,AB7:AB40),0)</f>
        <v>#DIV/0!</v>
      </c>
      <c r="U42" s="3244"/>
      <c r="V42" s="3244" t="e">
        <f>ROUND(PRODUCT(V41,AC7:AC40),0)</f>
        <v>#DIV/0!</v>
      </c>
      <c r="W42" s="324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14" t="str">
        <f>A43</f>
        <v>估价对象XX用房的比较价值（楼面单价，元/平方米）</v>
      </c>
      <c r="Q43" s="3215"/>
      <c r="R43" s="3245" t="e">
        <f>ROUND(AVERAGE(R42:V42),0)</f>
        <v>#DIV/0!</v>
      </c>
      <c r="S43" s="3245"/>
      <c r="T43" s="3245"/>
      <c r="U43" s="3245"/>
      <c r="V43" s="3245"/>
      <c r="W43" s="324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0" t="s">
        <v>2761</v>
      </c>
      <c r="D50" s="2701" t="s">
        <v>2762</v>
      </c>
      <c r="E50" s="686" t="s">
        <v>2763</v>
      </c>
      <c r="F50" s="687" t="s">
        <v>2764</v>
      </c>
      <c r="G50" s="3200" t="s">
        <v>2765</v>
      </c>
      <c r="H50" s="3246"/>
      <c r="I50" s="1809" t="s">
        <v>2802</v>
      </c>
      <c r="J50" s="1809">
        <f>项目基本情况!F35</f>
        <v>0</v>
      </c>
      <c r="K50" s="2703" t="s">
        <v>2767</v>
      </c>
      <c r="L50" s="1106"/>
      <c r="M50" s="1144"/>
      <c r="N50" s="1144"/>
      <c r="O50" s="1144"/>
    </row>
    <row r="51" spans="1:17" s="692" customFormat="1">
      <c r="A51" s="688" t="s">
        <v>2768</v>
      </c>
      <c r="B51" s="689" t="e">
        <f>C43</f>
        <v>#DIV/0!</v>
      </c>
      <c r="C51" s="690">
        <v>1</v>
      </c>
      <c r="D51" s="1163">
        <v>1</v>
      </c>
      <c r="E51" s="690">
        <f>'数据-汇总表'!E8+'数据-汇总表'!E9</f>
        <v>23014.799999999999</v>
      </c>
      <c r="F51" s="691" t="e">
        <f t="shared" ref="F51:F60" si="14">ROUND(B51*E51/10000,0)</f>
        <v>#DIV/0!</v>
      </c>
      <c r="G51" s="3199"/>
      <c r="H51" s="3217"/>
      <c r="I51" s="942">
        <v>1</v>
      </c>
      <c r="J51" s="942">
        <v>1</v>
      </c>
      <c r="K51" s="1145"/>
      <c r="L51" s="941"/>
      <c r="M51" s="941"/>
      <c r="N51" s="941"/>
      <c r="O51" s="941"/>
    </row>
    <row r="52" spans="1:17" s="692" customFormat="1">
      <c r="A52" s="693" t="s">
        <v>2769</v>
      </c>
      <c r="B52" s="262" t="e">
        <f>ROUND($C$43*C52*D52,0)</f>
        <v>#DIV/0!</v>
      </c>
      <c r="C52" s="200">
        <f t="shared" ref="C52:C60" si="15">IF($C$50="北京市系数",I52,J52)</f>
        <v>0</v>
      </c>
      <c r="D52" s="1164">
        <v>0.25</v>
      </c>
      <c r="E52" s="694"/>
      <c r="F52" s="691" t="e">
        <f t="shared" si="14"/>
        <v>#DIV/0!</v>
      </c>
      <c r="G52" s="3247"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6">ROUND($C$43*C53*D53,0)</f>
        <v>#DIV/0!</v>
      </c>
      <c r="C53" s="200">
        <f t="shared" si="15"/>
        <v>0</v>
      </c>
      <c r="D53" s="1164">
        <v>0.25</v>
      </c>
      <c r="E53" s="694"/>
      <c r="F53" s="691" t="e">
        <f t="shared" si="14"/>
        <v>#DIV/0!</v>
      </c>
      <c r="G53" s="3247"/>
      <c r="H53" s="1104">
        <f>项目基本情况!B37</f>
        <v>0</v>
      </c>
      <c r="I53" s="942">
        <f>SUMIF(修正!A45:A56,H53,修正!C45:C56)</f>
        <v>0</v>
      </c>
      <c r="J53" s="943"/>
      <c r="K53" s="1145"/>
      <c r="L53" s="941"/>
      <c r="M53" s="941"/>
      <c r="N53" s="941"/>
      <c r="O53" s="941"/>
    </row>
    <row r="54" spans="1:17" s="692" customFormat="1">
      <c r="A54" s="693" t="s">
        <v>2772</v>
      </c>
      <c r="B54" s="262" t="e">
        <f t="shared" si="16"/>
        <v>#DIV/0!</v>
      </c>
      <c r="C54" s="200">
        <f t="shared" si="15"/>
        <v>0</v>
      </c>
      <c r="D54" s="1164">
        <v>0.25</v>
      </c>
      <c r="E54" s="694"/>
      <c r="F54" s="691" t="e">
        <f t="shared" si="14"/>
        <v>#DIV/0!</v>
      </c>
      <c r="G54" s="3247"/>
      <c r="H54" s="1104">
        <f>项目基本情况!B37</f>
        <v>0</v>
      </c>
      <c r="I54" s="942">
        <f>SUMIF(修正!A45:A56,H54,修正!D45:D56)</f>
        <v>0</v>
      </c>
      <c r="J54" s="943"/>
      <c r="K54" s="1144"/>
      <c r="L54" s="941"/>
      <c r="M54" s="941"/>
      <c r="N54" s="941"/>
      <c r="O54" s="941"/>
    </row>
    <row r="55" spans="1:17" s="692" customFormat="1">
      <c r="A55" s="693" t="s">
        <v>2773</v>
      </c>
      <c r="B55" s="262" t="e">
        <f t="shared" si="16"/>
        <v>#DIV/0!</v>
      </c>
      <c r="C55" s="200">
        <f t="shared" si="15"/>
        <v>0</v>
      </c>
      <c r="D55" s="1164">
        <v>0.25</v>
      </c>
      <c r="E55" s="694"/>
      <c r="F55" s="691" t="e">
        <f t="shared" si="14"/>
        <v>#DIV/0!</v>
      </c>
      <c r="G55" s="3247"/>
      <c r="H55" s="1104">
        <f>项目基本情况!B37</f>
        <v>0</v>
      </c>
      <c r="I55" s="942">
        <f>SUMIF(修正!A45:A56,H55,修正!E45:E56)</f>
        <v>0</v>
      </c>
      <c r="J55" s="943"/>
      <c r="K55" s="1145"/>
      <c r="L55" s="941"/>
      <c r="M55" s="941"/>
      <c r="N55" s="941"/>
      <c r="O55" s="941"/>
    </row>
    <row r="56" spans="1:17" s="692" customFormat="1">
      <c r="A56" s="693" t="s">
        <v>2774</v>
      </c>
      <c r="B56" s="262" t="e">
        <f t="shared" si="16"/>
        <v>#DIV/0!</v>
      </c>
      <c r="C56" s="200">
        <f t="shared" si="15"/>
        <v>0</v>
      </c>
      <c r="D56" s="1164">
        <v>0.25</v>
      </c>
      <c r="E56" s="261">
        <f>'数据-汇总表'!E11</f>
        <v>0</v>
      </c>
      <c r="F56" s="691" t="e">
        <f t="shared" si="14"/>
        <v>#DIV/0!</v>
      </c>
      <c r="G56" s="2704" t="s">
        <v>2775</v>
      </c>
      <c r="H56" s="1104">
        <f>项目基本情况!C37</f>
        <v>0</v>
      </c>
      <c r="I56" s="942">
        <f>SUMIF(修正!A45:A56,H56,修正!F45:F56)</f>
        <v>0</v>
      </c>
      <c r="J56" s="943"/>
      <c r="K56" s="1144"/>
      <c r="L56" s="941"/>
      <c r="M56" s="941"/>
      <c r="N56" s="941"/>
      <c r="O56" s="941"/>
    </row>
    <row r="57" spans="1:17" s="692" customFormat="1">
      <c r="A57" s="693" t="s">
        <v>2776</v>
      </c>
      <c r="B57" s="262" t="e">
        <f t="shared" si="16"/>
        <v>#DIV/0!</v>
      </c>
      <c r="C57" s="200">
        <f t="shared" si="15"/>
        <v>0</v>
      </c>
      <c r="D57" s="1164">
        <v>0.25</v>
      </c>
      <c r="E57" s="261">
        <f>'数据-汇总表'!E12</f>
        <v>0</v>
      </c>
      <c r="F57" s="691" t="e">
        <f t="shared" si="14"/>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6"/>
        <v>#DIV/0!</v>
      </c>
      <c r="C58" s="200">
        <f t="shared" si="15"/>
        <v>0</v>
      </c>
      <c r="D58" s="1164">
        <v>0.25</v>
      </c>
      <c r="E58" s="261">
        <f>'数据-汇总表'!E13</f>
        <v>0</v>
      </c>
      <c r="F58" s="691" t="e">
        <f t="shared" si="14"/>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6"/>
        <v>#DIV/0!</v>
      </c>
      <c r="C59" s="200">
        <f t="shared" si="15"/>
        <v>0</v>
      </c>
      <c r="D59" s="1164">
        <v>0.25</v>
      </c>
      <c r="E59" s="261">
        <f>'数据-汇总表'!E14</f>
        <v>0</v>
      </c>
      <c r="F59" s="691" t="e">
        <f t="shared" si="14"/>
        <v>#DIV/0!</v>
      </c>
      <c r="G59" s="2704"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6"/>
        <v>#DIV/0!</v>
      </c>
      <c r="C60" s="200">
        <f t="shared" si="15"/>
        <v>0</v>
      </c>
      <c r="D60" s="1164">
        <v>0.25</v>
      </c>
      <c r="E60" s="261">
        <f>'数据-汇总表'!E15</f>
        <v>0</v>
      </c>
      <c r="F60" s="691" t="e">
        <f t="shared" si="14"/>
        <v>#DIV/0!</v>
      </c>
      <c r="G60" s="2705"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61612.73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7">EDATE(E63,-3)</f>
        <v>43617</v>
      </c>
      <c r="G63" s="761">
        <f t="shared" si="17"/>
        <v>43525</v>
      </c>
      <c r="H63" s="761">
        <f t="shared" si="17"/>
        <v>43435</v>
      </c>
      <c r="I63" s="761">
        <f t="shared" si="17"/>
        <v>43344</v>
      </c>
      <c r="J63" s="761">
        <f t="shared" si="17"/>
        <v>43252</v>
      </c>
      <c r="K63" s="761">
        <f t="shared" si="17"/>
        <v>43160</v>
      </c>
      <c r="L63" s="761">
        <f t="shared" si="17"/>
        <v>43070</v>
      </c>
      <c r="M63" s="761">
        <f t="shared" si="17"/>
        <v>42979</v>
      </c>
      <c r="N63" s="761">
        <f t="shared" si="17"/>
        <v>42887</v>
      </c>
      <c r="O63" s="761">
        <f t="shared" si="17"/>
        <v>42795</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06" t="s">
        <v>2783</v>
      </c>
      <c r="B65" s="1359"/>
      <c r="C65" s="1567" t="str">
        <f>YEAR(C63)&amp;"-"&amp;ROUNDUP(MONTH(C63)/3,0)</f>
        <v>2020-1</v>
      </c>
      <c r="D65" s="1567" t="str">
        <f t="shared" ref="D65:O65" si="18">YEAR(D63)&amp;"-"&amp;ROUNDUP(MONTH(D63)/3,0)</f>
        <v>2019-4</v>
      </c>
      <c r="E65" s="1567" t="str">
        <f t="shared" si="18"/>
        <v>2019-3</v>
      </c>
      <c r="F65" s="1567" t="str">
        <f t="shared" si="18"/>
        <v>2019-2</v>
      </c>
      <c r="G65" s="1567" t="str">
        <f t="shared" si="18"/>
        <v>2019-1</v>
      </c>
      <c r="H65" s="1567" t="str">
        <f t="shared" si="18"/>
        <v>2018-4</v>
      </c>
      <c r="I65" s="1567" t="str">
        <f t="shared" si="18"/>
        <v>2018-3</v>
      </c>
      <c r="J65" s="1567" t="str">
        <f t="shared" si="18"/>
        <v>2018-2</v>
      </c>
      <c r="K65" s="1567" t="str">
        <f t="shared" si="18"/>
        <v>2018-1</v>
      </c>
      <c r="L65" s="1567" t="str">
        <f t="shared" si="18"/>
        <v>2017-4</v>
      </c>
      <c r="M65" s="1567" t="str">
        <f t="shared" si="18"/>
        <v>2017-3</v>
      </c>
      <c r="N65" s="1567" t="str">
        <f t="shared" si="18"/>
        <v>2017-2</v>
      </c>
      <c r="O65" s="1567" t="str">
        <f t="shared" si="18"/>
        <v>2017-1</v>
      </c>
      <c r="P65" s="507"/>
    </row>
    <row r="66" spans="1:17" s="117" customFormat="1" ht="30.75" customHeight="1">
      <c r="A66" s="2711" t="s">
        <v>2803</v>
      </c>
      <c r="B66" s="332" t="str">
        <f>"北京市平均增长率"&amp;TEXT(基准地价修正!P24,"0.00%")</f>
        <v>北京市平均增长率1.29%</v>
      </c>
      <c r="C66" s="603">
        <v>100</v>
      </c>
      <c r="D66" s="595"/>
      <c r="E66" s="595"/>
      <c r="F66" s="595"/>
      <c r="G66" s="595"/>
      <c r="H66" s="595"/>
      <c r="I66" s="595"/>
      <c r="J66" s="595"/>
      <c r="K66" s="595"/>
      <c r="L66" s="595"/>
      <c r="M66" s="1562"/>
      <c r="N66" s="1562"/>
      <c r="O66" s="1564"/>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1" t="str">
        <f t="shared" si="24"/>
        <v>(含)-</v>
      </c>
      <c r="L107" s="1761" t="str">
        <f t="shared" si="24"/>
        <v>(含)-</v>
      </c>
      <c r="M107" s="1762"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G20" sqref="G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1"/>
      <c r="C1" s="242"/>
      <c r="D1" s="242"/>
      <c r="E1" s="242"/>
      <c r="F1" s="242"/>
      <c r="G1" s="1379">
        <f>MATCH(B1,'数据-取费表'!A6:A16,0)+5</f>
        <v>7</v>
      </c>
    </row>
    <row r="2" spans="1:9" s="244" customFormat="1" ht="18" customHeight="1">
      <c r="A2" s="245" t="s">
        <v>2328</v>
      </c>
      <c r="B2" s="246">
        <f ca="1">IF(D2="——",C52,C52-E2)</f>
        <v>20232</v>
      </c>
      <c r="C2" s="243" t="s">
        <v>2329</v>
      </c>
      <c r="D2" s="2542" t="s">
        <v>70</v>
      </c>
      <c r="E2" s="1440" t="e">
        <f ca="1">SUMIF(INDIRECT("'"&amp;G2&amp;"'"&amp;"!A:A"),"承租人权益价值",INDIRECT("'"&amp;G2&amp;"'"&amp;"!c:c"))</f>
        <v>#REF!</v>
      </c>
      <c r="F2" s="2543" t="s">
        <v>2329</v>
      </c>
      <c r="G2" s="2544"/>
    </row>
    <row r="3" spans="1:9" s="244" customFormat="1" ht="18" customHeight="1" thickBot="1">
      <c r="A3" s="247" t="s">
        <v>2330</v>
      </c>
      <c r="B3" s="248">
        <f ca="1">ROUND(B2*10000/(IF(B1="",'数据-汇总表'!E3,INDIRECT("'数据-取费表'!k"&amp;$G$1))),0)</f>
        <v>8791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7843</v>
      </c>
      <c r="D5" s="255" t="s">
        <v>2335</v>
      </c>
      <c r="E5" s="256" t="s">
        <v>2336</v>
      </c>
      <c r="F5" s="256" t="s">
        <v>2337</v>
      </c>
      <c r="G5" s="257"/>
    </row>
    <row r="6" spans="1:9" s="258" customFormat="1" ht="13.5" customHeight="1">
      <c r="A6" s="949" t="s">
        <v>2338</v>
      </c>
      <c r="B6" s="259" t="s">
        <v>2339</v>
      </c>
      <c r="C6" s="260">
        <f ca="1">基准地价修正!E29</f>
        <v>7611</v>
      </c>
      <c r="D6" s="261"/>
      <c r="E6" s="262"/>
      <c r="F6" s="262"/>
      <c r="G6" s="263"/>
    </row>
    <row r="7" spans="1:9" s="258" customFormat="1" ht="13.5" customHeight="1">
      <c r="A7" s="949" t="s">
        <v>2340</v>
      </c>
      <c r="B7" s="259" t="s">
        <v>2341</v>
      </c>
      <c r="C7" s="264">
        <f ca="1">ROUND(C6*F7,0)</f>
        <v>232</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45" t="s">
        <v>3082</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46" t="s">
        <v>3083</v>
      </c>
      <c r="H9" s="1390"/>
      <c r="I9" s="2547" t="s">
        <v>2345</v>
      </c>
    </row>
    <row r="10" spans="1:9" s="258" customFormat="1" ht="13.5" customHeight="1">
      <c r="A10" s="950" t="s">
        <v>801</v>
      </c>
      <c r="B10" s="268" t="s">
        <v>2346</v>
      </c>
      <c r="C10" s="269">
        <f ca="1">ROUND(D10*E10/10000,0)</f>
        <v>0</v>
      </c>
      <c r="D10" s="1032">
        <f ca="1">IF(B1="",'数据-汇总表'!E6,IF(INDIRECT("'数据-取费表'!c"&amp;$G$1)="住宅",INDIRECT("'数据-取费表'!s"&amp;$G$1),INDIRECT("'数据-取费表'!k"&amp;$G$1)+INDIRECT("'数据-取费表'!s"&amp;$G$1)))</f>
        <v>23014.799999999999</v>
      </c>
      <c r="E10" s="269">
        <f>'数据-取费表'!B28</f>
        <v>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23014.799999999999</v>
      </c>
      <c r="E19" s="255">
        <f>'数据-取费表'!B31</f>
        <v>200</v>
      </c>
      <c r="F19" s="275"/>
      <c r="G19" s="2545" t="s">
        <v>3084</v>
      </c>
    </row>
    <row r="20" spans="1:7" s="258" customFormat="1" ht="13.5" customHeight="1">
      <c r="A20" s="299" t="s">
        <v>2359</v>
      </c>
      <c r="B20" s="254" t="s">
        <v>2360</v>
      </c>
      <c r="C20" s="276">
        <f ca="1">ROUND((C5+C19)*F20,0)</f>
        <v>235</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4">
        <f ca="1">ROUND(SUM(C23:C25),0)</f>
        <v>774</v>
      </c>
      <c r="D22" s="279">
        <f ca="1">C26</f>
        <v>1.4E-3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763</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11</v>
      </c>
      <c r="D25" s="282"/>
      <c r="E25" s="285"/>
      <c r="F25" s="283"/>
      <c r="G25" s="286" t="s">
        <v>2376</v>
      </c>
    </row>
    <row r="26" spans="1:7" s="258" customFormat="1">
      <c r="A26" s="951"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1212</v>
      </c>
      <c r="D27" s="279">
        <f ca="1">C29</f>
        <v>4.4999999999999997E-3</v>
      </c>
      <c r="E27" s="280" t="s">
        <v>2380</v>
      </c>
      <c r="F27" s="290">
        <f ca="1">IF(B1="",'数据-取费表'!Q16,INDIRECT("'数据-取费表'!q"&amp;$G$1))</f>
        <v>0.15</v>
      </c>
      <c r="G27" s="291" t="s">
        <v>2381</v>
      </c>
    </row>
    <row r="28" spans="1:7" s="258" customFormat="1" ht="13.5" customHeight="1">
      <c r="A28" s="951" t="s">
        <v>791</v>
      </c>
      <c r="B28" s="292" t="s">
        <v>2382</v>
      </c>
      <c r="C28" s="293">
        <f ca="1">ROUND((C5+C19+C20)*F27*'数据-取费表'!B21/'数据-取费表'!B20,0)</f>
        <v>1212</v>
      </c>
      <c r="D28" s="279"/>
      <c r="E28" s="280"/>
      <c r="F28" s="290"/>
      <c r="G28" s="291"/>
    </row>
    <row r="29" spans="1:7" s="258" customFormat="1" ht="13.5" customHeight="1">
      <c r="A29" s="951" t="s">
        <v>792</v>
      </c>
      <c r="B29" s="292" t="s">
        <v>2383</v>
      </c>
      <c r="C29" s="282">
        <f ca="1">ROUND(C21*F27*'数据-取费表'!B21/'数据-取费表'!B20,4)</f>
        <v>4.4999999999999997E-3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11039</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7078</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6214</v>
      </c>
      <c r="D34" s="261"/>
      <c r="E34" s="264"/>
      <c r="F34" s="301">
        <f ca="1">IF('数据-取费表'!B24=0,1,IF(B1="",'数据-取费表'!N16,INDIRECT("'数据-取费表'!n"&amp;$G$1)))</f>
        <v>1</v>
      </c>
      <c r="G34" s="263" t="s">
        <v>2392</v>
      </c>
    </row>
    <row r="35" spans="1:7" ht="13.5" customHeight="1">
      <c r="A35" s="951" t="s">
        <v>796</v>
      </c>
      <c r="B35" s="259" t="s">
        <v>2393</v>
      </c>
      <c r="C35" s="264">
        <f ca="1">ROUND(C34*F35,0)</f>
        <v>311</v>
      </c>
      <c r="D35" s="264"/>
      <c r="E35" s="264"/>
      <c r="F35" s="303">
        <f>'数据-取费表'!B33</f>
        <v>0.05</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460</v>
      </c>
      <c r="D37" s="261">
        <f ca="1">D19</f>
        <v>23014.799999999999</v>
      </c>
      <c r="E37" s="293">
        <f>'数据-取费表'!B35</f>
        <v>200</v>
      </c>
      <c r="F37" s="303"/>
      <c r="G37" s="305" t="s">
        <v>2398</v>
      </c>
    </row>
    <row r="38" spans="1:7" ht="13.5" customHeight="1">
      <c r="A38" s="951" t="s">
        <v>799</v>
      </c>
      <c r="B38" s="259" t="s">
        <v>2399</v>
      </c>
      <c r="C38" s="264">
        <f ca="1">ROUND(C34*F38,0)</f>
        <v>93</v>
      </c>
      <c r="D38" s="264"/>
      <c r="E38" s="264"/>
      <c r="F38" s="303">
        <f>'数据-取费表'!B36</f>
        <v>1.4999999999999999E-2</v>
      </c>
      <c r="G38" s="263" t="s">
        <v>2394</v>
      </c>
    </row>
    <row r="39" spans="1:7" s="258" customFormat="1" ht="13.5" customHeight="1">
      <c r="A39" s="299" t="s">
        <v>2400</v>
      </c>
      <c r="B39" s="254" t="s">
        <v>2401</v>
      </c>
      <c r="C39" s="276">
        <f ca="1">ROUND(C33*F20,0)</f>
        <v>212</v>
      </c>
      <c r="D39" s="276"/>
      <c r="E39" s="276"/>
      <c r="F39" s="277"/>
      <c r="G39" s="278" t="s">
        <v>2402</v>
      </c>
    </row>
    <row r="40" spans="1:7" s="258" customFormat="1" ht="13.5" customHeight="1">
      <c r="A40" s="299" t="s">
        <v>2403</v>
      </c>
      <c r="B40" s="254" t="s">
        <v>2404</v>
      </c>
      <c r="C40" s="1723">
        <f>F21</f>
        <v>0.03</v>
      </c>
      <c r="D40" s="280" t="s">
        <v>2405</v>
      </c>
      <c r="E40" s="276"/>
      <c r="F40" s="277"/>
      <c r="G40" s="278" t="s">
        <v>2406</v>
      </c>
    </row>
    <row r="41" spans="1:7" s="258" customFormat="1" ht="13.5" customHeight="1">
      <c r="A41" s="299" t="s">
        <v>2407</v>
      </c>
      <c r="B41" s="254" t="s">
        <v>2408</v>
      </c>
      <c r="C41" s="276">
        <f ca="1">ROUND(SUM(C42:C43),0)</f>
        <v>346</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336</v>
      </c>
      <c r="D42" s="282"/>
      <c r="E42" s="282"/>
      <c r="F42" s="283"/>
      <c r="G42" s="3152" t="s">
        <v>2410</v>
      </c>
    </row>
    <row r="43" spans="1:7" ht="13.5" customHeight="1">
      <c r="A43" s="951" t="s">
        <v>792</v>
      </c>
      <c r="B43" s="259" t="s">
        <v>2411</v>
      </c>
      <c r="C43" s="282">
        <f ca="1">ROUND(IF('数据-取费表'!B22&lt;=1,C39*F22*'数据-取费表'!B21/2,C39*(POWER((1+F22),'数据-取费表'!B21/2)-1)),0)</f>
        <v>10</v>
      </c>
      <c r="D43" s="282"/>
      <c r="E43" s="282"/>
      <c r="F43" s="283"/>
      <c r="G43" s="3153"/>
    </row>
    <row r="44" spans="1:7" ht="13.5" customHeight="1">
      <c r="A44" s="951" t="s">
        <v>793</v>
      </c>
      <c r="B44" s="259" t="s">
        <v>2412</v>
      </c>
      <c r="C44" s="282">
        <f ca="1">ROUND(IF('数据-取费表'!B22&lt;=1,C40*F22*'数据-取费表'!B21/2,C40*(POWER((1+F22),'数据-取费表'!B21/2)-1)),4)</f>
        <v>1.4E-3</v>
      </c>
      <c r="D44" s="282"/>
      <c r="E44" s="282"/>
      <c r="F44" s="283"/>
      <c r="G44" s="3154"/>
    </row>
    <row r="45" spans="1:7" s="258" customFormat="1" ht="13.5" customHeight="1">
      <c r="A45" s="299" t="s">
        <v>2413</v>
      </c>
      <c r="B45" s="288" t="s">
        <v>2379</v>
      </c>
      <c r="C45" s="289">
        <f ca="1">C46</f>
        <v>1094</v>
      </c>
      <c r="D45" s="279">
        <f ca="1">C47</f>
        <v>4.4999999999999997E-3</v>
      </c>
      <c r="E45" s="280" t="s">
        <v>2405</v>
      </c>
      <c r="F45" s="290"/>
      <c r="G45" s="291" t="s">
        <v>2414</v>
      </c>
    </row>
    <row r="46" spans="1:7" s="258" customFormat="1" ht="13.5" customHeight="1">
      <c r="A46" s="951" t="s">
        <v>791</v>
      </c>
      <c r="B46" s="292" t="s">
        <v>2415</v>
      </c>
      <c r="C46" s="293">
        <f ca="1">ROUND((C33+C39)*F27,0)</f>
        <v>1094</v>
      </c>
      <c r="D46" s="307"/>
      <c r="E46" s="280"/>
      <c r="F46" s="290"/>
      <c r="G46" s="291"/>
    </row>
    <row r="47" spans="1:7" s="258" customFormat="1" ht="13.5" customHeight="1">
      <c r="A47" s="951" t="s">
        <v>792</v>
      </c>
      <c r="B47" s="292" t="s">
        <v>2416</v>
      </c>
      <c r="C47" s="282">
        <f ca="1">ROUND(C40*F27,4)</f>
        <v>4.4999999999999997E-3</v>
      </c>
      <c r="D47" s="307"/>
      <c r="E47" s="280"/>
      <c r="F47" s="290"/>
      <c r="G47" s="291"/>
    </row>
    <row r="48" spans="1:7" s="258" customFormat="1" ht="13.5" customHeight="1">
      <c r="A48" s="299" t="s">
        <v>2378</v>
      </c>
      <c r="B48" s="254" t="s">
        <v>2417</v>
      </c>
      <c r="C48" s="1723">
        <f>ROUND(F30/(1+'数据-取费表'!C42),4)</f>
        <v>5.2400000000000002E-2</v>
      </c>
      <c r="D48" s="280" t="s">
        <v>2405</v>
      </c>
      <c r="E48" s="276"/>
      <c r="F48" s="281"/>
      <c r="G48" s="278" t="s">
        <v>2418</v>
      </c>
    </row>
    <row r="49" spans="1:7" ht="16.5" customHeight="1">
      <c r="A49" s="299" t="s">
        <v>2384</v>
      </c>
      <c r="B49" s="254" t="s">
        <v>2419</v>
      </c>
      <c r="C49" s="276">
        <f ca="1">ROUND((C33+C39+C41+C45)/(1-C40-D41-D45-C48),0)</f>
        <v>9576</v>
      </c>
      <c r="D49" s="276"/>
      <c r="E49" s="276"/>
      <c r="F49" s="308"/>
      <c r="G49" s="278" t="s">
        <v>2420</v>
      </c>
    </row>
    <row r="50" spans="1:7" s="302" customFormat="1" ht="24">
      <c r="A50" s="299" t="s">
        <v>2421</v>
      </c>
      <c r="B50" s="254" t="s">
        <v>2422</v>
      </c>
      <c r="C50" s="276"/>
      <c r="D50" s="276"/>
      <c r="E50" s="276"/>
      <c r="F50" s="308">
        <f>IF('数据-取费表'!B24=0,'数据-取费表'!N16,1)</f>
        <v>0.96</v>
      </c>
      <c r="G50" s="291" t="s">
        <v>2423</v>
      </c>
    </row>
    <row r="51" spans="1:7" ht="16.5" customHeight="1">
      <c r="A51" s="299" t="s">
        <v>2424</v>
      </c>
      <c r="B51" s="254" t="s">
        <v>2425</v>
      </c>
      <c r="C51" s="276">
        <f ca="1">ROUND(C49*F50,0)</f>
        <v>9193</v>
      </c>
      <c r="D51" s="276"/>
      <c r="E51" s="276"/>
      <c r="F51" s="308"/>
      <c r="G51" s="278" t="s">
        <v>2426</v>
      </c>
    </row>
    <row r="52" spans="1:7" s="252" customFormat="1" ht="16.5" thickBot="1">
      <c r="A52" s="309" t="s">
        <v>2427</v>
      </c>
      <c r="B52" s="310"/>
      <c r="C52" s="311">
        <f ca="1">C31+C51</f>
        <v>20232</v>
      </c>
      <c r="D52" s="310"/>
      <c r="E52" s="310"/>
      <c r="F52" s="310"/>
      <c r="G52" s="312"/>
    </row>
    <row r="55" spans="1:7" ht="15">
      <c r="B55" s="314" t="s">
        <v>2428</v>
      </c>
      <c r="C55" s="315"/>
    </row>
    <row r="56" spans="1:7">
      <c r="B56" s="317" t="s">
        <v>1508</v>
      </c>
      <c r="C56" s="319">
        <f ca="1">1-C57</f>
        <v>0.54600000000000004</v>
      </c>
    </row>
    <row r="57" spans="1:7">
      <c r="B57" s="317" t="s">
        <v>1509</v>
      </c>
      <c r="C57" s="318">
        <f ca="1">ROUND(C51/C52,3)</f>
        <v>0.45400000000000001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topLeftCell="A13" zoomScale="80" zoomScaleNormal="80" zoomScaleSheetLayoutView="96" workbookViewId="0">
      <selection activeCell="H19" sqref="H19"/>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72" customWidth="1"/>
    <col min="33" max="36" width="9.375" style="2783" customWidth="1"/>
    <col min="37" max="38" width="9.375" style="2715" customWidth="1"/>
    <col min="39" max="16384" width="12" style="2715"/>
  </cols>
  <sheetData>
    <row r="1" spans="1:36" ht="28.5">
      <c r="A1" s="240" t="s">
        <v>2805</v>
      </c>
      <c r="B1" s="241"/>
      <c r="C1" s="245" t="s">
        <v>2806</v>
      </c>
      <c r="D1" s="388">
        <f>SUM(D29:D30,D33:D39)</f>
        <v>23014.799999999999</v>
      </c>
      <c r="E1" s="2712"/>
      <c r="F1" s="2712"/>
      <c r="G1" s="2712"/>
      <c r="H1" s="2712"/>
      <c r="I1" s="2712"/>
      <c r="J1" s="2712"/>
      <c r="K1" s="1370"/>
      <c r="L1" s="2713" t="s">
        <v>2807</v>
      </c>
      <c r="M1" s="1080">
        <f>SUMPRODUCT((区片价!B5:B9=I2)*(区片价!C3:F3=E2)*(区片价!C5:F9))</f>
        <v>0</v>
      </c>
      <c r="N1" s="1083">
        <f>SUMPRODUCT((因素修正幅度!B5:B9=I2)*(因素修正幅度!C3:F3=E2)*(因素修正幅度!C5:F9))</f>
        <v>0</v>
      </c>
      <c r="O1" s="2714"/>
      <c r="P1" s="2714"/>
      <c r="Q1" s="1370"/>
      <c r="R1" s="1597" t="s">
        <v>2808</v>
      </c>
      <c r="S1" s="1597" t="s">
        <v>2809</v>
      </c>
      <c r="T1" s="1597" t="s">
        <v>2810</v>
      </c>
      <c r="U1" s="1597" t="s">
        <v>2811</v>
      </c>
      <c r="V1" s="1597" t="s">
        <v>2812</v>
      </c>
      <c r="W1" s="1601"/>
      <c r="X1" s="1601"/>
      <c r="Y1" s="1601"/>
      <c r="Z1" s="1601"/>
      <c r="AA1" s="1601"/>
      <c r="AB1" s="1601"/>
      <c r="AC1" s="1602"/>
      <c r="AD1" s="1603"/>
      <c r="AE1" s="1603"/>
      <c r="AF1" s="1603"/>
      <c r="AG1" s="1603"/>
      <c r="AH1" s="1603"/>
      <c r="AI1" s="1603"/>
      <c r="AJ1" s="1604"/>
    </row>
    <row r="2" spans="1:36" ht="15.75">
      <c r="A2" s="245" t="s">
        <v>2813</v>
      </c>
      <c r="B2" s="248">
        <f ca="1">C26</f>
        <v>7611</v>
      </c>
      <c r="C2" s="2716" t="s">
        <v>2814</v>
      </c>
      <c r="D2" s="2717" t="s">
        <v>2815</v>
      </c>
      <c r="E2" s="2718" t="s">
        <v>6</v>
      </c>
      <c r="F2" s="2717" t="s">
        <v>2816</v>
      </c>
      <c r="G2" s="2719" t="str">
        <f>IF(E2="商业",项目基本情况!B37,IF(E2="办公",项目基本情况!C37,IF(E2="住宅",项目基本情况!D37,项目基本情况!E37)))</f>
        <v>九级</v>
      </c>
      <c r="H2" s="2717" t="s">
        <v>2817</v>
      </c>
      <c r="I2" s="2719" t="str">
        <f>IF(E2="商业",项目基本情况!B38,IF(E2="办公",项目基本情况!C38,IF(E2="住宅",项目基本情况!D38,项目基本情况!E38)))</f>
        <v>Ⅸ-顺1</v>
      </c>
      <c r="J2" s="2720"/>
      <c r="K2" s="1370"/>
      <c r="L2" s="2721" t="s">
        <v>2818</v>
      </c>
      <c r="M2" s="1081">
        <f>SUMPRODUCT((区片价!B10:B28=I2)*(区片价!C3:F3=E2)*(区片价!C10:F28))</f>
        <v>0</v>
      </c>
      <c r="N2" s="1083">
        <f>SUMPRODUCT((因素修正幅度!B10:B28=I2)*(因素修正幅度!C3:F3=E2)*(因素修正幅度!C10:F28))</f>
        <v>0</v>
      </c>
      <c r="O2" s="1370"/>
      <c r="P2" s="1370"/>
      <c r="Q2" s="1370"/>
      <c r="R2" s="1597">
        <v>1</v>
      </c>
      <c r="S2" s="1597">
        <f>ROUND(IF(G3&gt;1,IF(R2&lt;7,SUMPRODUCT((B93:B98=R2)*(C92:N92=G2)*(C93:N98)),SUMIF(C92:N92,G2,C100:N100)),IF(R2&lt;7,SUMPRODUCT((B102:B107=R2)*(C92:N92=G2)*(C102:N107)),SUMIF(C92:N92,G2,C109:N109))),4)</f>
        <v>5.2485999999999997</v>
      </c>
      <c r="T2" s="1597">
        <f ca="1">ROUND($C$5*$C$18*$C$19*$C$20*S2*$C$24,0)</f>
        <v>6311</v>
      </c>
      <c r="U2" s="1598"/>
      <c r="V2" s="1597">
        <f ca="1">ROUND(T2*U2/10000,0)</f>
        <v>0</v>
      </c>
      <c r="W2" s="1601"/>
      <c r="X2" s="1601"/>
      <c r="Y2" s="1601"/>
      <c r="Z2" s="1601"/>
      <c r="AA2" s="1601"/>
      <c r="AB2" s="1601"/>
      <c r="AC2" s="1602"/>
      <c r="AD2" s="1603"/>
      <c r="AE2" s="1603"/>
      <c r="AF2" s="1603"/>
      <c r="AG2" s="1603"/>
      <c r="AH2" s="1603"/>
      <c r="AI2" s="1603"/>
      <c r="AJ2" s="1604"/>
    </row>
    <row r="3" spans="1:36" ht="15.75">
      <c r="A3" s="247" t="s">
        <v>2819</v>
      </c>
      <c r="B3" s="248">
        <f ca="1">ROUND(B2*10000/D1,0)</f>
        <v>3307</v>
      </c>
      <c r="C3" s="2716" t="s">
        <v>2820</v>
      </c>
      <c r="D3" s="2717" t="s">
        <v>2821</v>
      </c>
      <c r="E3" s="2722" t="s">
        <v>3070</v>
      </c>
      <c r="F3" s="2723" t="s">
        <v>2822</v>
      </c>
      <c r="G3" s="916">
        <f>IF(F3="宗地容积率",'数据-汇总表'!I4,IF(F3="估价对象容积率",'数据-汇总表'!I6,'数据-汇总表'!I7))</f>
        <v>0.37</v>
      </c>
      <c r="H3" s="198" t="s">
        <v>2823</v>
      </c>
      <c r="I3" s="944"/>
      <c r="J3" s="2720" t="s">
        <v>2824</v>
      </c>
      <c r="K3" s="1370"/>
      <c r="L3" s="2721" t="s">
        <v>2825</v>
      </c>
      <c r="M3" s="1081">
        <f>SUMPRODUCT((区片价!B29:B48=I2)*(区片价!C3:F3=E2)*(区片价!C29:F48))</f>
        <v>0</v>
      </c>
      <c r="N3" s="1083">
        <f>SUMPRODUCT((因素修正幅度!B29:B48=I2)*(因素修正幅度!C3:F3=E2)*(因素修正幅度!C29:F48))</f>
        <v>0</v>
      </c>
      <c r="O3" s="1370"/>
      <c r="P3" s="1370"/>
      <c r="Q3" s="1370"/>
      <c r="R3" s="1597">
        <v>2</v>
      </c>
      <c r="S3" s="1597">
        <f>ROUND(IF(G3&gt;1,IF(R3&lt;7,SUMPRODUCT((B93:B98=R3)*(C92:N92=G2)*(C93:N98)),SUMIF(C92:N92,G2,C100:N100)),IF(R3&lt;7,SUMPRODUCT((B102:B107=R3)*(C92:N92=G2)*(C102:N107)),SUMIF(C92:N92,G2,C109:N109))),4)</f>
        <v>3.4592000000000001</v>
      </c>
      <c r="T3" s="1597">
        <f t="shared" ref="T3:T16" ca="1" si="0">ROUND($C$5*$C$18*$C$19*$C$20*S3*$C$24,0)</f>
        <v>4160</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268"/>
      <c r="B4" s="3269"/>
      <c r="C4" s="3269"/>
      <c r="D4" s="3270"/>
      <c r="E4" s="3270"/>
      <c r="F4" s="3270"/>
      <c r="G4" s="3270"/>
      <c r="H4" s="3270"/>
      <c r="I4" s="3270"/>
      <c r="J4" s="3271"/>
      <c r="K4" s="1370"/>
      <c r="L4" s="2721" t="s">
        <v>2826</v>
      </c>
      <c r="M4" s="1081">
        <f>SUMPRODUCT((区片价!B49:B75=I2)*(区片价!C3:F3=E2)*(区片价!C49:F75))</f>
        <v>0</v>
      </c>
      <c r="N4" s="1083">
        <f>SUMPRODUCT((因素修正幅度!B49:B75=I2)*(因素修正幅度!C3:F3=E2)*(因素修正幅度!C49:F75))</f>
        <v>0</v>
      </c>
      <c r="O4" s="1370"/>
      <c r="P4" s="1370"/>
      <c r="Q4" s="1370"/>
      <c r="R4" s="1597">
        <v>3</v>
      </c>
      <c r="S4" s="1597">
        <f>ROUND(IF(G3&gt;1,IF(R4&lt;7,SUMPRODUCT((B93:B98=R4)*(C92:N92=G2)*(C93:N98)),SUMIF(C92:N92,G2,C100:N100)),IF(R4&lt;7,SUMPRODUCT((B102:B107=R4)*(C92:N92=G2)*(C102:N107)),SUMIF(C92:N92,G2,C109:N109))),4)</f>
        <v>2.7222</v>
      </c>
      <c r="T4" s="1597">
        <f t="shared" ca="1" si="0"/>
        <v>3273</v>
      </c>
      <c r="U4" s="1598"/>
      <c r="V4" s="1597">
        <f t="shared" ca="1" si="1"/>
        <v>0</v>
      </c>
      <c r="W4" s="1601"/>
      <c r="X4" s="1601"/>
      <c r="Y4" s="1601"/>
      <c r="Z4" s="1601"/>
      <c r="AA4" s="1601"/>
      <c r="AB4" s="1601"/>
      <c r="AC4" s="1602"/>
      <c r="AD4" s="1603"/>
      <c r="AE4" s="1603"/>
      <c r="AF4" s="1603"/>
      <c r="AG4" s="1603"/>
      <c r="AH4" s="1603"/>
      <c r="AI4" s="1603"/>
      <c r="AJ4" s="1604"/>
    </row>
    <row r="5" spans="1:36" s="2733" customFormat="1" ht="15.75" thickBot="1">
      <c r="A5" s="2724" t="s">
        <v>807</v>
      </c>
      <c r="B5" s="2725" t="s">
        <v>2827</v>
      </c>
      <c r="C5" s="917">
        <f>ROUND(IF(E2="商业",C6*C7+C16,(IF(E2="住宅",C6*C12+C16,C6+C16))),0)</f>
        <v>860</v>
      </c>
      <c r="D5" s="1782">
        <f>ROUND(C6+C16,0)</f>
        <v>860</v>
      </c>
      <c r="E5" s="1782"/>
      <c r="F5" s="2726"/>
      <c r="G5" s="2727"/>
      <c r="H5" s="2727"/>
      <c r="I5" s="2727"/>
      <c r="J5" s="2728"/>
      <c r="K5" s="2729"/>
      <c r="L5" s="2721" t="s">
        <v>2828</v>
      </c>
      <c r="M5" s="1081">
        <f>SUMPRODUCT((区片价!B76:B109=I2)*(区片价!C3:F3=E2)*(区片价!C76:F109))</f>
        <v>0</v>
      </c>
      <c r="N5" s="1083">
        <f>SUMPRODUCT((因素修正幅度!B76:B109=I2)*(因素修正幅度!C3:F3=E2)*(因素修正幅度!C76:F109))</f>
        <v>0</v>
      </c>
      <c r="O5" s="1370"/>
      <c r="P5" s="1370"/>
      <c r="Q5" s="1370"/>
      <c r="R5" s="1597">
        <v>4</v>
      </c>
      <c r="S5" s="1597">
        <f>ROUND(IF(G3&gt;1,IF(R5&lt;7,SUMPRODUCT((B93:B98=R5)*(C92:N92=G2)*(C93:N98)),SUMIF(C92:N92,G2,C100:N100)),IF(R5&lt;7,SUMPRODUCT((B102:B107=R5)*(C92:N92=G2)*(C102:N107)),SUMIF(C92:N92,G2,C109:N109))),4)</f>
        <v>2.0337999999999998</v>
      </c>
      <c r="T5" s="1597">
        <f t="shared" ca="1" si="0"/>
        <v>2446</v>
      </c>
      <c r="U5" s="1598"/>
      <c r="V5" s="1597">
        <f t="shared" ca="1" si="1"/>
        <v>0</v>
      </c>
      <c r="W5" s="1601"/>
      <c r="X5" s="1601"/>
      <c r="Y5" s="1601"/>
      <c r="Z5" s="1601"/>
      <c r="AA5" s="1601"/>
      <c r="AB5" s="1601"/>
      <c r="AC5" s="2730"/>
      <c r="AD5" s="2731"/>
      <c r="AE5" s="2731"/>
      <c r="AF5" s="2731"/>
      <c r="AG5" s="2731"/>
      <c r="AH5" s="2731"/>
      <c r="AI5" s="2731"/>
      <c r="AJ5" s="2732"/>
    </row>
    <row r="6" spans="1:36" ht="15.75" thickBot="1">
      <c r="A6" s="2734" t="s">
        <v>2829</v>
      </c>
      <c r="B6" s="2735" t="s">
        <v>2830</v>
      </c>
      <c r="C6" s="918">
        <f>SUMIF(L1:L12,G2,M1:M12)</f>
        <v>830</v>
      </c>
      <c r="D6" s="2736" t="s">
        <v>2831</v>
      </c>
      <c r="E6" s="2737"/>
      <c r="F6" s="2737"/>
      <c r="G6" s="2738"/>
      <c r="H6" s="2738"/>
      <c r="I6" s="2738"/>
      <c r="J6" s="2739"/>
      <c r="K6" s="1837"/>
      <c r="L6" s="2721" t="s">
        <v>2832</v>
      </c>
      <c r="M6" s="1081">
        <f>SUMPRODUCT((区片价!B110:B157=I2)*(区片价!C3:F3=E2)*(区片价!C110:F157))</f>
        <v>0</v>
      </c>
      <c r="N6" s="1083">
        <f>SUMPRODUCT((因素修正幅度!B110:B157=I2)*(因素修正幅度!C3:F3=E2)*(因素修正幅度!C110:F157))</f>
        <v>0</v>
      </c>
      <c r="O6" s="1370"/>
      <c r="P6" s="1370"/>
      <c r="Q6" s="1370"/>
      <c r="R6" s="1597">
        <v>5</v>
      </c>
      <c r="S6" s="1597">
        <f>ROUND(IF(G3&gt;1,IF(R6&lt;7,SUMPRODUCT((B93:B98=R6)*(C92:N92=G2)*(C93:N98)),SUMIF(C92:N92,G2,C100:N100)),IF(R6&lt;7,SUMPRODUCT((B102:B107=R6)*(C92:N92=G2)*(C102:N107)),SUMIF(C92:N92,G2,C109:N109))),4)</f>
        <v>1.5295000000000001</v>
      </c>
      <c r="T6" s="1597">
        <f t="shared" ca="1" si="0"/>
        <v>1839</v>
      </c>
      <c r="U6" s="1598"/>
      <c r="V6" s="1597">
        <f t="shared" ca="1" si="1"/>
        <v>0</v>
      </c>
      <c r="W6" s="1601"/>
      <c r="X6" s="1601"/>
      <c r="Y6" s="1601"/>
      <c r="Z6" s="1601"/>
      <c r="AA6" s="1601"/>
      <c r="AB6" s="1601"/>
      <c r="AC6" s="2730"/>
      <c r="AD6" s="2731"/>
      <c r="AE6" s="2731"/>
      <c r="AF6" s="2731"/>
      <c r="AG6" s="2731"/>
      <c r="AH6" s="2731"/>
      <c r="AI6" s="2731"/>
      <c r="AJ6" s="2732"/>
    </row>
    <row r="7" spans="1:36" ht="24">
      <c r="A7" s="3252" t="str">
        <f>IF(E2="商业",IF(C8="不临58条商业街","",2),"")</f>
        <v/>
      </c>
      <c r="B7" s="2740" t="s">
        <v>2833</v>
      </c>
      <c r="C7" s="919" t="e">
        <f>IF(C8="不临58条商业街",1,ROUND(1+(1.6*E8+1.2*E9+0.8*E10+0.4*E11)*C9,4))</f>
        <v>#DIV/0!</v>
      </c>
      <c r="D7" s="2741" t="s">
        <v>2834</v>
      </c>
      <c r="E7" s="945"/>
      <c r="F7" s="2742"/>
      <c r="G7" s="2743"/>
      <c r="H7" s="2743"/>
      <c r="I7" s="2743"/>
      <c r="J7" s="2744"/>
      <c r="K7" s="1837"/>
      <c r="L7" s="2721" t="s">
        <v>2835</v>
      </c>
      <c r="M7" s="1081">
        <f>SUMPRODUCT((区片价!B158:B205=I2)*(区片价!C3:F3=E2)*(区片价!C158:F205))</f>
        <v>0</v>
      </c>
      <c r="N7" s="1083">
        <f>SUMPRODUCT((因素修正幅度!B158:B205=I2)*(因素修正幅度!C3:F3=E2)*(因素修正幅度!C158:F205))</f>
        <v>0</v>
      </c>
      <c r="O7" s="1370"/>
      <c r="P7" s="1370"/>
      <c r="Q7" s="1370"/>
      <c r="R7" s="1597">
        <v>6</v>
      </c>
      <c r="S7" s="1597">
        <f>ROUND(IF(G3&gt;1,IF(R7&lt;7,SUMPRODUCT((B93:B98=R7)*(C92:N92=G2)*(C93:N98)),SUMIF(C92:N92,G2,C100:N100)),IF(R7&lt;7,SUMPRODUCT((B102:B107=R7)*(C92:N92=G2)*(C102:N107)),SUMIF(C92:N92,G2,C109:N109))),4)</f>
        <v>1.2230000000000001</v>
      </c>
      <c r="T7" s="1597">
        <f t="shared" ca="1" si="0"/>
        <v>1471</v>
      </c>
      <c r="U7" s="1598"/>
      <c r="V7" s="1597">
        <f t="shared" ca="1" si="1"/>
        <v>0</v>
      </c>
      <c r="W7" s="1811" t="s">
        <v>2836</v>
      </c>
      <c r="X7" s="1599" t="str">
        <f>G2</f>
        <v>九级</v>
      </c>
      <c r="Y7" s="1599" t="s">
        <v>2837</v>
      </c>
      <c r="Z7" s="1600">
        <f>G3</f>
        <v>0.37</v>
      </c>
      <c r="AA7" s="1601"/>
      <c r="AB7" s="1601"/>
      <c r="AC7" s="1602"/>
      <c r="AD7" s="1603"/>
      <c r="AE7" s="1603"/>
      <c r="AF7" s="1603"/>
      <c r="AG7" s="1603"/>
      <c r="AH7" s="1603"/>
      <c r="AI7" s="1603"/>
      <c r="AJ7" s="1604"/>
    </row>
    <row r="8" spans="1:36" ht="15">
      <c r="A8" s="3272"/>
      <c r="B8" s="198" t="s">
        <v>2838</v>
      </c>
      <c r="C8" s="2745"/>
      <c r="D8" s="920" t="s">
        <v>139</v>
      </c>
      <c r="E8" s="921" t="e">
        <f>ROUND(C11/E7,4)</f>
        <v>#DIV/0!</v>
      </c>
      <c r="F8" s="2746" t="s">
        <v>2839</v>
      </c>
      <c r="G8" s="2747"/>
      <c r="H8" s="2747"/>
      <c r="I8" s="2747"/>
      <c r="J8" s="2748"/>
      <c r="K8" s="1370"/>
      <c r="L8" s="2721" t="s">
        <v>2840</v>
      </c>
      <c r="M8" s="1081">
        <f>SUMPRODUCT((区片价!B206:B244=I2)*(区片价!C3:F3=E2)*(区片价!C206:F244))</f>
        <v>0</v>
      </c>
      <c r="N8" s="1083">
        <f>SUMPRODUCT((因素修正幅度!B206:B244=I2)*(因素修正幅度!C3:F3=E2)*(因素修正幅度!C206:F244))</f>
        <v>0</v>
      </c>
      <c r="O8" s="1370"/>
      <c r="P8" s="1370"/>
      <c r="Q8" s="1370"/>
      <c r="R8" s="1597">
        <v>7</v>
      </c>
      <c r="S8" s="1598"/>
      <c r="T8" s="1597">
        <f t="shared" ca="1" si="0"/>
        <v>0</v>
      </c>
      <c r="U8" s="1598"/>
      <c r="V8" s="1597">
        <f t="shared" ca="1" si="1"/>
        <v>0</v>
      </c>
      <c r="W8" s="3265" t="s">
        <v>2841</v>
      </c>
      <c r="X8" s="3266"/>
      <c r="Y8" s="1605" t="s">
        <v>2842</v>
      </c>
      <c r="Z8" s="1605" t="s">
        <v>2843</v>
      </c>
      <c r="AA8" s="1605" t="s">
        <v>2844</v>
      </c>
      <c r="AB8" s="1605" t="s">
        <v>2845</v>
      </c>
      <c r="AC8" s="1605" t="s">
        <v>2846</v>
      </c>
      <c r="AD8" s="1605" t="s">
        <v>2847</v>
      </c>
      <c r="AE8" s="1605" t="s">
        <v>2848</v>
      </c>
      <c r="AF8" s="1605" t="s">
        <v>2849</v>
      </c>
      <c r="AG8" s="1605" t="s">
        <v>2850</v>
      </c>
      <c r="AH8" s="1605" t="s">
        <v>2851</v>
      </c>
      <c r="AI8" s="1605" t="s">
        <v>2852</v>
      </c>
      <c r="AJ8" s="1605" t="s">
        <v>2853</v>
      </c>
    </row>
    <row r="9" spans="1:36" ht="15">
      <c r="A9" s="3272"/>
      <c r="B9" s="198" t="s">
        <v>2854</v>
      </c>
      <c r="C9" s="922">
        <f>SUMIF(修正!C59:C119,C8,修正!E59:E119)</f>
        <v>0</v>
      </c>
      <c r="D9" s="200" t="s">
        <v>140</v>
      </c>
      <c r="E9" s="200" t="e">
        <f>ROUND(C11/E7,4)</f>
        <v>#DIV/0!</v>
      </c>
      <c r="F9" s="2746" t="s">
        <v>2855</v>
      </c>
      <c r="G9" s="2747"/>
      <c r="H9" s="2747"/>
      <c r="I9" s="2747"/>
      <c r="J9" s="2748"/>
      <c r="K9" s="1370"/>
      <c r="L9" s="2721" t="s">
        <v>2856</v>
      </c>
      <c r="M9" s="1081">
        <f>SUMPRODUCT((区片价!B245:B289=I2)*(区片价!C3:F3=E2)*(区片价!C245:F289))</f>
        <v>830</v>
      </c>
      <c r="N9" s="1083">
        <f>SUMPRODUCT((因素修正幅度!B245:B289=I2)*(因素修正幅度!C3:F3=E2)*(因素修正幅度!C245:F289))</f>
        <v>0.13700000000000001</v>
      </c>
      <c r="O9" s="1370"/>
      <c r="P9" s="1370"/>
      <c r="Q9" s="1370"/>
      <c r="R9" s="1597">
        <v>8</v>
      </c>
      <c r="S9" s="1598"/>
      <c r="T9" s="1597">
        <f t="shared" ca="1" si="0"/>
        <v>0</v>
      </c>
      <c r="U9" s="1598"/>
      <c r="V9" s="1597">
        <f t="shared" ca="1" si="1"/>
        <v>0</v>
      </c>
      <c r="W9" s="3267" t="s">
        <v>2857</v>
      </c>
      <c r="X9" s="1606" t="s">
        <v>2858</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72"/>
      <c r="B10" s="198" t="s">
        <v>2859</v>
      </c>
      <c r="C10" s="200">
        <f>SUMIF(修正!C59:C119,C8,修正!F59:F119)</f>
        <v>0</v>
      </c>
      <c r="D10" s="200" t="s">
        <v>141</v>
      </c>
      <c r="E10" s="200" t="e">
        <f>ROUND(C11/E7,4)</f>
        <v>#DIV/0!</v>
      </c>
      <c r="F10" s="2746" t="s">
        <v>2860</v>
      </c>
      <c r="G10" s="2747"/>
      <c r="H10" s="2747"/>
      <c r="I10" s="2747"/>
      <c r="J10" s="2748"/>
      <c r="K10" s="1370"/>
      <c r="L10" s="2721" t="s">
        <v>2861</v>
      </c>
      <c r="M10" s="1081">
        <f>SUMPRODUCT((区片价!B290:B316=I2)*(区片价!C3:F3=E2)*(区片价!C290:F316))</f>
        <v>0</v>
      </c>
      <c r="N10" s="1083">
        <f>SUMPRODUCT((因素修正幅度!B290:B316=I2)*(因素修正幅度!C3:F3=E2)*(因素修正幅度!C290:F316))</f>
        <v>0</v>
      </c>
      <c r="O10" s="1370"/>
      <c r="P10" s="1370"/>
      <c r="Q10" s="1370"/>
      <c r="R10" s="1597">
        <v>9</v>
      </c>
      <c r="S10" s="1598"/>
      <c r="T10" s="1597">
        <f t="shared" ca="1" si="0"/>
        <v>0</v>
      </c>
      <c r="U10" s="1598"/>
      <c r="V10" s="1597">
        <f t="shared" ca="1" si="1"/>
        <v>0</v>
      </c>
      <c r="W10" s="326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72"/>
      <c r="B11" s="2749" t="s">
        <v>2862</v>
      </c>
      <c r="C11" s="923">
        <f>C10/4</f>
        <v>0</v>
      </c>
      <c r="D11" s="923" t="s">
        <v>142</v>
      </c>
      <c r="E11" s="923" t="e">
        <f>ROUND(C11/E7,4)</f>
        <v>#DIV/0!</v>
      </c>
      <c r="F11" s="2750" t="s">
        <v>2863</v>
      </c>
      <c r="G11" s="2751"/>
      <c r="H11" s="2751"/>
      <c r="I11" s="2751"/>
      <c r="J11" s="2752"/>
      <c r="K11" s="1370"/>
      <c r="L11" s="2721" t="s">
        <v>2864</v>
      </c>
      <c r="M11" s="1081">
        <f>SUMPRODUCT((区片价!B317:B337=I2)*(区片价!C3:F3=E2)*(区片价!C317:F337))</f>
        <v>0</v>
      </c>
      <c r="N11" s="1083">
        <f>SUMPRODUCT((因素修正幅度!B317:B337=I2)*(因素修正幅度!C3:F3=E2)*(因素修正幅度!C317:F337))</f>
        <v>0</v>
      </c>
      <c r="O11" s="1370"/>
      <c r="P11" s="1370"/>
      <c r="Q11" s="1370"/>
      <c r="R11" s="1597">
        <v>10</v>
      </c>
      <c r="S11" s="1598"/>
      <c r="T11" s="1597">
        <f t="shared" ca="1" si="0"/>
        <v>0</v>
      </c>
      <c r="U11" s="1598"/>
      <c r="V11" s="1597">
        <f t="shared" ca="1" si="1"/>
        <v>0</v>
      </c>
      <c r="W11" s="3267" t="s">
        <v>2865</v>
      </c>
      <c r="X11" s="1609" t="s">
        <v>2866</v>
      </c>
      <c r="Y11" s="1610">
        <f>$G$3</f>
        <v>0.37</v>
      </c>
      <c r="Z11" s="1610">
        <f t="shared" ref="Z11:AJ11" si="3">$G$3</f>
        <v>0.37</v>
      </c>
      <c r="AA11" s="1610">
        <f t="shared" si="3"/>
        <v>0.37</v>
      </c>
      <c r="AB11" s="1610">
        <f t="shared" si="3"/>
        <v>0.37</v>
      </c>
      <c r="AC11" s="1610">
        <f t="shared" si="3"/>
        <v>0.37</v>
      </c>
      <c r="AD11" s="1610">
        <f t="shared" si="3"/>
        <v>0.37</v>
      </c>
      <c r="AE11" s="1610">
        <f t="shared" si="3"/>
        <v>0.37</v>
      </c>
      <c r="AF11" s="1610">
        <f t="shared" si="3"/>
        <v>0.37</v>
      </c>
      <c r="AG11" s="1610">
        <f t="shared" si="3"/>
        <v>0.37</v>
      </c>
      <c r="AH11" s="1610">
        <f t="shared" si="3"/>
        <v>0.37</v>
      </c>
      <c r="AI11" s="1610">
        <f t="shared" si="3"/>
        <v>0.37</v>
      </c>
      <c r="AJ11" s="1610">
        <f t="shared" si="3"/>
        <v>0.37</v>
      </c>
    </row>
    <row r="12" spans="1:36" ht="25.5" thickBot="1">
      <c r="A12" s="3252" t="s">
        <v>2867</v>
      </c>
      <c r="B12" s="2753" t="s">
        <v>2868</v>
      </c>
      <c r="C12" s="919">
        <f>ROUND(C15*D15*E15*F15*G15*H15*I15*J15,4)</f>
        <v>1</v>
      </c>
      <c r="D12" s="2754" t="s">
        <v>2869</v>
      </c>
      <c r="E12" s="2755"/>
      <c r="F12" s="2755"/>
      <c r="G12" s="2756"/>
      <c r="H12" s="2756"/>
      <c r="I12" s="2756"/>
      <c r="J12" s="2757"/>
      <c r="K12" s="1370"/>
      <c r="L12" s="2758" t="s">
        <v>2870</v>
      </c>
      <c r="M12" s="1082">
        <f>SUMPRODUCT((区片价!B338:B344=I2)*(区片价!C3:F3=E2)*(区片价!C338:F344))</f>
        <v>0</v>
      </c>
      <c r="N12" s="1083">
        <f>SUMPRODUCT((因素修正幅度!B338:B344=I2)*(因素修正幅度!C3:F3=E2)*(因素修正幅度!C338:F344))</f>
        <v>0</v>
      </c>
      <c r="O12" s="1370"/>
      <c r="P12" s="1370"/>
      <c r="Q12" s="1370"/>
      <c r="R12" s="1597">
        <v>11</v>
      </c>
      <c r="S12" s="1598"/>
      <c r="T12" s="1597">
        <f t="shared" ca="1" si="0"/>
        <v>0</v>
      </c>
      <c r="U12" s="1598"/>
      <c r="V12" s="1597">
        <f t="shared" ca="1" si="1"/>
        <v>0</v>
      </c>
      <c r="W12" s="3267"/>
      <c r="X12" s="1611" t="s">
        <v>2871</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73"/>
      <c r="B13" s="2759" t="s">
        <v>2872</v>
      </c>
      <c r="C13" s="2760" t="s">
        <v>2873</v>
      </c>
      <c r="D13" s="1803" t="s">
        <v>2874</v>
      </c>
      <c r="E13" s="1803" t="s">
        <v>2875</v>
      </c>
      <c r="F13" s="30" t="s">
        <v>2876</v>
      </c>
      <c r="G13" s="2761" t="s">
        <v>2877</v>
      </c>
      <c r="H13" s="2761" t="s">
        <v>2877</v>
      </c>
      <c r="I13" s="2761" t="s">
        <v>2877</v>
      </c>
      <c r="J13" s="2762" t="s">
        <v>2877</v>
      </c>
      <c r="K13" s="1370"/>
      <c r="L13" s="1370"/>
      <c r="M13" s="1370"/>
      <c r="N13" s="1370"/>
      <c r="O13" s="1370"/>
      <c r="P13" s="1370"/>
      <c r="Q13" s="1370"/>
      <c r="R13" s="1597">
        <v>12</v>
      </c>
      <c r="S13" s="1598"/>
      <c r="T13" s="1597">
        <f t="shared" ca="1" si="0"/>
        <v>0</v>
      </c>
      <c r="U13" s="1598"/>
      <c r="V13" s="1597">
        <f t="shared" ca="1" si="1"/>
        <v>0</v>
      </c>
      <c r="W13" s="3267"/>
      <c r="X13" s="1611"/>
      <c r="Y13" s="1608">
        <f>(-0.163*(Y12^2)-0.59*Y12+7617)*(10^(-4))/Y11</f>
        <v>2.0586486486486488</v>
      </c>
      <c r="Z13" s="1608">
        <f t="shared" ref="Z13:AJ13" si="5">(-0.163*(Z12^2)-0.59*Z12+7617)*(10^(-4))/Z11</f>
        <v>2.0586486486486488</v>
      </c>
      <c r="AA13" s="1608">
        <f t="shared" si="5"/>
        <v>2.0586486486486488</v>
      </c>
      <c r="AB13" s="1608">
        <f t="shared" si="5"/>
        <v>2.0586486486486488</v>
      </c>
      <c r="AC13" s="1608">
        <f t="shared" si="5"/>
        <v>2.0586486486486488</v>
      </c>
      <c r="AD13" s="1608">
        <f t="shared" si="5"/>
        <v>2.0586486486486488</v>
      </c>
      <c r="AE13" s="1608">
        <f t="shared" si="5"/>
        <v>2.0586486486486488</v>
      </c>
      <c r="AF13" s="1608">
        <f t="shared" si="5"/>
        <v>2.0586486486486488</v>
      </c>
      <c r="AG13" s="1608">
        <f t="shared" si="5"/>
        <v>2.0586486486486488</v>
      </c>
      <c r="AH13" s="1608">
        <f t="shared" si="5"/>
        <v>2.0586486486486488</v>
      </c>
      <c r="AI13" s="1608">
        <f t="shared" si="5"/>
        <v>2.0586486486486488</v>
      </c>
      <c r="AJ13" s="1608">
        <f t="shared" si="5"/>
        <v>2.0586486486486488</v>
      </c>
    </row>
    <row r="14" spans="1:36" ht="15">
      <c r="A14" s="3273"/>
      <c r="B14" s="2763"/>
      <c r="C14" s="2764"/>
      <c r="D14" s="2765"/>
      <c r="E14" s="2765"/>
      <c r="F14" s="2766"/>
      <c r="G14" s="2767" t="s">
        <v>2878</v>
      </c>
      <c r="H14" s="2768"/>
      <c r="I14" s="2769"/>
      <c r="J14" s="2770"/>
      <c r="K14" s="1370"/>
      <c r="L14" s="1370"/>
      <c r="M14" s="1370"/>
      <c r="N14" s="1370"/>
      <c r="O14" s="1370"/>
      <c r="P14" s="1370"/>
      <c r="Q14" s="1370"/>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274"/>
      <c r="B15" s="2771" t="s">
        <v>2879</v>
      </c>
      <c r="C15" s="229">
        <f>IF(C14="有",1.1,1)</f>
        <v>1</v>
      </c>
      <c r="D15" s="229">
        <f>IF(D14="有",1.1,1)</f>
        <v>1</v>
      </c>
      <c r="E15" s="229">
        <f>IF(E14="有",1.1,1)</f>
        <v>1</v>
      </c>
      <c r="F15" s="229">
        <f>IF(F14="500米范围内",1.2,IF(F14="500-1000米",1.1,1))</f>
        <v>1</v>
      </c>
      <c r="G15" s="946">
        <v>1</v>
      </c>
      <c r="H15" s="946">
        <v>1</v>
      </c>
      <c r="I15" s="946">
        <v>1</v>
      </c>
      <c r="J15" s="947">
        <v>1</v>
      </c>
      <c r="K15" s="1370"/>
      <c r="Q15" s="1370"/>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252" t="s">
        <v>2884</v>
      </c>
      <c r="B16" s="2740" t="s">
        <v>2885</v>
      </c>
      <c r="C16" s="2926">
        <f>ROUND(IF(F17="与级别开发程度一致",0,(G17-E17)/C17),0)</f>
        <v>30</v>
      </c>
      <c r="D16" s="3263" t="s">
        <v>2889</v>
      </c>
      <c r="E16" s="3264"/>
      <c r="F16" s="3263" t="s">
        <v>2886</v>
      </c>
      <c r="G16" s="3264"/>
      <c r="H16" s="2774" t="s">
        <v>3062</v>
      </c>
      <c r="I16" s="2774" t="s">
        <v>3063</v>
      </c>
      <c r="J16" s="2930" t="s">
        <v>3064</v>
      </c>
      <c r="K16" s="2774" t="s">
        <v>3065</v>
      </c>
      <c r="L16" s="2774" t="s">
        <v>3066</v>
      </c>
      <c r="M16" s="2774" t="s">
        <v>3101</v>
      </c>
      <c r="N16" s="2774" t="s">
        <v>3102</v>
      </c>
      <c r="O16" s="2775"/>
      <c r="Q16" s="1370"/>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6.25" thickBot="1">
      <c r="A17" s="3253"/>
      <c r="B17" s="2937" t="s">
        <v>2888</v>
      </c>
      <c r="C17" s="2938">
        <f>SUMPRODUCT((修正!A2:A5=E2)*(修正!B1:M1=G2)*(修正!B2:M5))</f>
        <v>1</v>
      </c>
      <c r="D17" s="229" t="str">
        <f>IF(OR(G2="八级",G2="九级",G2="十级",G2="十一级",G2="十二级"),"五通一平","七通一平")</f>
        <v>五通一平</v>
      </c>
      <c r="E17" s="2927">
        <f>SUMPRODUCT((修正!B1:M1=G2)*(修正!B15:M15))</f>
        <v>155</v>
      </c>
      <c r="F17" s="2928" t="s">
        <v>3100</v>
      </c>
      <c r="G17" s="2929">
        <f>SUM(H17:O17)</f>
        <v>185</v>
      </c>
      <c r="H17" s="2938">
        <f>SUMPRODUCT((七通一平=H16)*(修正!B1:M1=G2)*(修正!B6:M14))</f>
        <v>50</v>
      </c>
      <c r="I17" s="2938">
        <f>SUMPRODUCT((七通一平=I16)*(修正!B1:M1=G2)*(修正!B6:M14))</f>
        <v>40</v>
      </c>
      <c r="J17" s="2939">
        <f>SUMPRODUCT((七通一平=J16)*(修正!B1:M1=G2)*(修正!B6:M14))</f>
        <v>10</v>
      </c>
      <c r="K17" s="2938">
        <f>SUMPRODUCT((七通一平=K16)*(修正!B1:M1=G2)*(修正!B6:M14))</f>
        <v>20</v>
      </c>
      <c r="L17" s="2938">
        <f>SUMPRODUCT((七通一平=L16)*(修正!B1:M1=G2)*(修正!B6:M14))</f>
        <v>25</v>
      </c>
      <c r="M17" s="2938">
        <f>SUMPRODUCT((七通一平=M16)*(修正!B1:M1=G2)*(修正!B6:M14))</f>
        <v>30</v>
      </c>
      <c r="N17" s="2938">
        <f>SUMPRODUCT((七通一平=N16)*(修正!B1:M1=G2)*(修正!B6:M14))</f>
        <v>10</v>
      </c>
      <c r="O17" s="2940">
        <f>SUMPRODUCT((七通一平=O16)*(修正!B1:M1=G2)*(修正!B6:M14))</f>
        <v>0</v>
      </c>
      <c r="Q17" s="1370"/>
      <c r="R17" s="1370"/>
      <c r="S17" s="1370"/>
      <c r="T17" s="1370"/>
      <c r="U17" s="1370"/>
      <c r="V17" s="1370"/>
      <c r="W17" s="1370"/>
      <c r="X17" s="1370"/>
      <c r="Y17" s="1370"/>
      <c r="Z17" s="1371"/>
      <c r="AE17" s="2778"/>
      <c r="AF17" s="2778"/>
      <c r="AG17" s="2715"/>
      <c r="AH17" s="2715"/>
      <c r="AI17" s="2715"/>
      <c r="AJ17" s="2715"/>
    </row>
    <row r="18" spans="1:37" s="2733" customFormat="1" ht="15.75" thickBot="1">
      <c r="A18" s="2931" t="s">
        <v>808</v>
      </c>
      <c r="B18" s="2932" t="s">
        <v>2891</v>
      </c>
      <c r="C18" s="2933">
        <f>SUMIF(修正!C18:C39,E3,修正!E18:E39)</f>
        <v>1</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3"/>
      <c r="AH18" s="2783"/>
      <c r="AI18" s="2783"/>
    </row>
    <row r="19" spans="1:37" s="2733" customFormat="1" ht="29.25" thickBot="1">
      <c r="A19" s="2779" t="s">
        <v>809</v>
      </c>
      <c r="B19" s="2780" t="s">
        <v>2892</v>
      </c>
      <c r="C19" s="924">
        <f>ROUND(IF(H19="按公示增长率计算",SUMPRODUCT((地价!A3:A29=YEAR(G19)&amp;"-"&amp;ROUNDUP(MONTH(G19)/3,0))*(地价!X2:AB2=E2)*(地价!X3:AB29)),IF(H19="地价指数",M20/M19,(1+I19)^O19)),4)</f>
        <v>1.4295</v>
      </c>
      <c r="D19" s="2784" t="s">
        <v>2893</v>
      </c>
      <c r="E19" s="925">
        <v>41640</v>
      </c>
      <c r="F19" s="2784" t="s">
        <v>2894</v>
      </c>
      <c r="G19" s="926">
        <f>'数据-取费表'!B2</f>
        <v>43894</v>
      </c>
      <c r="H19" s="2785" t="s">
        <v>3110</v>
      </c>
      <c r="I19" s="927">
        <f>IF(H19="季度增幅（自定义）",SUMIF(N21:N24,E2,O21:O24),"")</f>
        <v>1.4999999999999999E-2</v>
      </c>
      <c r="J19" s="2782"/>
      <c r="K19" s="1377"/>
      <c r="L19" s="2786" t="s">
        <v>2895</v>
      </c>
      <c r="M19" s="1729">
        <f>ROUND(SUMIF(地价!B2:F2,E2,地价!B29:F29),0)</f>
        <v>230</v>
      </c>
      <c r="N19" s="2787" t="s">
        <v>2896</v>
      </c>
      <c r="O19" s="928">
        <f>ROUNDDOWN(DATEDIF(E19,G19,"M")/3,0)</f>
        <v>24</v>
      </c>
      <c r="P19" s="1374"/>
      <c r="Q19" s="1376"/>
      <c r="R19" s="1376"/>
      <c r="S19" s="1376"/>
      <c r="T19" s="1371"/>
      <c r="U19" s="1371"/>
      <c r="V19" s="1371"/>
      <c r="W19" s="1370"/>
      <c r="X19" s="1370"/>
      <c r="Y19" s="1370"/>
      <c r="Z19" s="1377"/>
      <c r="AA19" s="1378"/>
      <c r="AB19" s="1378"/>
      <c r="AC19" s="1378"/>
      <c r="AD19" s="1378"/>
      <c r="AE19" s="1378"/>
      <c r="AF19" s="2788"/>
      <c r="AG19" s="2789"/>
      <c r="AH19" s="2783"/>
      <c r="AI19" s="2790"/>
      <c r="AJ19" s="2790"/>
      <c r="AK19" s="2790"/>
    </row>
    <row r="20" spans="1:37" s="2733" customFormat="1" ht="27.75" thickBot="1">
      <c r="A20" s="2791" t="s">
        <v>810</v>
      </c>
      <c r="B20" s="2792" t="s">
        <v>2897</v>
      </c>
      <c r="C20" s="929">
        <f ca="1">ROUND(POWER(1+G20,J20-I20)*(POWER(1+G20,I20)-1)/(POWER(1+G20,J20)-1),4)</f>
        <v>0.9415</v>
      </c>
      <c r="D20" s="2793" t="s">
        <v>2898</v>
      </c>
      <c r="E20" s="1763">
        <f ca="1">存贷款利率!D4/100</f>
        <v>4.3499999999999997E-2</v>
      </c>
      <c r="F20" s="2793" t="s">
        <v>2890</v>
      </c>
      <c r="G20" s="934">
        <f ca="1">SUMIF(M26:P26,E2,M28:P28)</f>
        <v>4.8000000000000001E-2</v>
      </c>
      <c r="H20" s="2793" t="s">
        <v>2899</v>
      </c>
      <c r="I20" s="935">
        <f>SUMIF('数据-取费表'!C6:C15,E2,'数据-取费表'!F6:F15)/COUNTIF('数据-取费表'!C6:C15,E2)</f>
        <v>40.630000000000003</v>
      </c>
      <c r="J20" s="936">
        <f>IF(E2="住宅",70,IF(E2="商业",40,50))</f>
        <v>50</v>
      </c>
      <c r="K20" s="1377"/>
      <c r="L20" s="2794" t="s">
        <v>2900</v>
      </c>
      <c r="M20" s="1730">
        <f>ROUND(SUMPRODUCT((地价!A5:A29=YEAR(G19)&amp;"-"&amp;ROUNDUP(MONTH(G19)/3,0))*(地价!B2:F2=E2)*(地价!B5:F29)),0)</f>
        <v>312</v>
      </c>
      <c r="N20" s="2795" t="s">
        <v>2901</v>
      </c>
      <c r="O20" s="2796" t="s">
        <v>2902</v>
      </c>
      <c r="P20" s="2797" t="s">
        <v>2903</v>
      </c>
      <c r="R20" s="1376"/>
      <c r="S20" s="1376"/>
      <c r="T20" s="1371"/>
      <c r="U20" s="1371"/>
      <c r="V20" s="1371"/>
      <c r="W20" s="1370"/>
      <c r="X20" s="1370"/>
      <c r="Y20" s="1370"/>
      <c r="Z20" s="1377"/>
      <c r="AA20" s="1378"/>
      <c r="AB20" s="1378"/>
      <c r="AC20" s="1378"/>
      <c r="AD20" s="1378"/>
      <c r="AE20" s="1378"/>
      <c r="AF20" s="1378"/>
    </row>
    <row r="21" spans="1:37" s="2733" customFormat="1" ht="15">
      <c r="A21" s="2798" t="s">
        <v>811</v>
      </c>
      <c r="B21" s="2799" t="s">
        <v>3079</v>
      </c>
      <c r="C21" s="937">
        <f>IF(B21="容积率修正",IF(G3&lt;=10,D22,J22),C23)</f>
        <v>2.75</v>
      </c>
      <c r="D21" s="2800"/>
      <c r="E21" s="2800"/>
      <c r="F21" s="2800"/>
      <c r="G21" s="2800"/>
      <c r="H21" s="2800"/>
      <c r="I21" s="2800"/>
      <c r="J21" s="2801"/>
      <c r="K21" s="1377"/>
      <c r="N21" s="2802" t="s">
        <v>2904</v>
      </c>
      <c r="O21" s="1556"/>
      <c r="P21" s="1557">
        <f>SUMPRODUCT((地价!A3:A29=YEAR(G19)&amp;"-"&amp;ROUNDUP(MONTH(G19)/3,0))*(地价!AD2:AH2=N21)*(地价!AD3:AH29))</f>
        <v>1.32E-2</v>
      </c>
      <c r="R21" s="1376"/>
      <c r="S21" s="1376"/>
      <c r="T21" s="1371"/>
      <c r="U21" s="1371"/>
      <c r="V21" s="1371"/>
      <c r="W21" s="1370"/>
      <c r="X21" s="1370"/>
      <c r="Y21" s="1370"/>
      <c r="Z21" s="1377"/>
      <c r="AA21" s="1378"/>
      <c r="AB21" s="1378"/>
      <c r="AC21" s="1378"/>
      <c r="AD21" s="1378"/>
      <c r="AE21" s="1378"/>
      <c r="AF21" s="1378"/>
    </row>
    <row r="22" spans="1:37" s="2733" customFormat="1" ht="14.25">
      <c r="A22" s="2659" t="s">
        <v>2905</v>
      </c>
      <c r="B22" s="2803" t="s">
        <v>2906</v>
      </c>
      <c r="C22" s="1805" t="s">
        <v>2907</v>
      </c>
      <c r="D22" s="1805">
        <f>IF(E22=G22,F22,IF(G3&lt;=10,ROUND(F22+(H22-F22)*(G3-E22)/(G22-E22),4),"——"))</f>
        <v>2.75</v>
      </c>
      <c r="E22" s="916">
        <f>ROUNDDOWN(G3,1)</f>
        <v>0.3</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916">
        <f>ROUNDUP(G3,1)</f>
        <v>0.4</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805" t="s">
        <v>155</v>
      </c>
      <c r="J22" s="938" t="str">
        <f>IF(G3&gt;10,D113,"——")</f>
        <v>——</v>
      </c>
      <c r="K22" s="1377"/>
      <c r="N22" s="2802" t="s">
        <v>2908</v>
      </c>
      <c r="O22" s="1556"/>
      <c r="P22" s="1557">
        <f>SUMPRODUCT((地价!A3:A29=YEAR(G19)&amp;"-"&amp;ROUNDUP(MONTH(G19)/3,0))*(地价!AD2:AH2=N22)*(地价!AD3:AH29))</f>
        <v>1.32E-2</v>
      </c>
      <c r="R22" s="1376"/>
      <c r="S22" s="1376"/>
      <c r="T22" s="1371"/>
      <c r="U22" s="1371"/>
      <c r="V22" s="1371"/>
      <c r="W22" s="1370"/>
      <c r="X22" s="1370"/>
      <c r="Y22" s="1370"/>
      <c r="Z22" s="1377"/>
      <c r="AA22" s="1378"/>
      <c r="AB22" s="1378"/>
      <c r="AC22" s="1378"/>
      <c r="AD22" s="1378"/>
      <c r="AE22" s="1378"/>
      <c r="AF22" s="1378"/>
    </row>
    <row r="23" spans="1:37" ht="27.75" thickBot="1">
      <c r="A23" s="2659" t="s">
        <v>2909</v>
      </c>
      <c r="B23" s="2804" t="s">
        <v>2910</v>
      </c>
      <c r="C23" s="1013">
        <f>ROUND(IF(G3&gt;1,IF(I3&lt;7,SUMPRODUCT((B93:B98=I3)*(C92:N92=G2)*(C93:N98)),SUMIF(C92:N92,G2,C100:N100)),IF(I3&lt;7,SUMPRODUCT((B102:B107=I3)*(C92:N92=G2)*(C102:N107)),SUMIF(C92:N92,G2,C109:N109))),4)</f>
        <v>0</v>
      </c>
      <c r="D23" s="2768"/>
      <c r="E23" s="2768"/>
      <c r="F23" s="2805"/>
      <c r="G23" s="2806"/>
      <c r="H23" s="2807"/>
      <c r="I23" s="2808"/>
      <c r="J23" s="2809"/>
      <c r="K23" s="1370"/>
      <c r="N23" s="2802" t="s">
        <v>2911</v>
      </c>
      <c r="O23" s="1556"/>
      <c r="P23" s="1557">
        <f>SUMPRODUCT((地价!A3:A29=YEAR(G19)&amp;"-"&amp;ROUNDUP(MONTH(G19)/3,0))*(地价!AD2:AH2=N23)*(地价!AD3:AH29))</f>
        <v>2.0500000000000001E-2</v>
      </c>
      <c r="R23" s="1376"/>
      <c r="S23" s="1376"/>
      <c r="T23" s="1371"/>
      <c r="U23" s="1371"/>
      <c r="V23" s="1371"/>
      <c r="W23" s="1370"/>
      <c r="X23" s="1370"/>
      <c r="Y23" s="1370"/>
      <c r="Z23" s="1377"/>
      <c r="AA23" s="1378"/>
      <c r="AB23" s="1378"/>
      <c r="AC23" s="1378"/>
      <c r="AD23" s="1378"/>
      <c r="AK23" s="2783"/>
    </row>
    <row r="24" spans="1:37" s="2733" customFormat="1" ht="15.75" thickBot="1">
      <c r="A24" s="2791" t="s">
        <v>812</v>
      </c>
      <c r="B24" s="2780" t="s">
        <v>2912</v>
      </c>
      <c r="C24" s="924">
        <f>SUMIF(A45:A88,E2,B45:B88)</f>
        <v>1.0388999999999999</v>
      </c>
      <c r="D24" s="2781"/>
      <c r="E24" s="2810"/>
      <c r="F24" s="2810"/>
      <c r="G24" s="2810"/>
      <c r="H24" s="2810"/>
      <c r="I24" s="2810"/>
      <c r="J24" s="2811"/>
      <c r="K24" s="1377"/>
      <c r="N24" s="2812" t="s">
        <v>2913</v>
      </c>
      <c r="O24" s="1558">
        <v>1.4999999999999999E-2</v>
      </c>
      <c r="P24" s="1559">
        <f>SUMPRODUCT((地价!A3:A29=YEAR(G19)&amp;"-"&amp;ROUNDUP(MONTH(G19)/3,0))*(地价!AD2:AH2=N24)*(地价!AD3:AH29))</f>
        <v>1.29E-2</v>
      </c>
      <c r="R24" s="1376"/>
      <c r="S24" s="1376"/>
      <c r="T24" s="1371"/>
      <c r="U24" s="1371"/>
      <c r="V24" s="1371"/>
      <c r="W24" s="1370"/>
      <c r="X24" s="1370"/>
      <c r="Y24" s="1370"/>
      <c r="Z24" s="1377"/>
      <c r="AA24" s="1378"/>
      <c r="AB24" s="1378"/>
      <c r="AC24" s="1378"/>
      <c r="AD24" s="1378"/>
      <c r="AE24" s="1378"/>
      <c r="AF24" s="1378"/>
    </row>
    <row r="25" spans="1:37" ht="15.75" thickBot="1">
      <c r="A25" s="2791" t="s">
        <v>813</v>
      </c>
      <c r="B25" s="2813" t="s">
        <v>2914</v>
      </c>
      <c r="C25" s="930"/>
      <c r="D25" s="2743"/>
      <c r="E25" s="2743"/>
      <c r="F25" s="2814"/>
      <c r="G25" s="2743"/>
      <c r="H25" s="2743"/>
      <c r="I25" s="2743"/>
      <c r="J25" s="2744"/>
      <c r="K25" s="1370"/>
      <c r="N25" s="2815" t="s">
        <v>2915</v>
      </c>
      <c r="O25" s="1560"/>
      <c r="P25" s="1559">
        <f>SUMPRODUCT((地价!A3:A29=YEAR(G19)&amp;"-"&amp;ROUNDUP(MONTH(G19)/3,0))*(地价!AD2:AH2=N25)*(地价!AD3:AH29))</f>
        <v>1.8800000000000001E-2</v>
      </c>
      <c r="R25" s="1376"/>
      <c r="S25" s="1376"/>
      <c r="T25" s="1371"/>
      <c r="U25" s="1371"/>
      <c r="V25" s="1371"/>
      <c r="W25" s="1370"/>
      <c r="X25" s="1370"/>
      <c r="Y25" s="1370"/>
      <c r="Z25" s="1377"/>
      <c r="AA25" s="1378"/>
      <c r="AB25" s="1378"/>
      <c r="AC25" s="1378"/>
      <c r="AD25" s="1378"/>
    </row>
    <row r="26" spans="1:37" ht="15">
      <c r="A26" s="2816"/>
      <c r="B26" s="2803" t="s">
        <v>2916</v>
      </c>
      <c r="C26" s="206">
        <f ca="1">E29+SUM(E33:E39)</f>
        <v>7611</v>
      </c>
      <c r="D26" s="2817"/>
      <c r="E26" s="2768"/>
      <c r="F26" s="2818"/>
      <c r="G26" s="2768"/>
      <c r="H26" s="2768"/>
      <c r="I26" s="2768"/>
      <c r="J26" s="2819"/>
      <c r="K26" s="1370"/>
      <c r="L26" s="2772" t="s">
        <v>2815</v>
      </c>
      <c r="M26" s="920" t="s">
        <v>2880</v>
      </c>
      <c r="N26" s="920" t="s">
        <v>2881</v>
      </c>
      <c r="O26" s="920" t="s">
        <v>2882</v>
      </c>
      <c r="P26" s="2773" t="s">
        <v>2883</v>
      </c>
      <c r="R26" s="1376"/>
      <c r="S26" s="1376"/>
      <c r="T26" s="1371"/>
      <c r="U26" s="1371"/>
      <c r="V26" s="1371"/>
      <c r="W26" s="1370"/>
      <c r="X26" s="1370"/>
      <c r="Y26" s="1370"/>
      <c r="Z26" s="1377"/>
      <c r="AA26" s="1378"/>
      <c r="AB26" s="1378"/>
      <c r="AC26" s="1378"/>
      <c r="AD26" s="1378"/>
    </row>
    <row r="27" spans="1:37" ht="15.75" thickBot="1">
      <c r="A27" s="2816"/>
      <c r="B27" s="2820" t="s">
        <v>2917</v>
      </c>
      <c r="C27" s="931">
        <f ca="1">E30+SUM(I33:I39)</f>
        <v>0</v>
      </c>
      <c r="D27" s="2821"/>
      <c r="E27" s="2822"/>
      <c r="F27" s="2823"/>
      <c r="G27" s="2822"/>
      <c r="H27" s="2822"/>
      <c r="I27" s="2822"/>
      <c r="J27" s="2824"/>
      <c r="K27" s="1370"/>
      <c r="L27" s="2776" t="s">
        <v>2887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5"/>
      <c r="B28" s="2826" t="s">
        <v>2918</v>
      </c>
      <c r="C28" s="2827" t="s">
        <v>2919</v>
      </c>
      <c r="D28" s="2827" t="s">
        <v>2920</v>
      </c>
      <c r="E28" s="2828" t="s">
        <v>2921</v>
      </c>
      <c r="F28" s="2829"/>
      <c r="G28" s="2756"/>
      <c r="H28" s="2756"/>
      <c r="I28" s="2756"/>
      <c r="J28" s="2757"/>
      <c r="K28" s="1370"/>
      <c r="L28" s="2777" t="s">
        <v>2890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0"/>
      <c r="B29" s="2831" t="s">
        <v>2922</v>
      </c>
      <c r="C29" s="206">
        <f ca="1">ROUND(C5*C18*C19*C20*C21*C24,0)</f>
        <v>3307</v>
      </c>
      <c r="D29" s="2832">
        <f>'数据-汇总表'!F27</f>
        <v>23014.799999999999</v>
      </c>
      <c r="E29" s="942">
        <f ca="1">ROUND(C29*D29/10000,0)</f>
        <v>7611</v>
      </c>
      <c r="F29" s="2833" t="s">
        <v>2923</v>
      </c>
      <c r="G29" s="2834"/>
      <c r="H29" s="2834"/>
      <c r="I29" s="2834"/>
      <c r="J29" s="2835"/>
      <c r="K29" s="1370"/>
      <c r="L29" s="1370"/>
      <c r="M29" s="1370"/>
      <c r="N29" s="1370"/>
      <c r="O29" s="1375"/>
      <c r="P29" s="1375"/>
      <c r="Q29" s="1376"/>
      <c r="R29" s="1376"/>
      <c r="S29" s="1376"/>
      <c r="T29" s="1371"/>
      <c r="U29" s="1371"/>
      <c r="V29" s="1371"/>
      <c r="W29" s="1370"/>
      <c r="X29" s="1370"/>
      <c r="Y29" s="1370"/>
      <c r="Z29" s="1377"/>
      <c r="AA29" s="1378"/>
      <c r="AB29" s="1378"/>
      <c r="AC29" s="1378"/>
      <c r="AD29" s="1378"/>
      <c r="AE29" s="2778"/>
      <c r="AF29" s="2778"/>
      <c r="AG29" s="2715"/>
      <c r="AH29" s="2715"/>
      <c r="AI29" s="2715"/>
      <c r="AJ29" s="2715"/>
    </row>
    <row r="30" spans="1:37" ht="25.5" thickBot="1">
      <c r="A30" s="2836"/>
      <c r="B30" s="2837" t="s">
        <v>2924</v>
      </c>
      <c r="C30" s="229">
        <f ca="1">ROUND(IF(E2="工业",C29*M39,C29*M38),0)</f>
        <v>496</v>
      </c>
      <c r="D30" s="2838"/>
      <c r="E30" s="942">
        <f ca="1">ROUND(C30*D30/10000,0)</f>
        <v>0</v>
      </c>
      <c r="F30" s="2839" t="s">
        <v>2925</v>
      </c>
      <c r="G30" s="2840"/>
      <c r="H30" s="2840"/>
      <c r="I30" s="2840"/>
      <c r="J30" s="2841"/>
      <c r="K30" s="1370"/>
      <c r="L30" s="1370"/>
      <c r="M30" s="1370"/>
      <c r="N30" s="1370"/>
      <c r="O30" s="1375"/>
      <c r="P30" s="1375"/>
      <c r="Q30" s="1376"/>
      <c r="R30" s="1376"/>
      <c r="S30" s="1376"/>
      <c r="T30" s="1371"/>
      <c r="U30" s="1371"/>
      <c r="V30" s="1371"/>
      <c r="W30" s="1370"/>
      <c r="X30" s="1370"/>
      <c r="Y30" s="1370"/>
      <c r="Z30" s="1377"/>
      <c r="AA30" s="1378"/>
      <c r="AB30" s="1378"/>
      <c r="AC30" s="1378"/>
      <c r="AD30" s="1378"/>
      <c r="AE30" s="2778"/>
      <c r="AF30" s="2778"/>
      <c r="AG30" s="2715"/>
      <c r="AH30" s="2715"/>
      <c r="AI30" s="2715"/>
      <c r="AJ30" s="2715"/>
    </row>
    <row r="31" spans="1:37" ht="14.25">
      <c r="A31" s="2842"/>
      <c r="B31" s="2843" t="s">
        <v>2926</v>
      </c>
      <c r="C31" s="2844" t="s">
        <v>2927</v>
      </c>
      <c r="D31" s="2756"/>
      <c r="E31" s="2844"/>
      <c r="F31" s="2844"/>
      <c r="G31" s="2754" t="s">
        <v>2928</v>
      </c>
      <c r="H31" s="2756"/>
      <c r="I31" s="2845"/>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78"/>
      <c r="AF31" s="2778"/>
      <c r="AG31" s="2715"/>
      <c r="AH31" s="2715"/>
      <c r="AI31" s="2715"/>
      <c r="AJ31" s="2715"/>
    </row>
    <row r="32" spans="1:37" ht="24">
      <c r="A32" s="2830"/>
      <c r="B32" s="2846"/>
      <c r="C32" s="501" t="s">
        <v>2919</v>
      </c>
      <c r="D32" s="498" t="s">
        <v>2920</v>
      </c>
      <c r="E32" s="498" t="s">
        <v>2921</v>
      </c>
      <c r="F32" s="388" t="s">
        <v>2929</v>
      </c>
      <c r="G32" s="2847" t="s">
        <v>2919</v>
      </c>
      <c r="H32" s="2847" t="s">
        <v>2920</v>
      </c>
      <c r="I32" s="2847"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8"/>
      <c r="AF32" s="2778"/>
      <c r="AG32" s="2715"/>
      <c r="AH32" s="2715"/>
      <c r="AI32" s="2715"/>
      <c r="AJ32" s="2715"/>
    </row>
    <row r="33" spans="1:37" ht="36" customHeight="1">
      <c r="A33" s="3260" t="s">
        <v>2930</v>
      </c>
      <c r="B33" s="2848" t="s">
        <v>2931</v>
      </c>
      <c r="C33" s="206">
        <f ca="1">ROUND(D5*C19*C20*C24*F33,0)</f>
        <v>721</v>
      </c>
      <c r="D33" s="2832"/>
      <c r="E33" s="200">
        <f ca="1">ROUND(C33*D33/10000,0)</f>
        <v>0</v>
      </c>
      <c r="F33" s="200">
        <f>SUMIF(修正!A45:A56,G2,修正!B45:B56)</f>
        <v>0.6</v>
      </c>
      <c r="G33" s="200">
        <f ca="1">ROUND(IF(E2="工业",C33*$M$39,C33*$M$38),0)</f>
        <v>108</v>
      </c>
      <c r="H33" s="200">
        <f>D33</f>
        <v>0</v>
      </c>
      <c r="I33" s="200">
        <f ca="1">ROUND(G33*H33/10000,0)</f>
        <v>0</v>
      </c>
      <c r="J33" s="2849"/>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1"/>
      <c r="B34" s="2760" t="s">
        <v>2932</v>
      </c>
      <c r="C34" s="206">
        <f ca="1">ROUND(D5*C19*C20*C24*F34,0)</f>
        <v>361</v>
      </c>
      <c r="D34" s="2832"/>
      <c r="E34" s="200">
        <f t="shared" ref="E34:E39" ca="1" si="6">ROUND(C34*D34/10000,0)</f>
        <v>0</v>
      </c>
      <c r="F34" s="200">
        <f>SUMIF(修正!A45:A56,G2,修正!C45:C56)</f>
        <v>0.3</v>
      </c>
      <c r="G34" s="200">
        <f ca="1">ROUND(IF(E2="工业",C34*$M$39,C34*$M$38),0)</f>
        <v>54</v>
      </c>
      <c r="H34" s="200">
        <f t="shared" ref="H34:H39" si="7">D34</f>
        <v>0</v>
      </c>
      <c r="I34" s="200">
        <f t="shared" ref="I34:I39" ca="1" si="8">ROUND(G34*H34/10000,0)</f>
        <v>0</v>
      </c>
      <c r="J34" s="2849"/>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1"/>
      <c r="B35" s="2760" t="s">
        <v>2933</v>
      </c>
      <c r="C35" s="206">
        <f ca="1">ROUND(D5*C19*C20*C24*F35,0)</f>
        <v>240</v>
      </c>
      <c r="D35" s="2832"/>
      <c r="E35" s="200">
        <f t="shared" ca="1" si="6"/>
        <v>0</v>
      </c>
      <c r="F35" s="200">
        <f>SUMIF(修正!A45:A56,G2,修正!D45:D56)</f>
        <v>0.2</v>
      </c>
      <c r="G35" s="200">
        <f ca="1">ROUND(IF(E2="工业",C35*$M$39,C35*$M$38),0)</f>
        <v>36</v>
      </c>
      <c r="H35" s="200">
        <f t="shared" si="7"/>
        <v>0</v>
      </c>
      <c r="I35" s="200">
        <f t="shared" ca="1" si="8"/>
        <v>0</v>
      </c>
      <c r="J35" s="2849"/>
      <c r="K35" s="1370"/>
      <c r="L35" s="1370"/>
      <c r="M35" s="1370"/>
      <c r="N35" s="1370"/>
      <c r="O35" s="1370"/>
      <c r="P35" s="1370"/>
      <c r="Q35" s="1370"/>
      <c r="R35" s="1370"/>
      <c r="S35" s="1370"/>
      <c r="T35" s="1370"/>
      <c r="U35" s="1370"/>
      <c r="V35" s="1370"/>
      <c r="W35" s="1370"/>
      <c r="X35" s="1370"/>
      <c r="Y35" s="1370"/>
      <c r="Z35" s="1371"/>
    </row>
    <row r="36" spans="1:37" ht="13.5" thickBot="1">
      <c r="A36" s="3262"/>
      <c r="B36" s="2760" t="s">
        <v>2934</v>
      </c>
      <c r="C36" s="206">
        <f ca="1">ROUND(D5*C19*C20*C24*F36,0)</f>
        <v>240</v>
      </c>
      <c r="D36" s="2832"/>
      <c r="E36" s="200">
        <f t="shared" ca="1" si="6"/>
        <v>0</v>
      </c>
      <c r="F36" s="200">
        <f>SUMIF(修正!A45:A56,G2,修正!E45:E56)</f>
        <v>0.2</v>
      </c>
      <c r="G36" s="200">
        <f ca="1">ROUND(IF(E2="工业",C36*$M$39,C36*$M$38),0)</f>
        <v>36</v>
      </c>
      <c r="H36" s="200">
        <f t="shared" si="7"/>
        <v>0</v>
      </c>
      <c r="I36" s="200">
        <f t="shared" ca="1" si="8"/>
        <v>0</v>
      </c>
      <c r="J36" s="2849"/>
      <c r="K36" s="1370"/>
      <c r="L36" s="2714"/>
      <c r="M36" s="2714"/>
      <c r="N36" s="1370"/>
      <c r="O36" s="1370"/>
      <c r="P36" s="1370"/>
      <c r="Q36" s="1370"/>
      <c r="R36" s="1370"/>
      <c r="S36" s="1370"/>
      <c r="T36" s="1370"/>
      <c r="U36" s="1370"/>
      <c r="V36" s="1370"/>
      <c r="W36" s="1370"/>
      <c r="X36" s="1370"/>
      <c r="Y36" s="1370"/>
      <c r="Z36" s="1371"/>
    </row>
    <row r="37" spans="1:37">
      <c r="A37" s="2850"/>
      <c r="B37" s="2760" t="s">
        <v>2935</v>
      </c>
      <c r="C37" s="200">
        <f ca="1">ROUND(D5*C19*C20*C24*F37,0)</f>
        <v>240</v>
      </c>
      <c r="D37" s="2832"/>
      <c r="E37" s="200">
        <f t="shared" ca="1" si="6"/>
        <v>0</v>
      </c>
      <c r="F37" s="206">
        <f>SUMIF(修正!A45:A56,G2,修正!F45:F56)</f>
        <v>0.2</v>
      </c>
      <c r="G37" s="200">
        <f ca="1">ROUND(IF(E2="工业",C37*$M$39,C37*$M$38),0)</f>
        <v>36</v>
      </c>
      <c r="H37" s="200">
        <f t="shared" si="7"/>
        <v>0</v>
      </c>
      <c r="I37" s="200">
        <f t="shared" ca="1" si="8"/>
        <v>0</v>
      </c>
      <c r="J37" s="2849"/>
      <c r="K37" s="1370"/>
      <c r="L37" s="2851" t="s">
        <v>2936</v>
      </c>
      <c r="M37" s="2852"/>
      <c r="N37" s="1370"/>
      <c r="O37" s="1370"/>
      <c r="P37" s="1370"/>
      <c r="Q37" s="1370"/>
      <c r="R37" s="1370"/>
      <c r="S37" s="1370"/>
      <c r="T37" s="1370"/>
      <c r="U37" s="1370"/>
      <c r="V37" s="1370"/>
      <c r="W37" s="1370"/>
      <c r="X37" s="1370"/>
      <c r="Y37" s="1370"/>
      <c r="Z37" s="1371"/>
    </row>
    <row r="38" spans="1:37">
      <c r="A38" s="2850"/>
      <c r="B38" s="2760" t="s">
        <v>2937</v>
      </c>
      <c r="C38" s="200">
        <f ca="1">ROUND(D5*C19*C41*C24*F38,0)</f>
        <v>0</v>
      </c>
      <c r="D38" s="2832"/>
      <c r="E38" s="200">
        <f t="shared" ca="1" si="6"/>
        <v>0</v>
      </c>
      <c r="F38" s="206">
        <f>SUMIF(修正!A45:A56,G2,修正!G45:G56)</f>
        <v>0.2</v>
      </c>
      <c r="G38" s="200">
        <f ca="1">ROUND(IF(E2="工业",C38*$M$39,C38*$M$38),0)</f>
        <v>0</v>
      </c>
      <c r="H38" s="200">
        <f t="shared" si="7"/>
        <v>0</v>
      </c>
      <c r="I38" s="200">
        <f t="shared" ca="1" si="8"/>
        <v>0</v>
      </c>
      <c r="J38" s="2849"/>
      <c r="K38" s="1370"/>
      <c r="L38" s="1882" t="s">
        <v>2938</v>
      </c>
      <c r="M38" s="2853">
        <v>0.25</v>
      </c>
      <c r="N38" s="1370"/>
      <c r="O38" s="1370"/>
      <c r="P38" s="1370"/>
      <c r="Q38" s="1370"/>
      <c r="R38" s="1370"/>
      <c r="S38" s="1370"/>
      <c r="T38" s="1370"/>
      <c r="U38" s="1370"/>
      <c r="V38" s="1370"/>
      <c r="W38" s="1370"/>
      <c r="X38" s="1370"/>
      <c r="Y38" s="1370"/>
      <c r="Z38" s="1371"/>
    </row>
    <row r="39" spans="1:37" ht="13.5" thickBot="1">
      <c r="A39" s="2836"/>
      <c r="B39" s="2854" t="s">
        <v>2939</v>
      </c>
      <c r="C39" s="229">
        <f ca="1">ROUND(D5*C19*C41*C24*F39,0)</f>
        <v>0</v>
      </c>
      <c r="D39" s="2838"/>
      <c r="E39" s="229">
        <f t="shared" ca="1" si="6"/>
        <v>0</v>
      </c>
      <c r="F39" s="932">
        <f>SUMIF(修正!A45:A56,G2,修正!H45:H56)</f>
        <v>0.15</v>
      </c>
      <c r="G39" s="229">
        <f ca="1">ROUND(IF(E2="工业",C39*$M$39,C39*$M$38),0)</f>
        <v>0</v>
      </c>
      <c r="H39" s="229">
        <f t="shared" si="7"/>
        <v>0</v>
      </c>
      <c r="I39" s="229">
        <f t="shared" ca="1" si="8"/>
        <v>0</v>
      </c>
      <c r="J39" s="2855"/>
      <c r="K39" s="1370"/>
      <c r="L39" s="2856" t="s">
        <v>2883</v>
      </c>
      <c r="M39" s="2857">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3050</v>
      </c>
      <c r="C41" s="388">
        <f ca="1">ROUND(POWER(1+E41,H41-G41)*(POWER(1+E41,G41)-1)/(POWER(1+E41,H41)-1),4)</f>
        <v>0</v>
      </c>
      <c r="D41" s="200" t="s">
        <v>2890</v>
      </c>
      <c r="E41" s="2923">
        <f ca="1">G20</f>
        <v>4.8000000000000001E-2</v>
      </c>
      <c r="F41" s="200" t="s">
        <v>2899</v>
      </c>
      <c r="G41" s="218"/>
      <c r="H41" s="200">
        <v>50</v>
      </c>
      <c r="Z41" s="1371"/>
      <c r="AA41" s="1371"/>
      <c r="AB41" s="1371"/>
      <c r="AC41" s="1371"/>
      <c r="AD41" s="1371"/>
      <c r="AE41" s="1371"/>
      <c r="AF41" s="1371"/>
      <c r="AG41" s="1371"/>
      <c r="AH41" s="1371"/>
      <c r="AI41" s="1371"/>
      <c r="AJ41" s="1371"/>
    </row>
    <row r="42" spans="1:37" s="1370" customFormat="1">
      <c r="A42" s="1371"/>
      <c r="B42" s="2858"/>
      <c r="Z42" s="1371"/>
      <c r="AA42" s="1371"/>
      <c r="AB42" s="1371"/>
      <c r="AC42" s="1371"/>
      <c r="AD42" s="1371"/>
      <c r="AE42" s="1371"/>
      <c r="AF42" s="1371"/>
      <c r="AG42" s="1371"/>
      <c r="AH42" s="1371"/>
      <c r="AI42" s="1371"/>
      <c r="AJ42" s="1371"/>
    </row>
    <row r="43" spans="1:37" s="1370" customFormat="1">
      <c r="A43" s="1371"/>
      <c r="B43" s="2858"/>
      <c r="Z43" s="1371"/>
      <c r="AA43" s="1371"/>
      <c r="AB43" s="1371"/>
      <c r="AC43" s="1371"/>
      <c r="AD43" s="1371"/>
      <c r="AE43" s="1371"/>
      <c r="AF43" s="1371"/>
      <c r="AG43" s="1371"/>
      <c r="AH43" s="1371"/>
      <c r="AI43" s="1371"/>
      <c r="AJ43" s="1371"/>
    </row>
    <row r="44" spans="1:37" s="1370" customFormat="1">
      <c r="A44" s="1371"/>
      <c r="B44" s="2858"/>
      <c r="Z44" s="1371"/>
      <c r="AA44" s="1371"/>
      <c r="AB44" s="1371"/>
      <c r="AC44" s="1371"/>
      <c r="AD44" s="1371"/>
      <c r="AE44" s="1371"/>
      <c r="AF44" s="1371"/>
      <c r="AG44" s="1371"/>
      <c r="AH44" s="1371"/>
      <c r="AI44" s="1371"/>
      <c r="AJ44" s="1371"/>
    </row>
    <row r="45" spans="1:37" s="1370" customFormat="1" ht="15.75" thickBot="1">
      <c r="A45" s="2859" t="s">
        <v>2940</v>
      </c>
      <c r="B45" s="2860"/>
      <c r="C45" s="7"/>
      <c r="D45" s="7"/>
      <c r="E45" s="7"/>
      <c r="F45" s="6"/>
      <c r="G45" s="6"/>
      <c r="H45" s="6"/>
      <c r="I45" s="7"/>
      <c r="J45" s="7"/>
      <c r="K45" s="7"/>
      <c r="L45" s="7"/>
      <c r="M45" s="7"/>
      <c r="N45" s="2778"/>
      <c r="Z45" s="1371"/>
      <c r="AA45" s="1371"/>
      <c r="AB45" s="1371"/>
      <c r="AC45" s="1371"/>
      <c r="AD45" s="1371"/>
      <c r="AE45" s="1371"/>
      <c r="AF45" s="1371"/>
      <c r="AG45" s="1371"/>
      <c r="AH45" s="1371"/>
      <c r="AI45" s="1371"/>
      <c r="AJ45" s="1371"/>
    </row>
    <row r="46" spans="1:37" s="1370" customFormat="1" ht="15" hidden="1">
      <c r="A46" s="2861" t="s">
        <v>2941</v>
      </c>
      <c r="B46" s="2862">
        <f>1+E48</f>
        <v>1</v>
      </c>
      <c r="C46" s="2863"/>
      <c r="D46" s="814"/>
      <c r="E46" s="815"/>
      <c r="F46" s="2864"/>
      <c r="G46" s="6"/>
      <c r="H46" s="7"/>
      <c r="I46" s="7"/>
      <c r="J46" s="7"/>
      <c r="K46" s="7"/>
      <c r="L46" s="7"/>
      <c r="M46" s="7"/>
      <c r="N46" s="2778"/>
      <c r="Z46" s="1371"/>
      <c r="AA46" s="1371"/>
      <c r="AB46" s="1371"/>
      <c r="AC46" s="1371"/>
      <c r="AD46" s="1371"/>
      <c r="AE46" s="1371"/>
      <c r="AF46" s="1371"/>
      <c r="AG46" s="1371"/>
      <c r="AH46" s="1371"/>
      <c r="AI46" s="1371"/>
      <c r="AJ46" s="1371"/>
    </row>
    <row r="47" spans="1:37" s="1370" customFormat="1" ht="24.75" hidden="1">
      <c r="A47" s="2865" t="s">
        <v>2942</v>
      </c>
      <c r="B47" s="1804" t="s">
        <v>2943</v>
      </c>
      <c r="C47" s="1804" t="s">
        <v>2944</v>
      </c>
      <c r="D47" s="1804" t="s">
        <v>2945</v>
      </c>
      <c r="E47" s="819" t="s">
        <v>2946</v>
      </c>
      <c r="F47" s="2866" t="s">
        <v>2947</v>
      </c>
      <c r="G47" s="1804" t="s">
        <v>754</v>
      </c>
      <c r="H47" s="2867" t="s">
        <v>2948</v>
      </c>
      <c r="I47" s="1804" t="s">
        <v>2949</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hidden="1">
      <c r="A48" s="2865" t="s">
        <v>2950</v>
      </c>
      <c r="B48" s="2868" t="str">
        <f>估价对象房地状况!C4</f>
        <v>估价对象位于XX商圈，周边商业氛围成熟，人流量大，商业繁华度好</v>
      </c>
      <c r="C48" s="2765"/>
      <c r="D48" s="1286">
        <f t="shared" ref="D48:D56" si="9">SUMIF($J$47:$N$47,C48,J48:N48)</f>
        <v>0</v>
      </c>
      <c r="E48" s="821">
        <f>ROUND(SUM(D48:D56),4)</f>
        <v>0</v>
      </c>
      <c r="F48" s="2496"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51" hidden="1">
      <c r="A49" s="2865" t="s">
        <v>2951</v>
      </c>
      <c r="B49" s="2869" t="str">
        <f>估价对象房地状况!C18</f>
        <v>估价对象周边道路状况、公共交通通达情况、停车便捷程度，综合评价交通便捷度较好</v>
      </c>
      <c r="C49" s="2765"/>
      <c r="D49" s="1286">
        <f t="shared" si="9"/>
        <v>0</v>
      </c>
      <c r="E49" s="822"/>
      <c r="F49" s="2496"/>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4" hidden="1">
      <c r="A50" s="2865" t="s">
        <v>2952</v>
      </c>
      <c r="B50" s="2869">
        <f>估价对象房地状况!C19</f>
        <v>0</v>
      </c>
      <c r="C50" s="2765"/>
      <c r="D50" s="1286">
        <f t="shared" si="9"/>
        <v>0</v>
      </c>
      <c r="E50" s="822"/>
      <c r="F50" s="2496"/>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36.75" hidden="1">
      <c r="A51" s="2865" t="s">
        <v>2953</v>
      </c>
      <c r="B51" s="2870" t="s">
        <v>2954</v>
      </c>
      <c r="C51" s="2765"/>
      <c r="D51" s="1286">
        <f t="shared" si="9"/>
        <v>0</v>
      </c>
      <c r="E51" s="822"/>
      <c r="F51" s="2496"/>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4" hidden="1">
      <c r="A52" s="2865" t="s">
        <v>2955</v>
      </c>
      <c r="B52" s="2869">
        <f>估价对象房地状况!C24</f>
        <v>0</v>
      </c>
      <c r="C52" s="2765"/>
      <c r="D52" s="1286">
        <f t="shared" si="9"/>
        <v>0</v>
      </c>
      <c r="E52" s="822"/>
      <c r="F52" s="2496"/>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24" hidden="1">
      <c r="A53" s="2865" t="s">
        <v>2956</v>
      </c>
      <c r="B53" s="2871" t="s">
        <v>2957</v>
      </c>
      <c r="C53" s="2765"/>
      <c r="D53" s="1286">
        <f t="shared" si="9"/>
        <v>0</v>
      </c>
      <c r="E53" s="822"/>
      <c r="F53" s="2496"/>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5.5" hidden="1">
      <c r="A54" s="2872" t="s">
        <v>2958</v>
      </c>
      <c r="B54" s="1720" t="str">
        <f>估价对象房地状况!C21</f>
        <v>估价对象所在区域公共配套设施齐备情况</v>
      </c>
      <c r="C54" s="2765"/>
      <c r="D54" s="1286">
        <f t="shared" si="9"/>
        <v>0</v>
      </c>
      <c r="E54" s="822"/>
      <c r="F54" s="2496"/>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5.5" hidden="1">
      <c r="A55" s="2872" t="s">
        <v>2959</v>
      </c>
      <c r="B55" s="2869" t="str">
        <f>估价对象房地状况!C22</f>
        <v>估价对象所在区域基础设施水平</v>
      </c>
      <c r="C55" s="2765"/>
      <c r="D55" s="1286">
        <f t="shared" si="9"/>
        <v>0</v>
      </c>
      <c r="E55" s="822"/>
      <c r="F55" s="2496"/>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39" hidden="1" thickBot="1">
      <c r="A56" s="2873" t="s">
        <v>2960</v>
      </c>
      <c r="B56" s="2874" t="str">
        <f>估价对象房地状况!C20</f>
        <v>区域自然环境：；人文环境；综合评价环境状况一般</v>
      </c>
      <c r="C56" s="2765"/>
      <c r="D56" s="1286">
        <f t="shared" si="9"/>
        <v>0</v>
      </c>
      <c r="E56" s="825"/>
      <c r="F56" s="2496"/>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5" hidden="1">
      <c r="A57" s="2861" t="s">
        <v>2961</v>
      </c>
      <c r="B57" s="2862">
        <f>1+E59</f>
        <v>1</v>
      </c>
      <c r="C57" s="814"/>
      <c r="D57" s="814"/>
      <c r="E57" s="815"/>
      <c r="F57" s="2864"/>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5" t="s">
        <v>2942</v>
      </c>
      <c r="B58" s="1804"/>
      <c r="C58" s="1804" t="s">
        <v>2944</v>
      </c>
      <c r="D58" s="1804" t="s">
        <v>2945</v>
      </c>
      <c r="E58" s="819" t="s">
        <v>2946</v>
      </c>
      <c r="F58" s="2866" t="s">
        <v>2962</v>
      </c>
      <c r="G58" s="1804" t="s">
        <v>754</v>
      </c>
      <c r="H58" s="2867" t="s">
        <v>2948</v>
      </c>
      <c r="I58" s="1804" t="s">
        <v>2949</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38.25" hidden="1">
      <c r="A59" s="2865" t="s">
        <v>2963</v>
      </c>
      <c r="B59" s="2868" t="str">
        <f>估价对象房地状况!C17</f>
        <v>估价对象位于XX商圈，周边办公楼项目较多，入驻率高，办公集聚程度较好</v>
      </c>
      <c r="C59" s="2765"/>
      <c r="D59" s="1286">
        <f t="shared" ref="D59:D67" si="14">SUMIF($J$58:$N$58,C59,J59:N59)</f>
        <v>0</v>
      </c>
      <c r="E59" s="821">
        <f>ROUND(SUM(D59:D67),4)</f>
        <v>0</v>
      </c>
      <c r="F59" s="2496" t="str">
        <f>IF(E2="办公",SUMIF(L1:L12,G2,N1:N12),"——")</f>
        <v>——</v>
      </c>
      <c r="G59" s="1284"/>
      <c r="H59" s="1288" t="str">
        <f t="shared" ref="H59:H67" si="15">IFERROR(ROUNDDOWN($F$59*I59/2,4),"——")</f>
        <v>——</v>
      </c>
      <c r="I59" s="820">
        <v>0.24</v>
      </c>
      <c r="J59" s="1285">
        <f t="shared" ref="J59:J67" si="16">K59+$G59</f>
        <v>0</v>
      </c>
      <c r="K59" s="1285">
        <f t="shared" ref="K59:K67" si="17">$L59+$G59</f>
        <v>0</v>
      </c>
      <c r="L59" s="1285">
        <v>0</v>
      </c>
      <c r="M59" s="1285">
        <f t="shared" ref="M59:N67" si="18">L59-$G59</f>
        <v>0</v>
      </c>
      <c r="N59" s="1285">
        <f t="shared" si="18"/>
        <v>0</v>
      </c>
      <c r="AA59" s="1371"/>
      <c r="AB59" s="1371"/>
      <c r="AC59" s="1371"/>
      <c r="AD59" s="1371"/>
      <c r="AE59" s="1371"/>
      <c r="AF59" s="1371"/>
      <c r="AG59" s="1371"/>
      <c r="AH59" s="1371"/>
      <c r="AI59" s="1371"/>
      <c r="AJ59" s="1371"/>
      <c r="AK59" s="1371"/>
    </row>
    <row r="60" spans="1:37" s="1370" customFormat="1" ht="51" hidden="1">
      <c r="A60" s="2865" t="s">
        <v>2951</v>
      </c>
      <c r="B60" s="2869" t="str">
        <f>估价对象房地状况!C18</f>
        <v>估价对象周边道路状况、公共交通通达情况、停车便捷程度，综合评价交通便捷度较好</v>
      </c>
      <c r="C60" s="2765"/>
      <c r="D60" s="1286">
        <f t="shared" si="14"/>
        <v>0</v>
      </c>
      <c r="E60" s="822"/>
      <c r="F60" s="2496"/>
      <c r="G60" s="1284"/>
      <c r="H60" s="1288" t="str">
        <f t="shared" si="15"/>
        <v>——</v>
      </c>
      <c r="I60" s="820">
        <v>0.3</v>
      </c>
      <c r="J60" s="1285">
        <f t="shared" si="16"/>
        <v>0</v>
      </c>
      <c r="K60" s="1285">
        <f t="shared" si="17"/>
        <v>0</v>
      </c>
      <c r="L60" s="1285">
        <v>0</v>
      </c>
      <c r="M60" s="1285">
        <f t="shared" si="18"/>
        <v>0</v>
      </c>
      <c r="N60" s="1285">
        <f t="shared" si="18"/>
        <v>0</v>
      </c>
      <c r="AA60" s="1371"/>
      <c r="AB60" s="1371"/>
      <c r="AC60" s="1371"/>
      <c r="AD60" s="1371"/>
      <c r="AE60" s="1371"/>
      <c r="AF60" s="1371"/>
      <c r="AG60" s="1371"/>
      <c r="AH60" s="1371"/>
      <c r="AI60" s="1371"/>
      <c r="AJ60" s="1371"/>
      <c r="AK60" s="1371"/>
    </row>
    <row r="61" spans="1:37" s="1370" customFormat="1" ht="24" hidden="1">
      <c r="A61" s="2865" t="s">
        <v>2952</v>
      </c>
      <c r="B61" s="2869">
        <f>估价对象房地状况!C19</f>
        <v>0</v>
      </c>
      <c r="C61" s="2765"/>
      <c r="D61" s="1286">
        <f t="shared" si="14"/>
        <v>0</v>
      </c>
      <c r="E61" s="822"/>
      <c r="F61" s="2496"/>
      <c r="G61" s="1284"/>
      <c r="H61" s="1288" t="str">
        <f t="shared" si="15"/>
        <v>——</v>
      </c>
      <c r="I61" s="820">
        <v>0.08</v>
      </c>
      <c r="J61" s="1285">
        <f t="shared" si="16"/>
        <v>0</v>
      </c>
      <c r="K61" s="1285">
        <f t="shared" si="17"/>
        <v>0</v>
      </c>
      <c r="L61" s="1285">
        <v>0</v>
      </c>
      <c r="M61" s="1285">
        <f t="shared" si="18"/>
        <v>0</v>
      </c>
      <c r="N61" s="1285">
        <f t="shared" si="18"/>
        <v>0</v>
      </c>
      <c r="AA61" s="1371"/>
      <c r="AB61" s="1371"/>
      <c r="AC61" s="1371"/>
      <c r="AD61" s="1371"/>
      <c r="AE61" s="1371"/>
      <c r="AF61" s="1371"/>
      <c r="AG61" s="1371"/>
      <c r="AH61" s="1371"/>
      <c r="AI61" s="1371"/>
      <c r="AJ61" s="1371"/>
      <c r="AK61" s="1371"/>
    </row>
    <row r="62" spans="1:37" s="1370" customFormat="1" ht="36.75" hidden="1">
      <c r="A62" s="2865" t="s">
        <v>2953</v>
      </c>
      <c r="B62" s="2870" t="s">
        <v>2954</v>
      </c>
      <c r="C62" s="2765"/>
      <c r="D62" s="1286">
        <f t="shared" si="14"/>
        <v>0</v>
      </c>
      <c r="E62" s="822"/>
      <c r="F62" s="2496"/>
      <c r="G62" s="1284"/>
      <c r="H62" s="1288" t="str">
        <f t="shared" si="15"/>
        <v>——</v>
      </c>
      <c r="I62" s="820">
        <v>0.04</v>
      </c>
      <c r="J62" s="1285">
        <f t="shared" si="16"/>
        <v>0</v>
      </c>
      <c r="K62" s="1285">
        <f t="shared" si="17"/>
        <v>0</v>
      </c>
      <c r="L62" s="1285">
        <v>0</v>
      </c>
      <c r="M62" s="1285">
        <f t="shared" si="18"/>
        <v>0</v>
      </c>
      <c r="N62" s="1285">
        <f t="shared" si="18"/>
        <v>0</v>
      </c>
      <c r="AA62" s="1371"/>
      <c r="AB62" s="1371"/>
      <c r="AC62" s="1371"/>
      <c r="AD62" s="1371"/>
      <c r="AE62" s="1371"/>
      <c r="AF62" s="1371"/>
      <c r="AG62" s="1371"/>
      <c r="AH62" s="1371"/>
      <c r="AI62" s="1371"/>
      <c r="AJ62" s="1371"/>
      <c r="AK62" s="1371"/>
    </row>
    <row r="63" spans="1:37" s="1370" customFormat="1" ht="24" hidden="1">
      <c r="A63" s="2865" t="s">
        <v>2955</v>
      </c>
      <c r="B63" s="2869">
        <f>估价对象房地状况!C24</f>
        <v>0</v>
      </c>
      <c r="C63" s="2765"/>
      <c r="D63" s="1286">
        <f t="shared" si="14"/>
        <v>0</v>
      </c>
      <c r="E63" s="822"/>
      <c r="F63" s="2496"/>
      <c r="G63" s="1284"/>
      <c r="H63" s="1288" t="str">
        <f t="shared" si="15"/>
        <v>——</v>
      </c>
      <c r="I63" s="820">
        <v>0.05</v>
      </c>
      <c r="J63" s="1285">
        <f t="shared" si="16"/>
        <v>0</v>
      </c>
      <c r="K63" s="1285">
        <f t="shared" si="17"/>
        <v>0</v>
      </c>
      <c r="L63" s="1285">
        <v>0</v>
      </c>
      <c r="M63" s="1285">
        <f t="shared" si="18"/>
        <v>0</v>
      </c>
      <c r="N63" s="1285">
        <f t="shared" si="18"/>
        <v>0</v>
      </c>
      <c r="AA63" s="1371"/>
      <c r="AB63" s="1371"/>
      <c r="AC63" s="1371"/>
      <c r="AD63" s="1371"/>
      <c r="AE63" s="1371"/>
      <c r="AF63" s="1371"/>
      <c r="AG63" s="1371"/>
      <c r="AH63" s="1371"/>
      <c r="AI63" s="1371"/>
      <c r="AJ63" s="1371"/>
      <c r="AK63" s="1371"/>
    </row>
    <row r="64" spans="1:37" s="1370" customFormat="1" ht="24" hidden="1">
      <c r="A64" s="2865" t="s">
        <v>2956</v>
      </c>
      <c r="B64" s="2871" t="s">
        <v>2957</v>
      </c>
      <c r="C64" s="2765"/>
      <c r="D64" s="1286">
        <f t="shared" si="14"/>
        <v>0</v>
      </c>
      <c r="E64" s="822"/>
      <c r="F64" s="2496"/>
      <c r="G64" s="1284"/>
      <c r="H64" s="1288" t="str">
        <f t="shared" si="15"/>
        <v>——</v>
      </c>
      <c r="I64" s="820">
        <v>0.05</v>
      </c>
      <c r="J64" s="1285">
        <f t="shared" si="16"/>
        <v>0</v>
      </c>
      <c r="K64" s="1285">
        <f t="shared" si="17"/>
        <v>0</v>
      </c>
      <c r="L64" s="1285">
        <v>0</v>
      </c>
      <c r="M64" s="1285">
        <f t="shared" si="18"/>
        <v>0</v>
      </c>
      <c r="N64" s="1285">
        <f t="shared" si="18"/>
        <v>0</v>
      </c>
      <c r="AA64" s="1371"/>
      <c r="AB64" s="1371"/>
      <c r="AC64" s="1371"/>
      <c r="AD64" s="1371"/>
      <c r="AE64" s="1371"/>
      <c r="AF64" s="1371"/>
      <c r="AG64" s="1371"/>
      <c r="AH64" s="1371"/>
      <c r="AI64" s="1371"/>
      <c r="AJ64" s="1371"/>
      <c r="AK64" s="1371"/>
    </row>
    <row r="65" spans="1:37" s="1370" customFormat="1" ht="25.5" hidden="1">
      <c r="A65" s="2865" t="s">
        <v>2958</v>
      </c>
      <c r="B65" s="1720" t="str">
        <f>估价对象房地状况!C21</f>
        <v>估价对象所在区域公共配套设施齐备情况</v>
      </c>
      <c r="C65" s="2765"/>
      <c r="D65" s="1286">
        <f t="shared" si="14"/>
        <v>0</v>
      </c>
      <c r="E65" s="822"/>
      <c r="F65" s="2496"/>
      <c r="G65" s="1284"/>
      <c r="H65" s="1288" t="str">
        <f t="shared" si="15"/>
        <v>——</v>
      </c>
      <c r="I65" s="820">
        <v>0.06</v>
      </c>
      <c r="J65" s="1285">
        <f t="shared" si="16"/>
        <v>0</v>
      </c>
      <c r="K65" s="1285">
        <f t="shared" si="17"/>
        <v>0</v>
      </c>
      <c r="L65" s="1285">
        <v>0</v>
      </c>
      <c r="M65" s="1285">
        <f t="shared" si="18"/>
        <v>0</v>
      </c>
      <c r="N65" s="1285">
        <f t="shared" si="18"/>
        <v>0</v>
      </c>
      <c r="AA65" s="1371"/>
      <c r="AB65" s="1371"/>
      <c r="AC65" s="1371"/>
      <c r="AD65" s="1371"/>
      <c r="AE65" s="1371"/>
      <c r="AF65" s="1371"/>
      <c r="AG65" s="1371"/>
      <c r="AH65" s="1371"/>
      <c r="AI65" s="1371"/>
      <c r="AJ65" s="1371"/>
      <c r="AK65" s="1371"/>
    </row>
    <row r="66" spans="1:37" s="1370" customFormat="1" ht="25.5" hidden="1">
      <c r="A66" s="2865" t="s">
        <v>2959</v>
      </c>
      <c r="B66" s="1720" t="str">
        <f>估价对象房地状况!C22</f>
        <v>估价对象所在区域基础设施水平</v>
      </c>
      <c r="C66" s="2765"/>
      <c r="D66" s="1286">
        <f t="shared" si="14"/>
        <v>0</v>
      </c>
      <c r="E66" s="822"/>
      <c r="F66" s="2496"/>
      <c r="G66" s="1284"/>
      <c r="H66" s="1288" t="str">
        <f t="shared" si="15"/>
        <v>——</v>
      </c>
      <c r="I66" s="820">
        <v>0.12</v>
      </c>
      <c r="J66" s="1285">
        <f t="shared" si="16"/>
        <v>0</v>
      </c>
      <c r="K66" s="1285">
        <f t="shared" si="17"/>
        <v>0</v>
      </c>
      <c r="L66" s="1285">
        <v>0</v>
      </c>
      <c r="M66" s="1285">
        <f t="shared" si="18"/>
        <v>0</v>
      </c>
      <c r="N66" s="1285">
        <f t="shared" si="18"/>
        <v>0</v>
      </c>
      <c r="AA66" s="1371"/>
      <c r="AB66" s="1371"/>
      <c r="AC66" s="1371"/>
      <c r="AD66" s="1371"/>
      <c r="AE66" s="1371"/>
      <c r="AF66" s="1371"/>
      <c r="AG66" s="1371"/>
      <c r="AH66" s="1371"/>
      <c r="AI66" s="1371"/>
      <c r="AJ66" s="1371"/>
      <c r="AK66" s="1371"/>
    </row>
    <row r="67" spans="1:37" s="1370" customFormat="1" ht="39" hidden="1" thickBot="1">
      <c r="A67" s="2873" t="s">
        <v>2960</v>
      </c>
      <c r="B67" s="2875" t="str">
        <f>估价对象房地状况!C20</f>
        <v>区域自然环境：；人文环境；综合评价环境状况一般</v>
      </c>
      <c r="C67" s="2765"/>
      <c r="D67" s="1286">
        <f t="shared" si="14"/>
        <v>0</v>
      </c>
      <c r="E67" s="825"/>
      <c r="F67" s="2496"/>
      <c r="G67" s="1284"/>
      <c r="H67" s="1288" t="str">
        <f t="shared" si="15"/>
        <v>——</v>
      </c>
      <c r="I67" s="824">
        <v>0.06</v>
      </c>
      <c r="J67" s="1285">
        <f t="shared" si="16"/>
        <v>0</v>
      </c>
      <c r="K67" s="1285">
        <f t="shared" si="17"/>
        <v>0</v>
      </c>
      <c r="L67" s="1285">
        <v>0</v>
      </c>
      <c r="M67" s="1285">
        <f t="shared" si="18"/>
        <v>0</v>
      </c>
      <c r="N67" s="1285">
        <f t="shared" si="18"/>
        <v>0</v>
      </c>
      <c r="AA67" s="1371"/>
      <c r="AB67" s="1371"/>
      <c r="AC67" s="1371"/>
      <c r="AD67" s="1371"/>
      <c r="AE67" s="1371"/>
      <c r="AF67" s="1371"/>
      <c r="AG67" s="1371"/>
      <c r="AH67" s="1371"/>
      <c r="AI67" s="1371"/>
      <c r="AJ67" s="1371"/>
      <c r="AK67" s="1371"/>
    </row>
    <row r="68" spans="1:37" s="1370" customFormat="1" ht="15" hidden="1">
      <c r="A68" s="2861" t="s">
        <v>2964</v>
      </c>
      <c r="B68" s="2862">
        <f>1+E70</f>
        <v>1</v>
      </c>
      <c r="C68" s="814"/>
      <c r="D68" s="814"/>
      <c r="E68" s="815"/>
      <c r="F68" s="2864"/>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5" t="s">
        <v>2942</v>
      </c>
      <c r="B69" s="1804"/>
      <c r="C69" s="1804" t="s">
        <v>2944</v>
      </c>
      <c r="D69" s="1804" t="s">
        <v>2945</v>
      </c>
      <c r="E69" s="819" t="s">
        <v>2946</v>
      </c>
      <c r="F69" s="2866" t="s">
        <v>2962</v>
      </c>
      <c r="G69" s="1804" t="s">
        <v>754</v>
      </c>
      <c r="H69" s="2867" t="s">
        <v>2948</v>
      </c>
      <c r="I69" s="1804" t="s">
        <v>2949</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hidden="1">
      <c r="A70" s="2865" t="s">
        <v>2965</v>
      </c>
      <c r="B70" s="2868" t="str">
        <f>估价对象房地状况!C15</f>
        <v>估价对象周边居住用地比例、居住小区规模和社区发展完善程度，综合评价居住社区成熟度一般</v>
      </c>
      <c r="C70" s="2765"/>
      <c r="D70" s="1286">
        <f t="shared" ref="D70:D78" si="19">SUMIF($J$69:$N$69,C70,J70:N70)</f>
        <v>0</v>
      </c>
      <c r="E70" s="821">
        <f>ROUND(SUM(D70:D78),4)</f>
        <v>0</v>
      </c>
      <c r="F70" s="2496" t="str">
        <f>IF(E2="住宅",SUMIF(L1:L12,G2,N1:N12),"——")</f>
        <v>——</v>
      </c>
      <c r="G70" s="1284"/>
      <c r="H70" s="1288" t="str">
        <f t="shared" ref="H70:H78" si="20">IFERROR(ROUNDDOWN($F$70*I70/2,4),"——")</f>
        <v>——</v>
      </c>
      <c r="I70" s="820">
        <v>0.14000000000000001</v>
      </c>
      <c r="J70" s="1285">
        <f t="shared" ref="J70:J78" si="21">K70+$G70</f>
        <v>0</v>
      </c>
      <c r="K70" s="1285">
        <f t="shared" ref="K70:K78" si="22">$L70+$G70</f>
        <v>0</v>
      </c>
      <c r="L70" s="1285">
        <v>0</v>
      </c>
      <c r="M70" s="1285">
        <f t="shared" ref="M70:N78" si="23">L70-$G70</f>
        <v>0</v>
      </c>
      <c r="N70" s="1285">
        <f t="shared" si="23"/>
        <v>0</v>
      </c>
      <c r="AA70" s="1371"/>
      <c r="AB70" s="1371"/>
      <c r="AC70" s="1371"/>
      <c r="AD70" s="1371"/>
      <c r="AE70" s="1371"/>
      <c r="AF70" s="1371"/>
      <c r="AG70" s="1371"/>
      <c r="AH70" s="1371"/>
      <c r="AI70" s="1371"/>
      <c r="AJ70" s="1371"/>
      <c r="AK70" s="1371"/>
    </row>
    <row r="71" spans="1:37" s="1370" customFormat="1" ht="51" hidden="1">
      <c r="A71" s="2865" t="s">
        <v>2951</v>
      </c>
      <c r="B71" s="2869" t="str">
        <f>估价对象房地状况!C18</f>
        <v>估价对象周边道路状况、公共交通通达情况、停车便捷程度，综合评价交通便捷度较好</v>
      </c>
      <c r="C71" s="2765"/>
      <c r="D71" s="1286">
        <f t="shared" si="19"/>
        <v>0</v>
      </c>
      <c r="E71" s="826"/>
      <c r="F71" s="2496"/>
      <c r="G71" s="1284"/>
      <c r="H71" s="1288" t="str">
        <f t="shared" si="20"/>
        <v>——</v>
      </c>
      <c r="I71" s="820">
        <v>0.3</v>
      </c>
      <c r="J71" s="1285">
        <f t="shared" si="21"/>
        <v>0</v>
      </c>
      <c r="K71" s="1285">
        <f t="shared" si="22"/>
        <v>0</v>
      </c>
      <c r="L71" s="1285">
        <v>0</v>
      </c>
      <c r="M71" s="1285">
        <f t="shared" si="23"/>
        <v>0</v>
      </c>
      <c r="N71" s="1285">
        <f t="shared" si="23"/>
        <v>0</v>
      </c>
      <c r="AA71" s="1371"/>
      <c r="AB71" s="1371"/>
      <c r="AC71" s="1371"/>
      <c r="AD71" s="1371"/>
      <c r="AE71" s="1371"/>
      <c r="AF71" s="1371"/>
      <c r="AG71" s="1371"/>
      <c r="AH71" s="1371"/>
      <c r="AI71" s="1371"/>
      <c r="AJ71" s="1371"/>
      <c r="AK71" s="1371"/>
    </row>
    <row r="72" spans="1:37" s="1370" customFormat="1" ht="24" hidden="1">
      <c r="A72" s="2865" t="s">
        <v>2952</v>
      </c>
      <c r="B72" s="2869">
        <f>估价对象房地状况!C19</f>
        <v>0</v>
      </c>
      <c r="C72" s="2765"/>
      <c r="D72" s="1286">
        <f t="shared" si="19"/>
        <v>0</v>
      </c>
      <c r="E72" s="826"/>
      <c r="F72" s="2496"/>
      <c r="G72" s="1284"/>
      <c r="H72" s="1288" t="str">
        <f t="shared" si="20"/>
        <v>——</v>
      </c>
      <c r="I72" s="820">
        <v>0.08</v>
      </c>
      <c r="J72" s="1285">
        <f t="shared" si="21"/>
        <v>0</v>
      </c>
      <c r="K72" s="1285">
        <f t="shared" si="22"/>
        <v>0</v>
      </c>
      <c r="L72" s="1285">
        <v>0</v>
      </c>
      <c r="M72" s="1285">
        <f t="shared" si="23"/>
        <v>0</v>
      </c>
      <c r="N72" s="1285">
        <f t="shared" si="23"/>
        <v>0</v>
      </c>
      <c r="AA72" s="1371"/>
      <c r="AB72" s="1371"/>
      <c r="AC72" s="1371"/>
      <c r="AD72" s="1371"/>
      <c r="AE72" s="1371"/>
      <c r="AF72" s="1371"/>
      <c r="AG72" s="1371"/>
      <c r="AH72" s="1371"/>
      <c r="AI72" s="1371"/>
      <c r="AJ72" s="1371"/>
      <c r="AK72" s="1371"/>
    </row>
    <row r="73" spans="1:37" s="1370" customFormat="1" ht="14.25" hidden="1">
      <c r="A73" s="2865" t="s">
        <v>2966</v>
      </c>
      <c r="B73" s="2869">
        <f>估价对象房地状况!C24</f>
        <v>0</v>
      </c>
      <c r="C73" s="2765"/>
      <c r="D73" s="1286">
        <f t="shared" si="19"/>
        <v>0</v>
      </c>
      <c r="E73" s="826"/>
      <c r="F73" s="2496"/>
      <c r="G73" s="1284"/>
      <c r="H73" s="1288" t="str">
        <f t="shared" si="20"/>
        <v>——</v>
      </c>
      <c r="I73" s="820">
        <v>0.04</v>
      </c>
      <c r="J73" s="1285">
        <f t="shared" si="21"/>
        <v>0</v>
      </c>
      <c r="K73" s="1285">
        <f t="shared" si="22"/>
        <v>0</v>
      </c>
      <c r="L73" s="1285">
        <v>0</v>
      </c>
      <c r="M73" s="1285">
        <f t="shared" si="23"/>
        <v>0</v>
      </c>
      <c r="N73" s="1285">
        <f t="shared" si="23"/>
        <v>0</v>
      </c>
      <c r="AA73" s="1371"/>
      <c r="AB73" s="1371"/>
      <c r="AC73" s="1371"/>
      <c r="AD73" s="1371"/>
      <c r="AE73" s="1371"/>
      <c r="AF73" s="1371"/>
      <c r="AG73" s="1371"/>
      <c r="AH73" s="1371"/>
      <c r="AI73" s="1371"/>
      <c r="AJ73" s="1371"/>
      <c r="AK73" s="1371"/>
    </row>
    <row r="74" spans="1:37" s="1370" customFormat="1" ht="25.5" hidden="1">
      <c r="A74" s="2865" t="s">
        <v>2958</v>
      </c>
      <c r="B74" s="1720" t="str">
        <f>估价对象房地状况!C21</f>
        <v>估价对象所在区域公共配套设施齐备情况</v>
      </c>
      <c r="C74" s="2765"/>
      <c r="D74" s="1286">
        <f t="shared" si="19"/>
        <v>0</v>
      </c>
      <c r="E74" s="826"/>
      <c r="F74" s="2496"/>
      <c r="G74" s="1284"/>
      <c r="H74" s="1288" t="str">
        <f t="shared" si="20"/>
        <v>——</v>
      </c>
      <c r="I74" s="820">
        <v>0.08</v>
      </c>
      <c r="J74" s="1285">
        <f t="shared" si="21"/>
        <v>0</v>
      </c>
      <c r="K74" s="1285">
        <f t="shared" si="22"/>
        <v>0</v>
      </c>
      <c r="L74" s="1285">
        <v>0</v>
      </c>
      <c r="M74" s="1285">
        <f t="shared" si="23"/>
        <v>0</v>
      </c>
      <c r="N74" s="1285">
        <f t="shared" si="23"/>
        <v>0</v>
      </c>
      <c r="AA74" s="1371"/>
      <c r="AB74" s="1371"/>
      <c r="AC74" s="1371"/>
      <c r="AD74" s="1371"/>
      <c r="AE74" s="1371"/>
      <c r="AF74" s="1371"/>
      <c r="AG74" s="1371"/>
      <c r="AH74" s="1371"/>
      <c r="AI74" s="1371"/>
      <c r="AJ74" s="1371"/>
      <c r="AK74" s="1371"/>
    </row>
    <row r="75" spans="1:37" s="1370" customFormat="1" ht="25.5" hidden="1">
      <c r="A75" s="2865" t="s">
        <v>2959</v>
      </c>
      <c r="B75" s="1720" t="str">
        <f>估价对象房地状况!C22</f>
        <v>估价对象所在区域基础设施水平</v>
      </c>
      <c r="C75" s="2765"/>
      <c r="D75" s="1286">
        <f t="shared" si="19"/>
        <v>0</v>
      </c>
      <c r="E75" s="826"/>
      <c r="F75" s="2496"/>
      <c r="G75" s="1284"/>
      <c r="H75" s="1288" t="str">
        <f t="shared" si="20"/>
        <v>——</v>
      </c>
      <c r="I75" s="820">
        <v>0.12</v>
      </c>
      <c r="J75" s="1285">
        <f t="shared" si="21"/>
        <v>0</v>
      </c>
      <c r="K75" s="1285">
        <f t="shared" si="22"/>
        <v>0</v>
      </c>
      <c r="L75" s="1285">
        <v>0</v>
      </c>
      <c r="M75" s="1285">
        <f t="shared" si="23"/>
        <v>0</v>
      </c>
      <c r="N75" s="1285">
        <f t="shared" si="23"/>
        <v>0</v>
      </c>
      <c r="AA75" s="1371"/>
      <c r="AB75" s="1371"/>
      <c r="AC75" s="1371"/>
      <c r="AD75" s="1371"/>
      <c r="AE75" s="1371"/>
      <c r="AF75" s="1371"/>
      <c r="AG75" s="1371"/>
      <c r="AH75" s="1371"/>
      <c r="AI75" s="1371"/>
      <c r="AJ75" s="1371"/>
      <c r="AK75" s="1371"/>
    </row>
    <row r="76" spans="1:37" s="2714" customFormat="1" ht="24" hidden="1">
      <c r="A76" s="2865" t="s">
        <v>2956</v>
      </c>
      <c r="B76" s="2871" t="s">
        <v>2957</v>
      </c>
      <c r="C76" s="2765"/>
      <c r="D76" s="1286">
        <f t="shared" si="19"/>
        <v>0</v>
      </c>
      <c r="E76" s="826"/>
      <c r="F76" s="2496"/>
      <c r="G76" s="1284"/>
      <c r="H76" s="1288" t="str">
        <f t="shared" si="20"/>
        <v>——</v>
      </c>
      <c r="I76" s="820">
        <v>0.05</v>
      </c>
      <c r="J76" s="1285">
        <f t="shared" si="21"/>
        <v>0</v>
      </c>
      <c r="K76" s="1285">
        <f t="shared" si="22"/>
        <v>0</v>
      </c>
      <c r="L76" s="1285">
        <v>0</v>
      </c>
      <c r="M76" s="1285">
        <f t="shared" si="23"/>
        <v>0</v>
      </c>
      <c r="N76" s="1285">
        <f t="shared" si="23"/>
        <v>0</v>
      </c>
      <c r="AA76" s="2876"/>
      <c r="AB76" s="1371"/>
      <c r="AC76" s="1371"/>
      <c r="AD76" s="1371"/>
      <c r="AE76" s="1371"/>
      <c r="AF76" s="1371"/>
      <c r="AG76" s="1371"/>
      <c r="AH76" s="2876"/>
      <c r="AI76" s="2876"/>
      <c r="AJ76" s="2876"/>
      <c r="AK76" s="2876"/>
    </row>
    <row r="77" spans="1:37" ht="38.25" hidden="1">
      <c r="A77" s="2865" t="s">
        <v>2960</v>
      </c>
      <c r="B77" s="2868" t="str">
        <f>估价对象房地状况!C20</f>
        <v>区域自然环境：；人文环境；综合评价环境状况一般</v>
      </c>
      <c r="C77" s="2765"/>
      <c r="D77" s="1286">
        <f t="shared" si="19"/>
        <v>0</v>
      </c>
      <c r="E77" s="826"/>
      <c r="F77" s="2496"/>
      <c r="G77" s="1284"/>
      <c r="H77" s="1288" t="str">
        <f t="shared" si="20"/>
        <v>——</v>
      </c>
      <c r="I77" s="820">
        <v>0.15</v>
      </c>
      <c r="J77" s="1285">
        <f t="shared" si="21"/>
        <v>0</v>
      </c>
      <c r="K77" s="1285">
        <f t="shared" si="22"/>
        <v>0</v>
      </c>
      <c r="L77" s="1285">
        <v>0</v>
      </c>
      <c r="M77" s="1285">
        <f t="shared" si="23"/>
        <v>0</v>
      </c>
      <c r="N77" s="1285">
        <f t="shared" si="23"/>
        <v>0</v>
      </c>
      <c r="Z77" s="2715"/>
      <c r="AA77" s="2783"/>
      <c r="AG77" s="1372"/>
      <c r="AK77" s="2783"/>
    </row>
    <row r="78" spans="1:37" ht="24.75" hidden="1" thickBot="1">
      <c r="A78" s="2873" t="s">
        <v>2967</v>
      </c>
      <c r="B78" s="2877"/>
      <c r="C78" s="2765"/>
      <c r="D78" s="1286">
        <f t="shared" si="19"/>
        <v>0</v>
      </c>
      <c r="E78" s="827"/>
      <c r="F78" s="2496"/>
      <c r="G78" s="1284"/>
      <c r="H78" s="1288" t="str">
        <f t="shared" si="20"/>
        <v>——</v>
      </c>
      <c r="I78" s="824">
        <v>0.04</v>
      </c>
      <c r="J78" s="1285">
        <f t="shared" si="21"/>
        <v>0</v>
      </c>
      <c r="K78" s="1285">
        <f t="shared" si="22"/>
        <v>0</v>
      </c>
      <c r="L78" s="1285">
        <v>0</v>
      </c>
      <c r="M78" s="1285">
        <f t="shared" si="23"/>
        <v>0</v>
      </c>
      <c r="N78" s="1285">
        <f t="shared" si="23"/>
        <v>0</v>
      </c>
      <c r="Z78" s="2715"/>
      <c r="AA78" s="2783"/>
      <c r="AG78" s="1372"/>
      <c r="AK78" s="2783"/>
    </row>
    <row r="79" spans="1:37" ht="15">
      <c r="A79" s="2861" t="s">
        <v>2968</v>
      </c>
      <c r="B79" s="2862">
        <f>1+E81</f>
        <v>1.0388999999999999</v>
      </c>
      <c r="C79" s="814"/>
      <c r="D79" s="814"/>
      <c r="E79" s="815"/>
      <c r="F79" s="2864"/>
      <c r="G79" s="6"/>
      <c r="H79" s="6"/>
      <c r="I79" s="6"/>
      <c r="J79" s="7"/>
      <c r="K79" s="7"/>
      <c r="L79" s="7"/>
      <c r="M79" s="7"/>
      <c r="N79" s="7"/>
      <c r="Z79" s="2715"/>
      <c r="AA79" s="2783"/>
      <c r="AG79" s="1372"/>
      <c r="AK79" s="2783"/>
    </row>
    <row r="80" spans="1:37" ht="24.75">
      <c r="A80" s="2865" t="s">
        <v>2942</v>
      </c>
      <c r="B80" s="1804"/>
      <c r="C80" s="1804" t="s">
        <v>2944</v>
      </c>
      <c r="D80" s="1804" t="s">
        <v>2945</v>
      </c>
      <c r="E80" s="819" t="s">
        <v>2946</v>
      </c>
      <c r="F80" s="2866" t="s">
        <v>2962</v>
      </c>
      <c r="G80" s="1804" t="s">
        <v>754</v>
      </c>
      <c r="H80" s="2867" t="s">
        <v>2948</v>
      </c>
      <c r="I80" s="1804" t="s">
        <v>2949</v>
      </c>
      <c r="J80" s="603" t="s">
        <v>2598</v>
      </c>
      <c r="K80" s="603" t="s">
        <v>2599</v>
      </c>
      <c r="L80" s="603" t="s">
        <v>2600</v>
      </c>
      <c r="M80" s="603" t="s">
        <v>2601</v>
      </c>
      <c r="N80" s="603" t="s">
        <v>2602</v>
      </c>
      <c r="Z80" s="2715"/>
      <c r="AA80" s="2783"/>
      <c r="AG80" s="1372"/>
      <c r="AK80" s="2783"/>
    </row>
    <row r="81" spans="1:37" ht="38.25">
      <c r="A81" s="2865" t="s">
        <v>2969</v>
      </c>
      <c r="B81" s="2869" t="str">
        <f>估价对象房地状况!G15</f>
        <v>估价对象位于XX开发区，园区建设成熟度XX，产业集聚程度XX</v>
      </c>
      <c r="C81" s="2765" t="s">
        <v>3080</v>
      </c>
      <c r="D81" s="1286">
        <f t="shared" ref="D81:D88" si="24">SUMIF($J$80:$N$80,C81,J81:N81)</f>
        <v>1.78E-2</v>
      </c>
      <c r="E81" s="821">
        <f>ROUND(SUM(D81:D88),4)</f>
        <v>3.8899999999999997E-2</v>
      </c>
      <c r="F81" s="2496">
        <f>IF(E2="工业",SUMIF(L1:L12,G2,N1:N12),"——")</f>
        <v>0.13700000000000001</v>
      </c>
      <c r="G81" s="1284">
        <v>1.78E-2</v>
      </c>
      <c r="H81" s="1288">
        <f t="shared" ref="H81:H88" si="25">IFERROR(ROUNDDOWN($F$81*I81/2,4),"——")</f>
        <v>1.78E-2</v>
      </c>
      <c r="I81" s="820">
        <v>0.26</v>
      </c>
      <c r="J81" s="1285">
        <f t="shared" ref="J81:J88" si="26">K81+$G81</f>
        <v>3.56E-2</v>
      </c>
      <c r="K81" s="1285">
        <f t="shared" ref="K81:K88" si="27">$L81+$G81</f>
        <v>1.78E-2</v>
      </c>
      <c r="L81" s="1285">
        <v>0</v>
      </c>
      <c r="M81" s="1285">
        <f t="shared" ref="M81:N88" si="28">L81-$G81</f>
        <v>-1.78E-2</v>
      </c>
      <c r="N81" s="1285">
        <f t="shared" si="28"/>
        <v>-3.56E-2</v>
      </c>
      <c r="Z81" s="2715"/>
      <c r="AA81" s="2783"/>
      <c r="AG81" s="1372"/>
      <c r="AK81" s="2783"/>
    </row>
    <row r="82" spans="1:37" ht="51">
      <c r="A82" s="2865" t="s">
        <v>2951</v>
      </c>
      <c r="B82" s="2869" t="str">
        <f>估价对象房地状况!G16</f>
        <v>估价对象周边道路状况、公共交通通达情况、停车便捷程度，综合评价交通便捷度较好</v>
      </c>
      <c r="C82" s="2765" t="s">
        <v>3081</v>
      </c>
      <c r="D82" s="1286">
        <f t="shared" si="24"/>
        <v>0</v>
      </c>
      <c r="E82" s="826"/>
      <c r="F82" s="2496"/>
      <c r="G82" s="1284">
        <v>2.2599999999999999E-2</v>
      </c>
      <c r="H82" s="1288">
        <f t="shared" si="25"/>
        <v>2.2599999999999999E-2</v>
      </c>
      <c r="I82" s="820">
        <v>0.33</v>
      </c>
      <c r="J82" s="1285">
        <f t="shared" si="26"/>
        <v>4.5199999999999997E-2</v>
      </c>
      <c r="K82" s="1285">
        <f t="shared" si="27"/>
        <v>2.2599999999999999E-2</v>
      </c>
      <c r="L82" s="1285">
        <v>0</v>
      </c>
      <c r="M82" s="1285">
        <f t="shared" si="28"/>
        <v>-2.2599999999999999E-2</v>
      </c>
      <c r="N82" s="1285">
        <f t="shared" si="28"/>
        <v>-4.5199999999999997E-2</v>
      </c>
      <c r="Z82" s="2715"/>
      <c r="AA82" s="2783"/>
      <c r="AG82" s="1372"/>
      <c r="AK82" s="2783"/>
    </row>
    <row r="83" spans="1:37" ht="24">
      <c r="A83" s="2865" t="s">
        <v>2952</v>
      </c>
      <c r="B83" s="2869">
        <f>估价对象房地状况!G17</f>
        <v>0</v>
      </c>
      <c r="C83" s="2765" t="s">
        <v>3080</v>
      </c>
      <c r="D83" s="1286">
        <f t="shared" si="24"/>
        <v>3.3999999999999998E-3</v>
      </c>
      <c r="E83" s="826"/>
      <c r="F83" s="2496"/>
      <c r="G83" s="1284">
        <v>3.3999999999999998E-3</v>
      </c>
      <c r="H83" s="1288">
        <f t="shared" si="25"/>
        <v>3.3999999999999998E-3</v>
      </c>
      <c r="I83" s="820">
        <v>0.05</v>
      </c>
      <c r="J83" s="1285">
        <f t="shared" si="26"/>
        <v>6.7999999999999996E-3</v>
      </c>
      <c r="K83" s="1285">
        <f t="shared" si="27"/>
        <v>3.3999999999999998E-3</v>
      </c>
      <c r="L83" s="1285">
        <v>0</v>
      </c>
      <c r="M83" s="1285">
        <f t="shared" si="28"/>
        <v>-3.3999999999999998E-3</v>
      </c>
      <c r="N83" s="1285">
        <f t="shared" si="28"/>
        <v>-6.7999999999999996E-3</v>
      </c>
      <c r="Z83" s="2715"/>
      <c r="AA83" s="2783"/>
      <c r="AG83" s="1372"/>
      <c r="AK83" s="2783"/>
    </row>
    <row r="84" spans="1:37" ht="14.25">
      <c r="A84" s="2865" t="s">
        <v>2966</v>
      </c>
      <c r="B84" s="2869">
        <f>估价对象房地状况!G22</f>
        <v>0</v>
      </c>
      <c r="C84" s="2765" t="s">
        <v>3081</v>
      </c>
      <c r="D84" s="1286">
        <f t="shared" si="24"/>
        <v>0</v>
      </c>
      <c r="E84" s="826"/>
      <c r="F84" s="2496"/>
      <c r="G84" s="1284">
        <v>2.7000000000000001E-3</v>
      </c>
      <c r="H84" s="1288">
        <f t="shared" si="25"/>
        <v>2.7000000000000001E-3</v>
      </c>
      <c r="I84" s="820">
        <v>0.04</v>
      </c>
      <c r="J84" s="1285">
        <f t="shared" si="26"/>
        <v>5.4000000000000003E-3</v>
      </c>
      <c r="K84" s="1285">
        <f t="shared" si="27"/>
        <v>2.7000000000000001E-3</v>
      </c>
      <c r="L84" s="1285">
        <v>0</v>
      </c>
      <c r="M84" s="1285">
        <f t="shared" si="28"/>
        <v>-2.7000000000000001E-3</v>
      </c>
      <c r="N84" s="1285">
        <f t="shared" si="28"/>
        <v>-5.4000000000000003E-3</v>
      </c>
      <c r="Z84" s="2715"/>
      <c r="AA84" s="2783"/>
      <c r="AG84" s="1372"/>
      <c r="AK84" s="2783"/>
    </row>
    <row r="85" spans="1:37" ht="25.5">
      <c r="A85" s="2865" t="s">
        <v>2958</v>
      </c>
      <c r="B85" s="1720" t="str">
        <f>估价对象房地状况!G19</f>
        <v>估价对象所在区域公共配套设施齐备情况</v>
      </c>
      <c r="C85" s="2765" t="s">
        <v>3081</v>
      </c>
      <c r="D85" s="1286">
        <f t="shared" si="24"/>
        <v>0</v>
      </c>
      <c r="E85" s="826"/>
      <c r="F85" s="2496"/>
      <c r="G85" s="1284">
        <v>4.1000000000000003E-3</v>
      </c>
      <c r="H85" s="1288">
        <f t="shared" si="25"/>
        <v>4.1000000000000003E-3</v>
      </c>
      <c r="I85" s="820">
        <v>0.06</v>
      </c>
      <c r="J85" s="1285">
        <f t="shared" si="26"/>
        <v>8.2000000000000007E-3</v>
      </c>
      <c r="K85" s="1285">
        <f t="shared" si="27"/>
        <v>4.1000000000000003E-3</v>
      </c>
      <c r="L85" s="1285">
        <v>0</v>
      </c>
      <c r="M85" s="1285">
        <f t="shared" si="28"/>
        <v>-4.1000000000000003E-3</v>
      </c>
      <c r="N85" s="1285">
        <f t="shared" si="28"/>
        <v>-8.2000000000000007E-3</v>
      </c>
      <c r="Z85" s="2715"/>
      <c r="AA85" s="2783"/>
      <c r="AG85" s="1372"/>
      <c r="AK85" s="2783"/>
    </row>
    <row r="86" spans="1:37" ht="25.5">
      <c r="A86" s="2865" t="s">
        <v>2959</v>
      </c>
      <c r="B86" s="1720" t="str">
        <f>估价对象房地状况!G20</f>
        <v>估价对象所在区域基础设施水平</v>
      </c>
      <c r="C86" s="2765" t="s">
        <v>3080</v>
      </c>
      <c r="D86" s="1286">
        <f t="shared" si="24"/>
        <v>1.0200000000000001E-2</v>
      </c>
      <c r="E86" s="826"/>
      <c r="F86" s="2496"/>
      <c r="G86" s="1284">
        <v>1.0200000000000001E-2</v>
      </c>
      <c r="H86" s="1288">
        <f t="shared" si="25"/>
        <v>1.0200000000000001E-2</v>
      </c>
      <c r="I86" s="820">
        <v>0.15</v>
      </c>
      <c r="J86" s="1285">
        <f t="shared" si="26"/>
        <v>2.0400000000000001E-2</v>
      </c>
      <c r="K86" s="1285">
        <f t="shared" si="27"/>
        <v>1.0200000000000001E-2</v>
      </c>
      <c r="L86" s="1285">
        <v>0</v>
      </c>
      <c r="M86" s="1285">
        <f t="shared" si="28"/>
        <v>-1.0200000000000001E-2</v>
      </c>
      <c r="N86" s="1285">
        <f t="shared" si="28"/>
        <v>-2.0400000000000001E-2</v>
      </c>
      <c r="Z86" s="2715"/>
      <c r="AA86" s="2783"/>
      <c r="AG86" s="1372"/>
      <c r="AK86" s="2783"/>
    </row>
    <row r="87" spans="1:37" ht="24">
      <c r="A87" s="2865" t="s">
        <v>2956</v>
      </c>
      <c r="B87" s="2871" t="s">
        <v>2970</v>
      </c>
      <c r="C87" s="2765" t="s">
        <v>3080</v>
      </c>
      <c r="D87" s="1286">
        <f t="shared" si="24"/>
        <v>3.3999999999999998E-3</v>
      </c>
      <c r="E87" s="826"/>
      <c r="F87" s="2496"/>
      <c r="G87" s="1284">
        <v>3.3999999999999998E-3</v>
      </c>
      <c r="H87" s="1288">
        <f t="shared" si="25"/>
        <v>3.3999999999999998E-3</v>
      </c>
      <c r="I87" s="820">
        <v>0.05</v>
      </c>
      <c r="J87" s="1285">
        <f t="shared" si="26"/>
        <v>6.7999999999999996E-3</v>
      </c>
      <c r="K87" s="1285">
        <f t="shared" si="27"/>
        <v>3.3999999999999998E-3</v>
      </c>
      <c r="L87" s="1285">
        <v>0</v>
      </c>
      <c r="M87" s="1285">
        <f t="shared" si="28"/>
        <v>-3.3999999999999998E-3</v>
      </c>
      <c r="N87" s="1285">
        <f t="shared" si="28"/>
        <v>-6.7999999999999996E-3</v>
      </c>
      <c r="Z87" s="2715"/>
      <c r="AA87" s="2783"/>
      <c r="AG87" s="1372"/>
      <c r="AK87" s="2783"/>
    </row>
    <row r="88" spans="1:37" ht="39" thickBot="1">
      <c r="A88" s="2873" t="s">
        <v>2971</v>
      </c>
      <c r="B88" s="2878" t="str">
        <f>估价对象房地状况!G18</f>
        <v>该园区内是否有污染型企业，绿化情况，卫生条件，整体环境状况判断</v>
      </c>
      <c r="C88" s="2765" t="s">
        <v>3080</v>
      </c>
      <c r="D88" s="1286">
        <f t="shared" si="24"/>
        <v>4.1000000000000003E-3</v>
      </c>
      <c r="E88" s="827"/>
      <c r="F88" s="2496"/>
      <c r="G88" s="1284">
        <v>4.1000000000000003E-3</v>
      </c>
      <c r="H88" s="1288">
        <f t="shared" si="25"/>
        <v>4.1000000000000003E-3</v>
      </c>
      <c r="I88" s="824">
        <v>0.06</v>
      </c>
      <c r="J88" s="1285">
        <f t="shared" si="26"/>
        <v>8.2000000000000007E-3</v>
      </c>
      <c r="K88" s="1285">
        <f t="shared" si="27"/>
        <v>4.1000000000000003E-3</v>
      </c>
      <c r="L88" s="1285">
        <v>0</v>
      </c>
      <c r="M88" s="1285">
        <f t="shared" si="28"/>
        <v>-4.1000000000000003E-3</v>
      </c>
      <c r="N88" s="1285">
        <f t="shared" si="28"/>
        <v>-8.2000000000000007E-3</v>
      </c>
      <c r="Z88" s="2715"/>
      <c r="AA88" s="2783"/>
      <c r="AG88" s="1372"/>
      <c r="AK88" s="2783"/>
    </row>
    <row r="90" spans="1:37">
      <c r="A90" s="3254" t="s">
        <v>2972</v>
      </c>
      <c r="B90" s="3254"/>
      <c r="C90" s="3254"/>
      <c r="D90" s="3254"/>
      <c r="E90" s="3254"/>
      <c r="F90" s="3254"/>
      <c r="G90" s="3254"/>
      <c r="H90" s="3254"/>
      <c r="I90" s="3254"/>
      <c r="J90" s="3254"/>
      <c r="K90" s="2879"/>
      <c r="L90" s="2879"/>
      <c r="M90" s="2879"/>
      <c r="N90" s="2879"/>
    </row>
    <row r="91" spans="1:37">
      <c r="A91" s="3256" t="s">
        <v>2973</v>
      </c>
      <c r="B91" s="3256" t="s">
        <v>2974</v>
      </c>
      <c r="C91" s="2833" t="s">
        <v>2975</v>
      </c>
      <c r="D91" s="2834"/>
      <c r="E91" s="2834"/>
      <c r="F91" s="2834"/>
      <c r="G91" s="2834"/>
      <c r="H91" s="2834"/>
      <c r="I91" s="2834"/>
      <c r="J91" s="2880"/>
      <c r="K91" s="2881"/>
      <c r="L91" s="2881"/>
      <c r="M91" s="2881"/>
      <c r="N91" s="2881"/>
    </row>
    <row r="92" spans="1:37">
      <c r="A92" s="3256"/>
      <c r="B92" s="3256"/>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57" t="s">
        <v>2976</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58"/>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58"/>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58"/>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58"/>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58"/>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58"/>
      <c r="B99" s="2882" t="s">
        <v>2858</v>
      </c>
      <c r="C99" s="2884">
        <f>$I$3</f>
        <v>0</v>
      </c>
      <c r="D99" s="2884">
        <f t="shared" ref="D99:M99" si="29">$I$3</f>
        <v>0</v>
      </c>
      <c r="E99" s="2884">
        <f t="shared" si="29"/>
        <v>0</v>
      </c>
      <c r="F99" s="2884">
        <f t="shared" si="29"/>
        <v>0</v>
      </c>
      <c r="G99" s="2884">
        <f t="shared" si="29"/>
        <v>0</v>
      </c>
      <c r="H99" s="2884">
        <f t="shared" si="29"/>
        <v>0</v>
      </c>
      <c r="I99" s="2884">
        <f t="shared" si="29"/>
        <v>0</v>
      </c>
      <c r="J99" s="2884">
        <f t="shared" si="29"/>
        <v>0</v>
      </c>
      <c r="K99" s="2884">
        <f t="shared" si="29"/>
        <v>0</v>
      </c>
      <c r="L99" s="2884">
        <f t="shared" si="29"/>
        <v>0</v>
      </c>
      <c r="M99" s="2884">
        <f t="shared" si="29"/>
        <v>0</v>
      </c>
      <c r="N99" s="2884">
        <f>$I$3</f>
        <v>0</v>
      </c>
    </row>
    <row r="100" spans="1:14">
      <c r="A100" s="3259"/>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57" t="s">
        <v>2977</v>
      </c>
      <c r="B101" s="2886" t="s">
        <v>2978</v>
      </c>
      <c r="C101" s="2887">
        <f>$G$3</f>
        <v>0.37</v>
      </c>
      <c r="D101" s="2887">
        <f t="shared" ref="D101:N101" si="30">$G$3</f>
        <v>0.37</v>
      </c>
      <c r="E101" s="2887">
        <f t="shared" si="30"/>
        <v>0.37</v>
      </c>
      <c r="F101" s="2887">
        <f t="shared" si="30"/>
        <v>0.37</v>
      </c>
      <c r="G101" s="2887">
        <f t="shared" si="30"/>
        <v>0.37</v>
      </c>
      <c r="H101" s="2887">
        <f t="shared" si="30"/>
        <v>0.37</v>
      </c>
      <c r="I101" s="2887">
        <f t="shared" si="30"/>
        <v>0.37</v>
      </c>
      <c r="J101" s="2887">
        <f t="shared" si="30"/>
        <v>0.37</v>
      </c>
      <c r="K101" s="2887">
        <f t="shared" si="30"/>
        <v>0.37</v>
      </c>
      <c r="L101" s="2887">
        <f t="shared" si="30"/>
        <v>0.37</v>
      </c>
      <c r="M101" s="2887">
        <f t="shared" si="30"/>
        <v>0.37</v>
      </c>
      <c r="N101" s="2887">
        <f t="shared" si="30"/>
        <v>0.37</v>
      </c>
    </row>
    <row r="102" spans="1:14">
      <c r="A102" s="3258"/>
      <c r="B102" s="2882">
        <v>1</v>
      </c>
      <c r="C102" s="2883">
        <f>1.9362/C101</f>
        <v>5.2329729729729726</v>
      </c>
      <c r="D102" s="2883">
        <f>1.9362/D101</f>
        <v>5.2329729729729726</v>
      </c>
      <c r="E102" s="2883">
        <f>1.8629/E101</f>
        <v>5.0348648648648648</v>
      </c>
      <c r="F102" s="2883">
        <f>1.8629/F101</f>
        <v>5.0348648648648648</v>
      </c>
      <c r="G102" s="2883">
        <f>1.8629/G101</f>
        <v>5.0348648648648648</v>
      </c>
      <c r="H102" s="2883">
        <f>1.8629/H101</f>
        <v>5.0348648648648648</v>
      </c>
      <c r="I102" s="2883">
        <f>1.8629/I101</f>
        <v>5.0348648648648648</v>
      </c>
      <c r="J102" s="2883">
        <f>1.942/J101</f>
        <v>5.2486486486486488</v>
      </c>
      <c r="K102" s="2883">
        <f>1.942/K101</f>
        <v>5.2486486486486488</v>
      </c>
      <c r="L102" s="2883">
        <f>1.942/L101</f>
        <v>5.2486486486486488</v>
      </c>
      <c r="M102" s="2883">
        <f>1.942/M101</f>
        <v>5.2486486486486488</v>
      </c>
      <c r="N102" s="2883">
        <f>1.942/N101</f>
        <v>5.2486486486486488</v>
      </c>
    </row>
    <row r="103" spans="1:14">
      <c r="A103" s="3258"/>
      <c r="B103" s="2882">
        <v>2</v>
      </c>
      <c r="C103" s="2883">
        <f>1.4198/C101</f>
        <v>3.8372972972972974</v>
      </c>
      <c r="D103" s="2883">
        <f>1.4198/D101</f>
        <v>3.8372972972972974</v>
      </c>
      <c r="E103" s="2883">
        <f>1.3372/E101</f>
        <v>3.614054054054054</v>
      </c>
      <c r="F103" s="2883">
        <f>1.3372/F101</f>
        <v>3.614054054054054</v>
      </c>
      <c r="G103" s="2883">
        <f>1.3372/G101</f>
        <v>3.614054054054054</v>
      </c>
      <c r="H103" s="2883">
        <f>1.3372/H101</f>
        <v>3.614054054054054</v>
      </c>
      <c r="I103" s="2883">
        <f>1.3372/I101</f>
        <v>3.614054054054054</v>
      </c>
      <c r="J103" s="2883">
        <f>1.2799/J101</f>
        <v>3.4591891891891895</v>
      </c>
      <c r="K103" s="2883">
        <f>1.2799/K101</f>
        <v>3.4591891891891895</v>
      </c>
      <c r="L103" s="2883">
        <f>1.2799/L101</f>
        <v>3.4591891891891895</v>
      </c>
      <c r="M103" s="2883">
        <f>1.2799/M101</f>
        <v>3.4591891891891895</v>
      </c>
      <c r="N103" s="2883">
        <f>1.2799/N101</f>
        <v>3.4591891891891895</v>
      </c>
    </row>
    <row r="104" spans="1:14">
      <c r="A104" s="3258"/>
      <c r="B104" s="2882">
        <v>3</v>
      </c>
      <c r="C104" s="2883">
        <f>1.1594/C101</f>
        <v>3.1335135135135137</v>
      </c>
      <c r="D104" s="2883">
        <f>1.1594/D101</f>
        <v>3.1335135135135137</v>
      </c>
      <c r="E104" s="2883">
        <f>1.0788/E101</f>
        <v>2.9156756756756756</v>
      </c>
      <c r="F104" s="2883">
        <f>1.0788/F101</f>
        <v>2.9156756756756756</v>
      </c>
      <c r="G104" s="2883">
        <f>1.0788/G101</f>
        <v>2.9156756756756756</v>
      </c>
      <c r="H104" s="2883">
        <f>1.0788/H101</f>
        <v>2.9156756756756756</v>
      </c>
      <c r="I104" s="2883">
        <f>1.0788/I101</f>
        <v>2.9156756756756756</v>
      </c>
      <c r="J104" s="2883">
        <f>1.0072/J101</f>
        <v>2.7221621621621623</v>
      </c>
      <c r="K104" s="2883">
        <f>1.0072/K101</f>
        <v>2.7221621621621623</v>
      </c>
      <c r="L104" s="2883">
        <f>1.0072/L101</f>
        <v>2.7221621621621623</v>
      </c>
      <c r="M104" s="2883">
        <f>1.0072/M101</f>
        <v>2.7221621621621623</v>
      </c>
      <c r="N104" s="2883">
        <f>1.0072/N101</f>
        <v>2.7221621621621623</v>
      </c>
    </row>
    <row r="105" spans="1:14">
      <c r="A105" s="3258"/>
      <c r="B105" s="2882">
        <v>4</v>
      </c>
      <c r="C105" s="2883">
        <f>0.9622/C101</f>
        <v>2.6005405405405408</v>
      </c>
      <c r="D105" s="2883">
        <f>0.9622/D101</f>
        <v>2.6005405405405408</v>
      </c>
      <c r="E105" s="2883">
        <f>0.8656/E101</f>
        <v>2.3394594594594595</v>
      </c>
      <c r="F105" s="2883">
        <f>0.8656/F101</f>
        <v>2.3394594594594595</v>
      </c>
      <c r="G105" s="2883">
        <f>0.8656/G101</f>
        <v>2.3394594594594595</v>
      </c>
      <c r="H105" s="2883">
        <f>0.8656/H101</f>
        <v>2.3394594594594595</v>
      </c>
      <c r="I105" s="2883">
        <f>0.8656/I101</f>
        <v>2.3394594594594595</v>
      </c>
      <c r="J105" s="2883">
        <f>0.7525/J101</f>
        <v>2.0337837837837838</v>
      </c>
      <c r="K105" s="2883">
        <f>0.7525/K101</f>
        <v>2.0337837837837838</v>
      </c>
      <c r="L105" s="2883">
        <f>0.7525/L101</f>
        <v>2.0337837837837838</v>
      </c>
      <c r="M105" s="2883">
        <f>0.7525/M101</f>
        <v>2.0337837837837838</v>
      </c>
      <c r="N105" s="2883">
        <f>0.7525/N101</f>
        <v>2.0337837837837838</v>
      </c>
    </row>
    <row r="106" spans="1:14">
      <c r="A106" s="3258"/>
      <c r="B106" s="2882">
        <v>5</v>
      </c>
      <c r="C106" s="2883">
        <f>0.8417/C101</f>
        <v>2.2748648648648651</v>
      </c>
      <c r="D106" s="2883">
        <f>0.8417/D101</f>
        <v>2.2748648648648651</v>
      </c>
      <c r="E106" s="2883">
        <f>0.7371/E101</f>
        <v>1.9921621621621621</v>
      </c>
      <c r="F106" s="2883">
        <f>0.7371/F101</f>
        <v>1.9921621621621621</v>
      </c>
      <c r="G106" s="2883">
        <f>0.7371/G101</f>
        <v>1.9921621621621621</v>
      </c>
      <c r="H106" s="2883">
        <f>0.7371/H101</f>
        <v>1.9921621621621621</v>
      </c>
      <c r="I106" s="2883">
        <f>0.7371/I101</f>
        <v>1.9921621621621621</v>
      </c>
      <c r="J106" s="2883">
        <f>0.5659/J101</f>
        <v>1.5294594594594593</v>
      </c>
      <c r="K106" s="2883">
        <f>0.5659/K101</f>
        <v>1.5294594594594593</v>
      </c>
      <c r="L106" s="2883">
        <f>0.5659/L101</f>
        <v>1.5294594594594593</v>
      </c>
      <c r="M106" s="2883">
        <f>0.5659/M101</f>
        <v>1.5294594594594593</v>
      </c>
      <c r="N106" s="2883">
        <f>0.5659/N101</f>
        <v>1.5294594594594593</v>
      </c>
    </row>
    <row r="107" spans="1:14">
      <c r="A107" s="3258"/>
      <c r="B107" s="2882">
        <v>6</v>
      </c>
      <c r="C107" s="2883">
        <f>0.7608/C101</f>
        <v>2.0562162162162165</v>
      </c>
      <c r="D107" s="2883">
        <f>0.7608/D101</f>
        <v>2.0562162162162165</v>
      </c>
      <c r="E107" s="2883">
        <f>0.6482/E101</f>
        <v>1.751891891891892</v>
      </c>
      <c r="F107" s="2883">
        <f>0.6482/F101</f>
        <v>1.751891891891892</v>
      </c>
      <c r="G107" s="2883">
        <f>0.6482/G101</f>
        <v>1.751891891891892</v>
      </c>
      <c r="H107" s="2883">
        <f>0.6482/H101</f>
        <v>1.751891891891892</v>
      </c>
      <c r="I107" s="2883">
        <f>0.6482/I101</f>
        <v>1.751891891891892</v>
      </c>
      <c r="J107" s="2883">
        <f>0.4525/J101</f>
        <v>1.222972972972973</v>
      </c>
      <c r="K107" s="2883">
        <f>0.4525/K101</f>
        <v>1.222972972972973</v>
      </c>
      <c r="L107" s="2883">
        <f>0.4525/L101</f>
        <v>1.222972972972973</v>
      </c>
      <c r="M107" s="2883">
        <f>0.4525/M101</f>
        <v>1.222972972972973</v>
      </c>
      <c r="N107" s="2883">
        <f>0.4525/N101</f>
        <v>1.222972972972973</v>
      </c>
    </row>
    <row r="108" spans="1:14">
      <c r="A108" s="3258"/>
      <c r="B108" s="3086" t="s">
        <v>2979</v>
      </c>
      <c r="C108" s="2884">
        <f>C99</f>
        <v>0</v>
      </c>
      <c r="D108" s="2884">
        <f t="shared" ref="D108:N108" si="31">D99</f>
        <v>0</v>
      </c>
      <c r="E108" s="2884">
        <f t="shared" si="31"/>
        <v>0</v>
      </c>
      <c r="F108" s="2884">
        <f t="shared" si="31"/>
        <v>0</v>
      </c>
      <c r="G108" s="2884">
        <f t="shared" si="31"/>
        <v>0</v>
      </c>
      <c r="H108" s="2884">
        <f t="shared" si="31"/>
        <v>0</v>
      </c>
      <c r="I108" s="2884">
        <f t="shared" si="31"/>
        <v>0</v>
      </c>
      <c r="J108" s="2884">
        <f t="shared" si="31"/>
        <v>0</v>
      </c>
      <c r="K108" s="2884">
        <f t="shared" si="31"/>
        <v>0</v>
      </c>
      <c r="L108" s="2884">
        <f t="shared" si="31"/>
        <v>0</v>
      </c>
      <c r="M108" s="2884">
        <f t="shared" si="31"/>
        <v>0</v>
      </c>
      <c r="N108" s="2884">
        <f t="shared" si="31"/>
        <v>0</v>
      </c>
    </row>
    <row r="109" spans="1:14">
      <c r="A109" s="3259"/>
      <c r="B109" s="3087"/>
      <c r="C109" s="2885">
        <f>(-0.163*(C108^2)-0.59*C108+7617)*(10^(-4))/C101</f>
        <v>2.0586486486486488</v>
      </c>
      <c r="D109" s="2885">
        <f>(-0.163*(D108^2)-0.59*D108+7617)*(10^(-4))/D101</f>
        <v>2.0586486486486488</v>
      </c>
      <c r="E109" s="2885">
        <f>(-0.161*(E108^2)-7.509*E108+6533)*(10^(-4))/E101</f>
        <v>1.7656756756756757</v>
      </c>
      <c r="F109" s="2885">
        <f>(-0.161*(F108^2)-7.509*F108+6533)*(10^(-4))/F101</f>
        <v>1.7656756756756757</v>
      </c>
      <c r="G109" s="2885">
        <f>(-0.161*(G108^2)-7.509*G108+6533)*(10^(-4))/G101</f>
        <v>1.7656756756756757</v>
      </c>
      <c r="H109" s="2885">
        <f>(-0.161*(H108^2)-7.509*H108+6533)*(10^(-4))/H101</f>
        <v>1.7656756756756757</v>
      </c>
      <c r="I109" s="2885">
        <f>(-0.161*(I108^2)-7.509*I108+6533)*(10^(-4))/I101</f>
        <v>1.7656756756756757</v>
      </c>
      <c r="J109" s="2885">
        <f>(-0.214*(J108^2)-21.991*J108+4665)*(10^(-4))/J101</f>
        <v>1.2608108108108109</v>
      </c>
      <c r="K109" s="2885">
        <f>(-0.214*(K108^2)-21.991*K108+4665)*(10^(-4))/K101</f>
        <v>1.2608108108108109</v>
      </c>
      <c r="L109" s="2885">
        <f>(-0.214*(L108^2)-21.991*L108+4665)*(10^(-4))/L101</f>
        <v>1.2608108108108109</v>
      </c>
      <c r="M109" s="2885">
        <f>(-0.214*(M108^2)-21.991*M108+4665)*(10^(-4))/M101</f>
        <v>1.2608108108108109</v>
      </c>
      <c r="N109" s="2885">
        <f>(-0.214*(N108^2)-21.991*N108+4665)*(10^(-4))/N101</f>
        <v>1.2608108108108109</v>
      </c>
    </row>
    <row r="110" spans="1:14">
      <c r="A110" s="3255" t="s">
        <v>2980</v>
      </c>
      <c r="B110" s="3255"/>
      <c r="C110" s="3255"/>
      <c r="D110" s="3255"/>
      <c r="E110" s="3255"/>
      <c r="F110" s="3255"/>
      <c r="G110" s="3255"/>
      <c r="H110" s="3255"/>
      <c r="I110" s="3255"/>
      <c r="J110" s="3255"/>
      <c r="K110" s="2888"/>
      <c r="L110" s="2888"/>
      <c r="M110" s="2888"/>
      <c r="N110" s="2888"/>
    </row>
    <row r="112" spans="1:14" ht="13.5" thickBot="1"/>
    <row r="113" spans="1:13" ht="25.5" thickBot="1">
      <c r="A113" s="903" t="s">
        <v>2981</v>
      </c>
      <c r="B113" s="1287">
        <f>G3</f>
        <v>0.37</v>
      </c>
      <c r="C113" s="904" t="s">
        <v>2982</v>
      </c>
      <c r="D113" s="905">
        <f>SUMPRODUCT((A115:A118=F113)*(B114:M114=H113)*B115:M118)</f>
        <v>0.56169999999999998</v>
      </c>
      <c r="E113" s="2719" t="s">
        <v>2815</v>
      </c>
      <c r="F113" s="2890" t="str">
        <f>E2</f>
        <v>工业</v>
      </c>
      <c r="G113" s="2719" t="s">
        <v>2816</v>
      </c>
      <c r="H113" s="2890" t="str">
        <f>G2</f>
        <v>九级</v>
      </c>
      <c r="I113" s="2719"/>
      <c r="J113" s="2891"/>
      <c r="K113" s="2891"/>
      <c r="L113" s="2891"/>
      <c r="M113" s="2891"/>
    </row>
    <row r="114" spans="1:13">
      <c r="A114" s="908"/>
      <c r="B114" s="2892" t="s">
        <v>2983</v>
      </c>
      <c r="C114" s="2892" t="s">
        <v>2984</v>
      </c>
      <c r="D114" s="2892" t="s">
        <v>2985</v>
      </c>
      <c r="E114" s="2893" t="s">
        <v>2986</v>
      </c>
      <c r="F114" s="2893" t="s">
        <v>2987</v>
      </c>
      <c r="G114" s="2893" t="s">
        <v>2988</v>
      </c>
      <c r="H114" s="2894" t="s">
        <v>2989</v>
      </c>
      <c r="I114" s="2894" t="s">
        <v>2990</v>
      </c>
      <c r="J114" s="2895" t="s">
        <v>2991</v>
      </c>
      <c r="K114" s="2895" t="s">
        <v>2992</v>
      </c>
      <c r="L114" s="2895" t="s">
        <v>2993</v>
      </c>
      <c r="M114" s="2896" t="s">
        <v>2994</v>
      </c>
    </row>
    <row r="115" spans="1:13">
      <c r="A115" s="909" t="s">
        <v>2880</v>
      </c>
      <c r="B115" s="910">
        <f>ROUND(0.9335-0.0094*B113,4)</f>
        <v>0.93</v>
      </c>
      <c r="C115" s="910">
        <f>B115</f>
        <v>0.93</v>
      </c>
      <c r="D115" s="910">
        <f>ROUND(0.8331-0.0109*B113,4)</f>
        <v>0.82909999999999995</v>
      </c>
      <c r="E115" s="910">
        <f>D115</f>
        <v>0.82909999999999995</v>
      </c>
      <c r="F115" s="910">
        <f>E115</f>
        <v>0.82909999999999995</v>
      </c>
      <c r="G115" s="910">
        <f>F115</f>
        <v>0.82909999999999995</v>
      </c>
      <c r="H115" s="910">
        <f>G115</f>
        <v>0.82909999999999995</v>
      </c>
      <c r="I115" s="910">
        <f>ROUND(0.689-0.0155*B113,4)</f>
        <v>0.68330000000000002</v>
      </c>
      <c r="J115" s="910">
        <f t="shared" ref="J115:M118" si="32">I115</f>
        <v>0.68330000000000002</v>
      </c>
      <c r="K115" s="910">
        <f t="shared" si="32"/>
        <v>0.68330000000000002</v>
      </c>
      <c r="L115" s="910">
        <f t="shared" si="32"/>
        <v>0.68330000000000002</v>
      </c>
      <c r="M115" s="911">
        <f t="shared" si="32"/>
        <v>0.68330000000000002</v>
      </c>
    </row>
    <row r="116" spans="1:13">
      <c r="A116" s="909" t="s">
        <v>2881</v>
      </c>
      <c r="B116" s="910">
        <f>ROUND(0.949-0.012*B113,4)</f>
        <v>0.9446</v>
      </c>
      <c r="C116" s="910">
        <f>B116</f>
        <v>0.9446</v>
      </c>
      <c r="D116" s="910">
        <f>ROUND(0.8567-0.013*B113,4)</f>
        <v>0.85189999999999999</v>
      </c>
      <c r="E116" s="910">
        <f t="shared" ref="E116:H117" si="33">D116</f>
        <v>0.85189999999999999</v>
      </c>
      <c r="F116" s="910">
        <f t="shared" si="33"/>
        <v>0.85189999999999999</v>
      </c>
      <c r="G116" s="910">
        <f t="shared" si="33"/>
        <v>0.85189999999999999</v>
      </c>
      <c r="H116" s="910">
        <f t="shared" si="33"/>
        <v>0.85189999999999999</v>
      </c>
      <c r="I116" s="910">
        <f>ROUND(0.7694-0.014*B113,4)</f>
        <v>0.76419999999999999</v>
      </c>
      <c r="J116" s="910">
        <f t="shared" si="32"/>
        <v>0.76419999999999999</v>
      </c>
      <c r="K116" s="910">
        <f t="shared" si="32"/>
        <v>0.76419999999999999</v>
      </c>
      <c r="L116" s="910">
        <f t="shared" si="32"/>
        <v>0.76419999999999999</v>
      </c>
      <c r="M116" s="911">
        <f t="shared" si="32"/>
        <v>0.76419999999999999</v>
      </c>
    </row>
    <row r="117" spans="1:13">
      <c r="A117" s="909" t="s">
        <v>2882</v>
      </c>
      <c r="B117" s="910">
        <f>ROUND(0.8808-0.006*B113,4)</f>
        <v>0.87860000000000005</v>
      </c>
      <c r="C117" s="910">
        <f>B117</f>
        <v>0.87860000000000005</v>
      </c>
      <c r="D117" s="910">
        <f>ROUND(0.8748-0.008*B113,4)</f>
        <v>0.87180000000000002</v>
      </c>
      <c r="E117" s="910">
        <f t="shared" si="33"/>
        <v>0.87180000000000002</v>
      </c>
      <c r="F117" s="910">
        <f t="shared" si="33"/>
        <v>0.87180000000000002</v>
      </c>
      <c r="G117" s="910">
        <f t="shared" si="33"/>
        <v>0.87180000000000002</v>
      </c>
      <c r="H117" s="910">
        <f t="shared" si="33"/>
        <v>0.87180000000000002</v>
      </c>
      <c r="I117" s="910">
        <f>ROUND(0.7412-0.0095*B113,4)</f>
        <v>0.73770000000000002</v>
      </c>
      <c r="J117" s="910">
        <f t="shared" si="32"/>
        <v>0.73770000000000002</v>
      </c>
      <c r="K117" s="910">
        <f t="shared" si="32"/>
        <v>0.73770000000000002</v>
      </c>
      <c r="L117" s="910">
        <f t="shared" si="32"/>
        <v>0.73770000000000002</v>
      </c>
      <c r="M117" s="911">
        <f t="shared" si="32"/>
        <v>0.73770000000000002</v>
      </c>
    </row>
    <row r="118" spans="1:13" ht="13.5" thickBot="1">
      <c r="A118" s="714" t="s">
        <v>2883</v>
      </c>
      <c r="B118" s="912">
        <f>ROUND(0.7275-0.01*B113,4)</f>
        <v>0.7238</v>
      </c>
      <c r="C118" s="912">
        <f>B118</f>
        <v>0.7238</v>
      </c>
      <c r="D118" s="912">
        <f>ROUND(0.7043-0.012*B113,4)</f>
        <v>0.69989999999999997</v>
      </c>
      <c r="E118" s="912">
        <f>D118</f>
        <v>0.69989999999999997</v>
      </c>
      <c r="F118" s="912">
        <f>E118</f>
        <v>0.69989999999999997</v>
      </c>
      <c r="G118" s="912">
        <f>ROUND(0.6299-0.0122*B113,4)</f>
        <v>0.62539999999999996</v>
      </c>
      <c r="H118" s="912">
        <f>G118</f>
        <v>0.62539999999999996</v>
      </c>
      <c r="I118" s="912">
        <f>ROUND(0.5667-0.0136*B113,4)</f>
        <v>0.56169999999999998</v>
      </c>
      <c r="J118" s="912">
        <f t="shared" si="32"/>
        <v>0.56169999999999998</v>
      </c>
      <c r="K118" s="912">
        <f t="shared" si="32"/>
        <v>0.56169999999999998</v>
      </c>
      <c r="L118" s="912">
        <f t="shared" si="32"/>
        <v>0.56169999999999998</v>
      </c>
      <c r="M118" s="913">
        <f t="shared" si="32"/>
        <v>0.56169999999999998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4.1280000000000001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6" t="s">
        <v>3003</v>
      </c>
    </row>
    <row r="2" spans="1:5" ht="15.75">
      <c r="A2" s="2897" t="s">
        <v>2995</v>
      </c>
      <c r="B2" s="2898">
        <f ca="1">SUMIF(B6:B13,"&lt;&gt;#ref!",B6:B13)</f>
        <v>7611</v>
      </c>
      <c r="C2" s="2897" t="s">
        <v>2996</v>
      </c>
      <c r="D2" s="2897" t="s">
        <v>2997</v>
      </c>
      <c r="E2" s="2898">
        <f ca="1">SUMIF(E6:E13,"&lt;&gt;#ref!",E6:E13)</f>
        <v>23014.799999999999</v>
      </c>
    </row>
    <row r="3" spans="1:5" ht="15.75">
      <c r="A3" s="2897" t="s">
        <v>2998</v>
      </c>
      <c r="B3" s="2898">
        <f ca="1">ROUND(B2*10000/E2,0)</f>
        <v>3307</v>
      </c>
      <c r="C3" s="2897" t="s">
        <v>3004</v>
      </c>
      <c r="D3" s="2899"/>
      <c r="E3" s="2899"/>
    </row>
    <row r="4" spans="1:5" ht="15.75">
      <c r="A4" s="2900"/>
      <c r="B4" s="2899"/>
      <c r="C4" s="2899"/>
      <c r="D4" s="2899"/>
      <c r="E4" s="2899"/>
    </row>
    <row r="5" spans="1:5" ht="28.5">
      <c r="A5" s="2901" t="s">
        <v>2999</v>
      </c>
      <c r="B5" s="2897" t="s">
        <v>3000</v>
      </c>
      <c r="C5" s="2898"/>
      <c r="D5" s="2899"/>
      <c r="E5" s="2897" t="s">
        <v>3001</v>
      </c>
    </row>
    <row r="6" spans="1:5" ht="15.75">
      <c r="A6" s="2902" t="s">
        <v>3002</v>
      </c>
      <c r="B6" s="2898">
        <f ca="1">SUMIF(INDIRECT("'"&amp;A6&amp;"'"&amp;"!A:A"),"总价",INDIRECT("'"&amp;A6&amp;"'"&amp;"!B:B"))</f>
        <v>7611</v>
      </c>
      <c r="C6" s="2897" t="s">
        <v>2996</v>
      </c>
      <c r="D6" s="2899"/>
      <c r="E6" s="2570">
        <f ca="1">SUMIF(INDIRECT("'"&amp;A6&amp;"'"&amp;"!C:C"),"建筑面积",INDIRECT("'"&amp;A6&amp;"'"&amp;"!D:D"))</f>
        <v>23014.799999999999</v>
      </c>
    </row>
    <row r="7" spans="1:5" ht="15.75">
      <c r="A7" s="2902"/>
      <c r="B7" s="2898" t="e">
        <f ca="1">SUMIF(INDIRECT("'"&amp;A7&amp;"'"&amp;"!A:A"),"总价",INDIRECT("'"&amp;A7&amp;"'"&amp;"!B:B"))</f>
        <v>#REF!</v>
      </c>
      <c r="C7" s="2897" t="s">
        <v>2996</v>
      </c>
      <c r="D7" s="2899"/>
      <c r="E7" s="2570" t="e">
        <f t="shared" ref="E7:E13" ca="1" si="0">SUMIF(INDIRECT("'"&amp;A7&amp;"'"&amp;"!C:C"),"建筑面积",INDIRECT("'"&amp;A7&amp;"'"&amp;"!D:D"))</f>
        <v>#REF!</v>
      </c>
    </row>
    <row r="8" spans="1:5" ht="15.75">
      <c r="A8" s="2902"/>
      <c r="B8" s="2898" t="e">
        <f t="shared" ref="B8:B13" ca="1" si="1">SUMIF(INDIRECT("'"&amp;A8&amp;"'"&amp;"!A:A"),"总价",INDIRECT("'"&amp;A8&amp;"'"&amp;"!B:B"))</f>
        <v>#REF!</v>
      </c>
      <c r="C8" s="2897" t="s">
        <v>2996</v>
      </c>
      <c r="D8" s="2899"/>
      <c r="E8" s="2570" t="e">
        <f t="shared" ca="1" si="0"/>
        <v>#REF!</v>
      </c>
    </row>
    <row r="9" spans="1:5" ht="15.75">
      <c r="A9" s="2902"/>
      <c r="B9" s="2898" t="e">
        <f t="shared" ca="1" si="1"/>
        <v>#REF!</v>
      </c>
      <c r="C9" s="2897" t="s">
        <v>2996</v>
      </c>
      <c r="D9" s="2899"/>
      <c r="E9" s="2570" t="e">
        <f t="shared" ca="1" si="0"/>
        <v>#REF!</v>
      </c>
    </row>
    <row r="10" spans="1:5" ht="15.75">
      <c r="A10" s="2902"/>
      <c r="B10" s="2898" t="e">
        <f t="shared" ca="1" si="1"/>
        <v>#REF!</v>
      </c>
      <c r="C10" s="2897" t="s">
        <v>2996</v>
      </c>
      <c r="D10" s="2899"/>
      <c r="E10" s="2570" t="e">
        <f t="shared" ca="1" si="0"/>
        <v>#REF!</v>
      </c>
    </row>
    <row r="11" spans="1:5" ht="15.75">
      <c r="A11" s="2902"/>
      <c r="B11" s="2898" t="e">
        <f t="shared" ca="1" si="1"/>
        <v>#REF!</v>
      </c>
      <c r="C11" s="2897" t="s">
        <v>2996</v>
      </c>
      <c r="D11" s="2899"/>
      <c r="E11" s="2570" t="e">
        <f t="shared" ca="1" si="0"/>
        <v>#REF!</v>
      </c>
    </row>
    <row r="12" spans="1:5" ht="15.75">
      <c r="A12" s="2902"/>
      <c r="B12" s="2898" t="e">
        <f t="shared" ca="1" si="1"/>
        <v>#REF!</v>
      </c>
      <c r="C12" s="2897" t="s">
        <v>2996</v>
      </c>
      <c r="D12" s="2899"/>
      <c r="E12" s="2570" t="e">
        <f t="shared" ca="1" si="0"/>
        <v>#REF!</v>
      </c>
    </row>
    <row r="13" spans="1:5" ht="15.75">
      <c r="A13" s="2902"/>
      <c r="B13" s="2898" t="e">
        <f t="shared" ca="1" si="1"/>
        <v>#REF!</v>
      </c>
      <c r="C13" s="2897" t="s">
        <v>2996</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G10" sqref="G10:G13"/>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5" customFormat="1">
      <c r="B1" s="3281" t="s">
        <v>1146</v>
      </c>
      <c r="C1" s="3281"/>
      <c r="D1" s="3281"/>
      <c r="E1" s="3281"/>
      <c r="F1" s="3281"/>
      <c r="G1" s="3277" t="s">
        <v>1147</v>
      </c>
      <c r="H1" s="3277"/>
      <c r="I1" s="3277"/>
      <c r="J1" s="3277"/>
      <c r="K1" s="3277"/>
      <c r="L1" s="3277"/>
      <c r="N1" s="3277" t="s">
        <v>1148</v>
      </c>
      <c r="O1" s="3277"/>
      <c r="P1" s="3277"/>
      <c r="Q1" s="3277"/>
      <c r="R1" s="1446"/>
      <c r="S1" s="3277" t="s">
        <v>1149</v>
      </c>
      <c r="T1" s="3277"/>
      <c r="U1" s="3277"/>
      <c r="V1" s="3277"/>
      <c r="X1" s="3276" t="s">
        <v>1150</v>
      </c>
      <c r="Y1" s="3277"/>
      <c r="Z1" s="3277"/>
      <c r="AA1" s="3277"/>
      <c r="AB1" s="3277"/>
      <c r="AD1" s="3276" t="s">
        <v>1151</v>
      </c>
      <c r="AE1" s="3277"/>
      <c r="AF1" s="3277"/>
      <c r="AG1" s="3277"/>
      <c r="AH1" s="327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2" customFormat="1" ht="14.25">
      <c r="A3" s="2921" t="s">
        <v>3038</v>
      </c>
      <c r="B3" s="2913"/>
      <c r="C3" s="2913"/>
      <c r="D3" s="2914"/>
      <c r="E3" s="2914"/>
      <c r="F3" s="2913"/>
      <c r="G3" s="2915"/>
      <c r="H3" s="2916"/>
      <c r="I3" s="2917">
        <f>ROUND(AVERAGE($I5:$I29),2)</f>
        <v>1.88</v>
      </c>
      <c r="J3" s="2917">
        <f>ROUND(AVERAGE($J5:$J29),2)</f>
        <v>1.32</v>
      </c>
      <c r="K3" s="2917">
        <f>ROUND(AVERAGE($K5:$K29),2)</f>
        <v>2.0499999999999998</v>
      </c>
      <c r="L3" s="2917">
        <f>ROUND(AVERAGE($L5:$L29),2)</f>
        <v>1.29</v>
      </c>
      <c r="N3" s="2915"/>
      <c r="O3" s="2918"/>
      <c r="P3" s="2918"/>
      <c r="Q3" s="2918"/>
      <c r="R3" s="2918"/>
      <c r="S3" s="2915"/>
      <c r="T3" s="2918"/>
      <c r="U3" s="2918"/>
      <c r="V3" s="2918"/>
      <c r="W3" s="2910"/>
      <c r="X3" s="2919">
        <f>ROUND(SUMPRODUCT(PRODUCT(1+N3:N$28)),4)</f>
        <v>1.5422</v>
      </c>
      <c r="Y3" s="2919">
        <f>ROUND(SUMPRODUCT(PRODUCT(1+O3:O$28)),4)</f>
        <v>1.3557999999999999</v>
      </c>
      <c r="Z3" s="2919">
        <f t="shared" ref="Z3:Z26" si="0">Y3</f>
        <v>1.3557999999999999</v>
      </c>
      <c r="AA3" s="2919">
        <f>ROUND(SUMPRODUCT(PRODUCT(1+P3:P$28)),4)</f>
        <v>1.6036999999999999</v>
      </c>
      <c r="AB3" s="2919">
        <f>ROUND(SUMPRODUCT(PRODUCT(1+Q3:Q$28)),4)</f>
        <v>1.3573</v>
      </c>
      <c r="AD3" s="2920">
        <f>ROUND(AVERAGE(I3:I$29)/100,4)</f>
        <v>1.8800000000000001E-2</v>
      </c>
      <c r="AE3" s="2920">
        <f>ROUND(AVERAGE(J3:J$29)/100,4)</f>
        <v>1.32E-2</v>
      </c>
      <c r="AF3" s="2920">
        <f t="shared" ref="AF3:AF27" si="1">AE3</f>
        <v>1.32E-2</v>
      </c>
      <c r="AG3" s="2920">
        <f>ROUND(AVERAGE(K3:K$29)/100,4)</f>
        <v>2.0500000000000001E-2</v>
      </c>
      <c r="AH3" s="2920">
        <f>ROUND(AVERAGE(L3:L$29)/100,4)</f>
        <v>1.29E-2</v>
      </c>
    </row>
    <row r="4" spans="1:34" s="2912" customFormat="1" ht="14.25">
      <c r="A4" s="2921"/>
      <c r="B4" s="2913"/>
      <c r="C4" s="2913"/>
      <c r="D4" s="2914"/>
      <c r="E4" s="2914"/>
      <c r="F4" s="2913"/>
      <c r="G4" s="2915"/>
      <c r="H4" s="2916"/>
      <c r="I4" s="2917"/>
      <c r="J4" s="2917"/>
      <c r="K4" s="2917"/>
      <c r="L4" s="2917"/>
      <c r="N4" s="2915"/>
      <c r="O4" s="2918"/>
      <c r="P4" s="2918"/>
      <c r="Q4" s="2918"/>
      <c r="R4" s="2918"/>
      <c r="S4" s="2915"/>
      <c r="T4" s="2918"/>
      <c r="U4" s="2918"/>
      <c r="V4" s="2918"/>
      <c r="W4" s="2910"/>
      <c r="X4" s="2919"/>
      <c r="Y4" s="2919"/>
      <c r="Z4" s="2919"/>
      <c r="AA4" s="2919"/>
      <c r="AB4" s="2919"/>
      <c r="AD4" s="2920"/>
      <c r="AE4" s="2920"/>
      <c r="AF4" s="2920"/>
      <c r="AG4" s="2920"/>
      <c r="AH4" s="2920"/>
    </row>
    <row r="5" spans="1:34" s="2959" customFormat="1">
      <c r="A5" s="2954" t="s">
        <v>3108</v>
      </c>
      <c r="B5" s="2955">
        <f t="shared" ref="B5:C5" si="2">B6*(1+N5)</f>
        <v>474.30670301923408</v>
      </c>
      <c r="C5" s="2955">
        <f t="shared" si="2"/>
        <v>349.50705005996491</v>
      </c>
      <c r="D5" s="2955">
        <f t="shared" ref="D5" si="3">C5</f>
        <v>349.50705005996491</v>
      </c>
      <c r="E5" s="2955">
        <f t="shared" ref="E5:F5" si="4">E6*(1+P5)</f>
        <v>678.22831959706957</v>
      </c>
      <c r="F5" s="2955">
        <f t="shared" si="4"/>
        <v>312.0556832169558</v>
      </c>
      <c r="G5" s="2956">
        <v>2020</v>
      </c>
      <c r="H5" s="2957">
        <v>1</v>
      </c>
      <c r="I5" s="2958">
        <v>0</v>
      </c>
      <c r="J5" s="2958">
        <v>0</v>
      </c>
      <c r="K5" s="2958">
        <v>0</v>
      </c>
      <c r="L5" s="2958">
        <v>0</v>
      </c>
      <c r="N5" s="2960">
        <f>I5/100</f>
        <v>0</v>
      </c>
      <c r="O5" s="2960">
        <f>J5/100</f>
        <v>0</v>
      </c>
      <c r="P5" s="2960">
        <f>K5/100</f>
        <v>0</v>
      </c>
      <c r="Q5" s="2960">
        <f>L5/100</f>
        <v>0</v>
      </c>
      <c r="R5" s="2961"/>
      <c r="S5" s="2962"/>
      <c r="T5" s="2961"/>
      <c r="U5" s="2961"/>
      <c r="V5" s="2961"/>
      <c r="W5" s="2963" t="s">
        <v>3109</v>
      </c>
      <c r="X5" s="2964">
        <f>ROUND(IF([6]项目基本情况!B8="出让",SUMPRODUCT(PRODUCT(1+N5:N$29)),SUMPRODUCT(PRODUCT(1+N5:N$28))),4)</f>
        <v>1.5422</v>
      </c>
      <c r="Y5" s="2964">
        <f>ROUND(IF([6]项目基本情况!B8="出让",SUMPRODUCT(PRODUCT(1+O5:O$29)),SUMPRODUCT(PRODUCT(1+O5:O$28))),4)</f>
        <v>1.3557999999999999</v>
      </c>
      <c r="Z5" s="2964">
        <f t="shared" ref="Z5" si="5">Y5</f>
        <v>1.3557999999999999</v>
      </c>
      <c r="AA5" s="2964">
        <f>ROUND(IF([6]项目基本情况!B8="出让",SUMPRODUCT(PRODUCT(1+P5:P$29)),SUMPRODUCT(PRODUCT(1+P5:P$28))),4)</f>
        <v>1.6036999999999999</v>
      </c>
      <c r="AB5" s="2964">
        <f>ROUND(IF([6]项目基本情况!B8="出让",SUMPRODUCT(PRODUCT(1+Q5:Q$29)),SUMPRODUCT(PRODUCT(1+Q5:Q$28))),4)</f>
        <v>1.3573</v>
      </c>
      <c r="AD5" s="2965">
        <f>ROUND(AVERAGE(I5:I$29)/100,4)</f>
        <v>1.8800000000000001E-2</v>
      </c>
      <c r="AE5" s="2965">
        <f>ROUND(AVERAGE(J5:J$29)/100,4)</f>
        <v>1.32E-2</v>
      </c>
      <c r="AF5" s="2965">
        <f t="shared" ref="AF5" si="6">AE5</f>
        <v>1.32E-2</v>
      </c>
      <c r="AG5" s="2965">
        <f>ROUND(AVERAGE(K5:K$29)/100,4)</f>
        <v>2.0500000000000001E-2</v>
      </c>
      <c r="AH5" s="2965">
        <f>ROUND(AVERAGE(L5:L$29)/100,4)</f>
        <v>1.29E-2</v>
      </c>
    </row>
    <row r="6" spans="1:34" s="1726" customFormat="1" ht="13.5" thickBot="1">
      <c r="A6" s="1724" t="s">
        <v>3057</v>
      </c>
      <c r="B6" s="1786">
        <f t="shared" ref="B6:C13" si="7">B7*(1+N6)</f>
        <v>474.30670301923408</v>
      </c>
      <c r="C6" s="1786">
        <f t="shared" si="7"/>
        <v>349.50705005996491</v>
      </c>
      <c r="D6" s="1786">
        <f t="shared" ref="D6:D18" si="8">C6</f>
        <v>349.50705005996491</v>
      </c>
      <c r="E6" s="1786">
        <f t="shared" ref="E6:F13" si="9">E7*(1+P6)</f>
        <v>678.22831959706957</v>
      </c>
      <c r="F6" s="1786">
        <f t="shared" si="9"/>
        <v>312.0556832169558</v>
      </c>
      <c r="G6" s="2947">
        <v>2019</v>
      </c>
      <c r="H6" s="1725">
        <v>4</v>
      </c>
      <c r="I6" s="2908">
        <v>0</v>
      </c>
      <c r="J6" s="2908">
        <v>0</v>
      </c>
      <c r="K6" s="2908">
        <v>0</v>
      </c>
      <c r="L6" s="2908">
        <v>0</v>
      </c>
      <c r="N6" s="1462">
        <f t="shared" ref="N6:N11" si="10">I6/100</f>
        <v>0</v>
      </c>
      <c r="O6" s="1462">
        <f t="shared" ref="O6:O16" si="11">J6/100</f>
        <v>0</v>
      </c>
      <c r="P6" s="1462">
        <f t="shared" ref="P6:P16" si="12">K6/100</f>
        <v>0</v>
      </c>
      <c r="Q6" s="1462">
        <f t="shared" ref="Q6:Q16" si="13">L6/100</f>
        <v>0</v>
      </c>
      <c r="R6" s="1727"/>
      <c r="S6" s="1728"/>
      <c r="T6" s="1727"/>
      <c r="U6" s="1727"/>
      <c r="V6" s="1727"/>
      <c r="W6" s="2911" t="s">
        <v>3039</v>
      </c>
      <c r="X6" s="1721">
        <f>ROUND(IF(项目基本情况!B7="出让",SUMPRODUCT(PRODUCT(1+N6:N$29)),SUMPRODUCT(PRODUCT(1+N6:N$28))),4)</f>
        <v>1.5422</v>
      </c>
      <c r="Y6" s="1721">
        <f>ROUND(IF(项目基本情况!B7="出让",SUMPRODUCT(PRODUCT(1+O6:O$29)),SUMPRODUCT(PRODUCT(1+O6:O$28))),4)</f>
        <v>1.3557999999999999</v>
      </c>
      <c r="Z6" s="1721">
        <f t="shared" ref="Z6:Z13" si="14">Y6</f>
        <v>1.3557999999999999</v>
      </c>
      <c r="AA6" s="1721">
        <f>ROUND(IF(项目基本情况!B7="出让",SUMPRODUCT(PRODUCT(1+P6:P$29)),SUMPRODUCT(PRODUCT(1+P6:P$28))),4)</f>
        <v>1.6036999999999999</v>
      </c>
      <c r="AB6" s="1721">
        <f>ROUND(IF(项目基本情况!B7="出让",SUMPRODUCT(PRODUCT(1+Q6:Q$29)),SUMPRODUCT(PRODUCT(1+Q6:Q$28))),4)</f>
        <v>1.3573</v>
      </c>
      <c r="AD6" s="1463">
        <f>ROUND(AVERAGE(I6:I$29)/100,4)</f>
        <v>1.9599999999999999E-2</v>
      </c>
      <c r="AE6" s="1463">
        <f>ROUND(AVERAGE(J6:J$29)/100,4)</f>
        <v>1.38E-2</v>
      </c>
      <c r="AF6" s="1463">
        <f t="shared" ref="AF6:AF13" si="15">AE6</f>
        <v>1.38E-2</v>
      </c>
      <c r="AG6" s="1463">
        <f>ROUND(AVERAGE(K6:K$29)/100,4)</f>
        <v>2.1399999999999999E-2</v>
      </c>
      <c r="AH6" s="1463">
        <f>ROUND(AVERAGE(L6:L$29)/100,4)</f>
        <v>1.34E-2</v>
      </c>
    </row>
    <row r="7" spans="1:34" s="1461" customFormat="1" ht="13.5" thickBot="1">
      <c r="A7" s="1456" t="s">
        <v>3056</v>
      </c>
      <c r="B7" s="1472">
        <f t="shared" si="7"/>
        <v>474.30670301923408</v>
      </c>
      <c r="C7" s="1472">
        <f t="shared" si="7"/>
        <v>349.50705005996491</v>
      </c>
      <c r="D7" s="1472">
        <f t="shared" si="8"/>
        <v>349.50705005996491</v>
      </c>
      <c r="E7" s="1472">
        <f t="shared" si="9"/>
        <v>678.22831959706957</v>
      </c>
      <c r="F7" s="1472">
        <f t="shared" si="9"/>
        <v>312.0556832169558</v>
      </c>
      <c r="G7" s="2947">
        <v>2019</v>
      </c>
      <c r="H7" s="1457">
        <v>3</v>
      </c>
      <c r="I7" s="2945">
        <v>0</v>
      </c>
      <c r="J7" s="2945">
        <v>0</v>
      </c>
      <c r="K7" s="2945">
        <v>0</v>
      </c>
      <c r="L7" s="2946">
        <v>0</v>
      </c>
      <c r="M7" s="1466"/>
      <c r="N7" s="1467">
        <f t="shared" si="10"/>
        <v>0</v>
      </c>
      <c r="O7" s="1468">
        <f t="shared" si="11"/>
        <v>0</v>
      </c>
      <c r="P7" s="1468">
        <f t="shared" si="12"/>
        <v>0</v>
      </c>
      <c r="Q7" s="1468">
        <f t="shared" si="13"/>
        <v>0</v>
      </c>
      <c r="R7" s="1469"/>
      <c r="S7" s="1467"/>
      <c r="T7" s="1468"/>
      <c r="U7" s="1468"/>
      <c r="V7" s="1468"/>
      <c r="W7" s="1785"/>
      <c r="X7" s="1783">
        <f>ROUND(IF(项目基本情况!B8="出让",SUMPRODUCT(PRODUCT(1+N7:N$29)),SUMPRODUCT(PRODUCT(1+N7:N$28))),4)</f>
        <v>1.5422</v>
      </c>
      <c r="Y7" s="1783">
        <f>ROUND(IF(项目基本情况!B8="出让",SUMPRODUCT(PRODUCT(1+O7:O$29)),SUMPRODUCT(PRODUCT(1+O7:O$28))),4)</f>
        <v>1.3557999999999999</v>
      </c>
      <c r="Z7" s="1783">
        <f t="shared" si="14"/>
        <v>1.3557999999999999</v>
      </c>
      <c r="AA7" s="1783">
        <f>ROUND(IF(项目基本情况!B8="出让",SUMPRODUCT(PRODUCT(1+P7:P$29)),SUMPRODUCT(PRODUCT(1+P7:P$28))),4)</f>
        <v>1.6036999999999999</v>
      </c>
      <c r="AB7" s="1783">
        <f>ROUND(IF(项目基本情况!B8="出让",SUMPRODUCT(PRODUCT(1+Q7:Q$29)),SUMPRODUCT(PRODUCT(1+Q7:Q$28))),4)</f>
        <v>1.3573</v>
      </c>
      <c r="AC7" s="1785"/>
      <c r="AD7" s="1784">
        <f>ROUND(AVERAGE(I7:I$29)/100,4)</f>
        <v>2.0400000000000001E-2</v>
      </c>
      <c r="AE7" s="1784">
        <f>ROUND(AVERAGE(J7:J$29)/100,4)</f>
        <v>1.44E-2</v>
      </c>
      <c r="AF7" s="1784">
        <f t="shared" si="15"/>
        <v>1.44E-2</v>
      </c>
      <c r="AG7" s="1784">
        <f>ROUND(AVERAGE(K7:K$29)/100,4)</f>
        <v>2.23E-2</v>
      </c>
      <c r="AH7" s="1784">
        <f>ROUND(AVERAGE(L7:L$29)/100,4)</f>
        <v>1.4E-2</v>
      </c>
    </row>
    <row r="8" spans="1:34" s="1461" customFormat="1">
      <c r="A8" s="1456" t="s">
        <v>3054</v>
      </c>
      <c r="B8" s="1472">
        <f t="shared" si="7"/>
        <v>474.30670301923408</v>
      </c>
      <c r="C8" s="1472">
        <f t="shared" si="7"/>
        <v>349.50705005996491</v>
      </c>
      <c r="D8" s="1472">
        <f t="shared" si="8"/>
        <v>349.50705005996491</v>
      </c>
      <c r="E8" s="1472">
        <f t="shared" si="9"/>
        <v>678.22831959706957</v>
      </c>
      <c r="F8" s="1472">
        <f t="shared" si="9"/>
        <v>312.0556832169558</v>
      </c>
      <c r="G8" s="2941">
        <v>2019</v>
      </c>
      <c r="H8" s="1457">
        <v>2</v>
      </c>
      <c r="I8" s="2945">
        <v>1.53</v>
      </c>
      <c r="J8" s="2945">
        <v>1.01</v>
      </c>
      <c r="K8" s="2945">
        <v>1.62</v>
      </c>
      <c r="L8" s="2946">
        <v>1.25</v>
      </c>
      <c r="M8" s="1466"/>
      <c r="N8" s="1467">
        <f t="shared" si="10"/>
        <v>1.5300000000000001E-2</v>
      </c>
      <c r="O8" s="1468">
        <f t="shared" si="11"/>
        <v>1.01E-2</v>
      </c>
      <c r="P8" s="1468">
        <f t="shared" si="12"/>
        <v>1.6200000000000003E-2</v>
      </c>
      <c r="Q8" s="1468">
        <f t="shared" si="13"/>
        <v>1.2500000000000001E-2</v>
      </c>
      <c r="R8" s="1469"/>
      <c r="S8" s="1467"/>
      <c r="T8" s="1468"/>
      <c r="U8" s="1468"/>
      <c r="V8" s="1468"/>
      <c r="W8" s="1785"/>
      <c r="X8" s="1783">
        <f>ROUND(IF(项目基本情况!B8="出让",SUMPRODUCT(PRODUCT(1+N8:N$29)),SUMPRODUCT(PRODUCT(1+N8:N$28))),4)</f>
        <v>1.5422</v>
      </c>
      <c r="Y8" s="1783">
        <f>ROUND(IF(项目基本情况!B8="出让",SUMPRODUCT(PRODUCT(1+O8:O$29)),SUMPRODUCT(PRODUCT(1+O8:O$28))),4)</f>
        <v>1.3557999999999999</v>
      </c>
      <c r="Z8" s="1783">
        <f t="shared" si="14"/>
        <v>1.3557999999999999</v>
      </c>
      <c r="AA8" s="1783">
        <f>ROUND(IF(项目基本情况!B8="出让",SUMPRODUCT(PRODUCT(1+P8:P$29)),SUMPRODUCT(PRODUCT(1+P8:P$28))),4)</f>
        <v>1.6036999999999999</v>
      </c>
      <c r="AB8" s="1783">
        <f>ROUND(IF(项目基本情况!B8="出让",SUMPRODUCT(PRODUCT(1+Q8:Q$29)),SUMPRODUCT(PRODUCT(1+Q8:Q$28))),4)</f>
        <v>1.3573</v>
      </c>
      <c r="AC8" s="1785"/>
      <c r="AD8" s="1784">
        <f>ROUND(AVERAGE(I8:I$29)/100,4)</f>
        <v>2.1299999999999999E-2</v>
      </c>
      <c r="AE8" s="1784">
        <f>ROUND(AVERAGE(J8:J$29)/100,4)</f>
        <v>1.4999999999999999E-2</v>
      </c>
      <c r="AF8" s="1784">
        <f t="shared" si="15"/>
        <v>1.4999999999999999E-2</v>
      </c>
      <c r="AG8" s="1784">
        <f>ROUND(AVERAGE(K8:K$29)/100,4)</f>
        <v>2.3300000000000001E-2</v>
      </c>
      <c r="AH8" s="1784">
        <f>ROUND(AVERAGE(L8:L$29)/100,4)</f>
        <v>1.46E-2</v>
      </c>
    </row>
    <row r="9" spans="1:34" s="1461" customFormat="1" ht="13.5" thickBot="1">
      <c r="A9" s="1456" t="s">
        <v>3051</v>
      </c>
      <c r="B9" s="1472">
        <f t="shared" si="7"/>
        <v>467.15916775261894</v>
      </c>
      <c r="C9" s="1472">
        <f t="shared" si="7"/>
        <v>346.01232557169084</v>
      </c>
      <c r="D9" s="1472">
        <f t="shared" si="8"/>
        <v>346.01232557169084</v>
      </c>
      <c r="E9" s="1472">
        <f t="shared" si="9"/>
        <v>667.41617752122568</v>
      </c>
      <c r="F9" s="1472">
        <f t="shared" si="9"/>
        <v>308.20314391798104</v>
      </c>
      <c r="G9" s="2925">
        <v>2019</v>
      </c>
      <c r="H9" s="1459">
        <v>1</v>
      </c>
      <c r="I9" s="1459">
        <v>0.6</v>
      </c>
      <c r="J9" s="1459">
        <v>0.37</v>
      </c>
      <c r="K9" s="1459">
        <v>0.63</v>
      </c>
      <c r="L9" s="1473">
        <v>1.1299999999999999</v>
      </c>
      <c r="M9" s="1466"/>
      <c r="N9" s="1467">
        <f t="shared" si="10"/>
        <v>6.0000000000000001E-3</v>
      </c>
      <c r="O9" s="1468">
        <f t="shared" si="11"/>
        <v>3.7000000000000002E-3</v>
      </c>
      <c r="P9" s="1468">
        <f t="shared" si="12"/>
        <v>6.3E-3</v>
      </c>
      <c r="Q9" s="1468">
        <f t="shared" si="13"/>
        <v>1.1299999999999999E-2</v>
      </c>
      <c r="R9" s="1469"/>
      <c r="S9" s="1467">
        <f>B9/B10-1</f>
        <v>6.0000000000000053E-3</v>
      </c>
      <c r="T9" s="1468">
        <f>C9/C10-1</f>
        <v>3.7000000000000366E-3</v>
      </c>
      <c r="U9" s="1468">
        <f>D9/D10-1</f>
        <v>3.7000000000000366E-3</v>
      </c>
      <c r="V9" s="1468">
        <f>E9/E10-1</f>
        <v>6.2999999999999723E-3</v>
      </c>
      <c r="W9" s="1785"/>
      <c r="X9" s="1783">
        <f>ROUND(IF(项目基本情况!B8="出让",SUMPRODUCT(PRODUCT(1+N9:N$29)),SUMPRODUCT(PRODUCT(1+N9:N$28))),4)</f>
        <v>1.5189999999999999</v>
      </c>
      <c r="Y9" s="1783">
        <f>ROUND(IF(项目基本情况!B8="出让",SUMPRODUCT(PRODUCT(1+O9:O$29)),SUMPRODUCT(PRODUCT(1+O9:O$28))),4)</f>
        <v>1.3423</v>
      </c>
      <c r="Z9" s="1783">
        <f t="shared" si="14"/>
        <v>1.3423</v>
      </c>
      <c r="AA9" s="1783">
        <f>ROUND(IF(项目基本情况!B8="出让",SUMPRODUCT(PRODUCT(1+P9:P$29)),SUMPRODUCT(PRODUCT(1+P9:P$28))),4)</f>
        <v>1.5782</v>
      </c>
      <c r="AB9" s="1783">
        <f>ROUND(IF(项目基本情况!B8="出让",SUMPRODUCT(PRODUCT(1+Q9:Q$29)),SUMPRODUCT(PRODUCT(1+Q9:Q$28))),4)</f>
        <v>1.3405</v>
      </c>
      <c r="AC9" s="1785"/>
      <c r="AD9" s="1784">
        <f>ROUND(AVERAGE(I9:I$29)/100,4)</f>
        <v>2.1600000000000001E-2</v>
      </c>
      <c r="AE9" s="1784">
        <f>ROUND(AVERAGE(J9:J$29)/100,4)</f>
        <v>1.5299999999999999E-2</v>
      </c>
      <c r="AF9" s="1784">
        <f t="shared" si="15"/>
        <v>1.5299999999999999E-2</v>
      </c>
      <c r="AG9" s="1784">
        <f>ROUND(AVERAGE(K9:K$29)/100,4)</f>
        <v>2.3699999999999999E-2</v>
      </c>
      <c r="AH9" s="1784">
        <f>ROUND(AVERAGE(L9:L$29)/100,4)</f>
        <v>1.47E-2</v>
      </c>
    </row>
    <row r="10" spans="1:34" s="1461" customFormat="1">
      <c r="A10" s="1456" t="s">
        <v>3055</v>
      </c>
      <c r="B10" s="2942">
        <f t="shared" si="7"/>
        <v>464.37293017158942</v>
      </c>
      <c r="C10" s="2942">
        <f t="shared" si="7"/>
        <v>344.73679941385956</v>
      </c>
      <c r="D10" s="2942">
        <f t="shared" si="8"/>
        <v>344.73679941385956</v>
      </c>
      <c r="E10" s="2942">
        <f t="shared" si="9"/>
        <v>663.2377795103107</v>
      </c>
      <c r="F10" s="2943">
        <f t="shared" si="9"/>
        <v>304.75936311478398</v>
      </c>
      <c r="G10" s="3279">
        <v>2018</v>
      </c>
      <c r="H10" s="1457">
        <v>4</v>
      </c>
      <c r="I10" s="1457">
        <v>0.96</v>
      </c>
      <c r="J10" s="1457">
        <v>1.03</v>
      </c>
      <c r="K10" s="1457">
        <v>0.92</v>
      </c>
      <c r="L10" s="1458">
        <v>1.29</v>
      </c>
      <c r="M10" s="1466"/>
      <c r="N10" s="1467">
        <f t="shared" si="10"/>
        <v>9.5999999999999992E-3</v>
      </c>
      <c r="O10" s="1468">
        <f t="shared" si="11"/>
        <v>1.03E-2</v>
      </c>
      <c r="P10" s="1468">
        <f t="shared" si="12"/>
        <v>9.1999999999999998E-3</v>
      </c>
      <c r="Q10" s="1468">
        <f t="shared" si="13"/>
        <v>1.29E-2</v>
      </c>
      <c r="R10" s="1469"/>
      <c r="S10" s="1467"/>
      <c r="T10" s="1468"/>
      <c r="U10" s="1468"/>
      <c r="V10" s="1468"/>
      <c r="W10" s="1785"/>
      <c r="X10" s="1783">
        <f>ROUND(SUMPRODUCT(PRODUCT(1+N10:N$28)),4)</f>
        <v>1.5099</v>
      </c>
      <c r="Y10" s="1783">
        <f>ROUND(SUMPRODUCT(PRODUCT(1+O10:O$28)),4)</f>
        <v>1.3372999999999999</v>
      </c>
      <c r="Z10" s="1783">
        <f t="shared" si="14"/>
        <v>1.3372999999999999</v>
      </c>
      <c r="AA10" s="1783">
        <f>ROUND(SUMPRODUCT(PRODUCT(1+P10:P$28)),4)</f>
        <v>1.5683</v>
      </c>
      <c r="AB10" s="1783">
        <f>ROUND(SUMPRODUCT(PRODUCT(1+Q10:Q$28)),4)</f>
        <v>1.3255999999999999</v>
      </c>
      <c r="AC10" s="1785"/>
      <c r="AD10" s="1784">
        <f>ROUND(AVERAGE(I10:I$29)/100,4)</f>
        <v>2.24E-2</v>
      </c>
      <c r="AE10" s="1784">
        <f>ROUND(AVERAGE(J10:J$29)/100,4)</f>
        <v>1.5800000000000002E-2</v>
      </c>
      <c r="AF10" s="1784">
        <f t="shared" si="15"/>
        <v>1.5800000000000002E-2</v>
      </c>
      <c r="AG10" s="1784">
        <f>ROUND(AVERAGE(K10:K$29)/100,4)</f>
        <v>2.4500000000000001E-2</v>
      </c>
      <c r="AH10" s="1784">
        <f>ROUND(AVERAGE(L10:L$29)/100,4)</f>
        <v>1.49E-2</v>
      </c>
    </row>
    <row r="11" spans="1:34" s="1461" customFormat="1" ht="14.45" customHeight="1">
      <c r="A11" s="1456" t="s">
        <v>3045</v>
      </c>
      <c r="B11" s="1472">
        <f t="shared" si="7"/>
        <v>459.95733971036987</v>
      </c>
      <c r="C11" s="1472">
        <f t="shared" si="7"/>
        <v>341.22221064422405</v>
      </c>
      <c r="D11" s="1472">
        <f t="shared" si="8"/>
        <v>341.22221064422405</v>
      </c>
      <c r="E11" s="1472">
        <f t="shared" si="9"/>
        <v>657.19161663724799</v>
      </c>
      <c r="F11" s="1472">
        <f t="shared" si="9"/>
        <v>300.87803644464805</v>
      </c>
      <c r="G11" s="3279"/>
      <c r="H11" s="1459">
        <v>3</v>
      </c>
      <c r="I11" s="1459">
        <v>1.51</v>
      </c>
      <c r="J11" s="1459">
        <v>1.41</v>
      </c>
      <c r="K11" s="1459">
        <v>1.52</v>
      </c>
      <c r="L11" s="1473">
        <v>1.74</v>
      </c>
      <c r="M11" s="1466"/>
      <c r="N11" s="1467">
        <f t="shared" si="10"/>
        <v>1.5100000000000001E-2</v>
      </c>
      <c r="O11" s="1468">
        <f t="shared" si="11"/>
        <v>1.41E-2</v>
      </c>
      <c r="P11" s="1468">
        <f t="shared" si="12"/>
        <v>1.52E-2</v>
      </c>
      <c r="Q11" s="1468">
        <f t="shared" si="13"/>
        <v>1.7399999999999999E-2</v>
      </c>
      <c r="R11" s="1469"/>
      <c r="S11" s="1467"/>
      <c r="T11" s="1468"/>
      <c r="U11" s="1468"/>
      <c r="V11" s="1468"/>
      <c r="W11" s="1785"/>
      <c r="X11" s="1783">
        <f>ROUND(SUMPRODUCT(PRODUCT(1+N11:N$28)),4)</f>
        <v>1.4956</v>
      </c>
      <c r="Y11" s="1783">
        <f>ROUND(SUMPRODUCT(PRODUCT(1+O11:O$28)),4)</f>
        <v>1.3237000000000001</v>
      </c>
      <c r="Z11" s="1783">
        <f t="shared" si="14"/>
        <v>1.3237000000000001</v>
      </c>
      <c r="AA11" s="1783">
        <f>ROUND(SUMPRODUCT(PRODUCT(1+P11:P$28)),4)</f>
        <v>1.554</v>
      </c>
      <c r="AB11" s="1783">
        <f>ROUND(SUMPRODUCT(PRODUCT(1+Q11:Q$28)),4)</f>
        <v>1.3087</v>
      </c>
      <c r="AC11" s="1785"/>
      <c r="AD11" s="1784">
        <f>ROUND(AVERAGE(I11:I$29)/100,4)</f>
        <v>2.3099999999999999E-2</v>
      </c>
      <c r="AE11" s="1784">
        <f>ROUND(AVERAGE(J11:J$29)/100,4)</f>
        <v>1.61E-2</v>
      </c>
      <c r="AF11" s="1784">
        <f t="shared" si="15"/>
        <v>1.61E-2</v>
      </c>
      <c r="AG11" s="1784">
        <f>ROUND(AVERAGE(K11:K$29)/100,4)</f>
        <v>2.53E-2</v>
      </c>
      <c r="AH11" s="1784">
        <f>ROUND(AVERAGE(L11:L$29)/100,4)</f>
        <v>1.4999999999999999E-2</v>
      </c>
    </row>
    <row r="12" spans="1:34" s="1461" customFormat="1" ht="14.45" customHeight="1">
      <c r="A12" s="1456" t="s">
        <v>3044</v>
      </c>
      <c r="B12" s="1472">
        <f t="shared" si="7"/>
        <v>453.11529869999993</v>
      </c>
      <c r="C12" s="1472">
        <f t="shared" si="7"/>
        <v>336.47787264000004</v>
      </c>
      <c r="D12" s="1472">
        <f t="shared" si="8"/>
        <v>336.47787264000004</v>
      </c>
      <c r="E12" s="1472">
        <f t="shared" si="9"/>
        <v>647.35186823999993</v>
      </c>
      <c r="F12" s="1472">
        <f t="shared" si="9"/>
        <v>295.73229452000004</v>
      </c>
      <c r="G12" s="3279"/>
      <c r="H12" s="1460">
        <v>2</v>
      </c>
      <c r="I12" s="1460">
        <v>1.49</v>
      </c>
      <c r="J12" s="1460">
        <v>0.96</v>
      </c>
      <c r="K12" s="1460">
        <v>1.58</v>
      </c>
      <c r="L12" s="1474">
        <v>2.44</v>
      </c>
      <c r="M12" s="1466"/>
      <c r="N12" s="1467">
        <f>I12/100</f>
        <v>1.49E-2</v>
      </c>
      <c r="O12" s="1468">
        <f t="shared" si="11"/>
        <v>9.5999999999999992E-3</v>
      </c>
      <c r="P12" s="1468">
        <f t="shared" si="12"/>
        <v>1.5800000000000002E-2</v>
      </c>
      <c r="Q12" s="1468">
        <f t="shared" si="13"/>
        <v>2.4399999999999998E-2</v>
      </c>
      <c r="R12" s="1469"/>
      <c r="S12" s="1467"/>
      <c r="T12" s="1468"/>
      <c r="U12" s="1468"/>
      <c r="V12" s="1468"/>
      <c r="W12" s="1785"/>
      <c r="X12" s="1783">
        <f>ROUND(SUMPRODUCT(PRODUCT(1+N12:N$28)),4)</f>
        <v>1.4733000000000001</v>
      </c>
      <c r="Y12" s="1783">
        <f>ROUND(SUMPRODUCT(PRODUCT(1+O12:O$28)),4)</f>
        <v>1.3052999999999999</v>
      </c>
      <c r="Z12" s="1783">
        <f t="shared" si="14"/>
        <v>1.3052999999999999</v>
      </c>
      <c r="AA12" s="1783">
        <f>ROUND(SUMPRODUCT(PRODUCT(1+P12:P$28)),4)</f>
        <v>1.5306999999999999</v>
      </c>
      <c r="AB12" s="1783">
        <f>ROUND(SUMPRODUCT(PRODUCT(1+Q12:Q$28)),4)</f>
        <v>1.2863</v>
      </c>
      <c r="AC12" s="1785"/>
      <c r="AD12" s="1784">
        <f>ROUND(AVERAGE(I12:I$29)/100,4)</f>
        <v>2.35E-2</v>
      </c>
      <c r="AE12" s="1784">
        <f>ROUND(AVERAGE(J12:J$29)/100,4)</f>
        <v>1.6199999999999999E-2</v>
      </c>
      <c r="AF12" s="1784">
        <f t="shared" si="15"/>
        <v>1.6199999999999999E-2</v>
      </c>
      <c r="AG12" s="1784">
        <f>ROUND(AVERAGE(K12:K$29)/100,4)</f>
        <v>2.5899999999999999E-2</v>
      </c>
      <c r="AH12" s="1784">
        <f>ROUND(AVERAGE(L12:L$29)/100,4)</f>
        <v>1.49E-2</v>
      </c>
    </row>
    <row r="13" spans="1:34" s="1461" customFormat="1" ht="15" customHeight="1" thickBot="1">
      <c r="A13" s="1456" t="s">
        <v>3037</v>
      </c>
      <c r="B13" s="1472">
        <f t="shared" si="7"/>
        <v>446.46299999999997</v>
      </c>
      <c r="C13" s="1472">
        <f t="shared" si="7"/>
        <v>333.27840000000003</v>
      </c>
      <c r="D13" s="1472">
        <f t="shared" si="8"/>
        <v>333.27840000000003</v>
      </c>
      <c r="E13" s="1472">
        <f t="shared" si="9"/>
        <v>637.28279999999995</v>
      </c>
      <c r="F13" s="1472">
        <f t="shared" si="9"/>
        <v>288.68830000000003</v>
      </c>
      <c r="G13" s="3286"/>
      <c r="H13" s="1459">
        <v>1</v>
      </c>
      <c r="I13" s="1459">
        <v>1.7</v>
      </c>
      <c r="J13" s="1459">
        <v>1.92</v>
      </c>
      <c r="K13" s="1459">
        <v>1.64</v>
      </c>
      <c r="L13" s="1473">
        <v>2.0099999999999998</v>
      </c>
      <c r="M13" s="1466"/>
      <c r="N13" s="1467">
        <f t="shared" ref="N13:N18" si="16">I13/100</f>
        <v>1.7000000000000001E-2</v>
      </c>
      <c r="O13" s="1468">
        <f t="shared" si="11"/>
        <v>1.9199999999999998E-2</v>
      </c>
      <c r="P13" s="1468">
        <f t="shared" si="12"/>
        <v>1.6399999999999998E-2</v>
      </c>
      <c r="Q13" s="1468">
        <f t="shared" si="13"/>
        <v>2.0099999999999996E-2</v>
      </c>
      <c r="R13" s="1469"/>
      <c r="S13" s="1467">
        <f>B13/B14-1</f>
        <v>1.6999999999999904E-2</v>
      </c>
      <c r="T13" s="1468">
        <f>C13/C14-1</f>
        <v>1.9200000000000106E-2</v>
      </c>
      <c r="U13" s="1468">
        <f>D13/D14-1</f>
        <v>1.9200000000000106E-2</v>
      </c>
      <c r="V13" s="1468">
        <f>E13/E14-1</f>
        <v>1.639999999999997E-2</v>
      </c>
      <c r="W13" s="1785"/>
      <c r="X13" s="1783">
        <f>ROUND(SUMPRODUCT(PRODUCT(1+N13:N$28)),4)</f>
        <v>1.4517</v>
      </c>
      <c r="Y13" s="1783">
        <f>ROUND(SUMPRODUCT(PRODUCT(1+O13:O$28)),4)</f>
        <v>1.2928999999999999</v>
      </c>
      <c r="Z13" s="1783">
        <f t="shared" si="14"/>
        <v>1.2928999999999999</v>
      </c>
      <c r="AA13" s="1783">
        <f>ROUND(SUMPRODUCT(PRODUCT(1+P13:P$28)),4)</f>
        <v>1.5068999999999999</v>
      </c>
      <c r="AB13" s="1783">
        <f>ROUND(SUMPRODUCT(PRODUCT(1+Q13:Q$28)),4)</f>
        <v>1.2557</v>
      </c>
      <c r="AC13" s="1785"/>
      <c r="AD13" s="1784">
        <f>ROUND(AVERAGE(I13:I$29)/100,4)</f>
        <v>2.4E-2</v>
      </c>
      <c r="AE13" s="1784">
        <f>ROUND(AVERAGE(J13:J$29)/100,4)</f>
        <v>1.66E-2</v>
      </c>
      <c r="AF13" s="1784">
        <f t="shared" si="15"/>
        <v>1.66E-2</v>
      </c>
      <c r="AG13" s="1784">
        <f>ROUND(AVERAGE(K13:K$29)/100,4)</f>
        <v>2.6499999999999999E-2</v>
      </c>
      <c r="AH13" s="1784">
        <f>ROUND(AVERAGE(L13:L$29)/100,4)</f>
        <v>1.43E-2</v>
      </c>
    </row>
    <row r="14" spans="1:34">
      <c r="A14" s="1456" t="s">
        <v>3034</v>
      </c>
      <c r="B14" s="1464">
        <v>439</v>
      </c>
      <c r="C14" s="1464">
        <v>327</v>
      </c>
      <c r="D14" s="1464">
        <f t="shared" si="8"/>
        <v>327</v>
      </c>
      <c r="E14" s="1464">
        <v>627</v>
      </c>
      <c r="F14" s="1465">
        <v>283</v>
      </c>
      <c r="G14" s="3282">
        <v>2017</v>
      </c>
      <c r="H14" s="1457">
        <v>4</v>
      </c>
      <c r="I14" s="1457">
        <v>1.71</v>
      </c>
      <c r="J14" s="1457">
        <v>1.78</v>
      </c>
      <c r="K14" s="1457">
        <v>1.71</v>
      </c>
      <c r="L14" s="1458">
        <v>1.43</v>
      </c>
      <c r="N14" s="1467">
        <f t="shared" si="16"/>
        <v>1.7100000000000001E-2</v>
      </c>
      <c r="O14" s="1468">
        <f t="shared" si="11"/>
        <v>1.78E-2</v>
      </c>
      <c r="P14" s="1468">
        <f t="shared" si="12"/>
        <v>1.7100000000000001E-2</v>
      </c>
      <c r="Q14" s="1468">
        <f t="shared" si="13"/>
        <v>1.43E-2</v>
      </c>
      <c r="R14" s="1469"/>
      <c r="S14" s="1470"/>
      <c r="T14" s="1471"/>
      <c r="U14" s="1471"/>
      <c r="V14" s="1471"/>
      <c r="X14" s="1454">
        <f>ROUND(SUMPRODUCT(PRODUCT(1+N14:N$28)),4)</f>
        <v>1.4274</v>
      </c>
      <c r="Y14" s="1454">
        <f>ROUND(SUMPRODUCT(PRODUCT(1+O14:O$28)),4)</f>
        <v>1.2685</v>
      </c>
      <c r="Z14" s="1454">
        <f t="shared" si="0"/>
        <v>1.2685</v>
      </c>
      <c r="AA14" s="1454">
        <f>ROUND(SUMPRODUCT(PRODUCT(1+P14:P$28)),4)</f>
        <v>1.4825999999999999</v>
      </c>
      <c r="AB14" s="1454">
        <f>ROUND(SUMPRODUCT(PRODUCT(1+Q14:Q$28)),4)</f>
        <v>1.2309000000000001</v>
      </c>
      <c r="AD14" s="1455">
        <f>ROUND(AVERAGE(I14:I$29)/100,4)</f>
        <v>2.4500000000000001E-2</v>
      </c>
      <c r="AE14" s="1455">
        <f>ROUND(AVERAGE(J14:J$29)/100,4)</f>
        <v>1.6500000000000001E-2</v>
      </c>
      <c r="AF14" s="1455">
        <f t="shared" si="1"/>
        <v>1.6500000000000001E-2</v>
      </c>
      <c r="AG14" s="1455">
        <f>ROUND(AVERAGE(K14:K$29)/100,4)</f>
        <v>2.7099999999999999E-2</v>
      </c>
      <c r="AH14" s="1455">
        <f>ROUND(AVERAGE(L14:L$29)/100,4)</f>
        <v>1.3899999999999999E-2</v>
      </c>
    </row>
    <row r="15" spans="1:34" s="1461" customFormat="1" ht="14.45" customHeight="1">
      <c r="A15" s="1456" t="s">
        <v>3035</v>
      </c>
      <c r="B15" s="1472">
        <f t="shared" ref="B15:C17" si="17">B16*(1+N15)</f>
        <v>431.80730811680002</v>
      </c>
      <c r="C15" s="1472">
        <f t="shared" si="17"/>
        <v>320.57880516480003</v>
      </c>
      <c r="D15" s="1472">
        <f t="shared" si="8"/>
        <v>320.57880516480003</v>
      </c>
      <c r="E15" s="1472">
        <f t="shared" ref="E15:F17" si="18">E16*(1+P15)</f>
        <v>615.96110553196797</v>
      </c>
      <c r="F15" s="1472">
        <f t="shared" si="18"/>
        <v>279.46777300108801</v>
      </c>
      <c r="G15" s="3279"/>
      <c r="H15" s="1459">
        <v>3</v>
      </c>
      <c r="I15" s="1459">
        <v>2.98</v>
      </c>
      <c r="J15" s="1459">
        <v>2.11</v>
      </c>
      <c r="K15" s="1459">
        <v>3.24</v>
      </c>
      <c r="L15" s="1473">
        <v>1.72</v>
      </c>
      <c r="M15" s="1466"/>
      <c r="N15" s="1467">
        <f t="shared" si="16"/>
        <v>2.98E-2</v>
      </c>
      <c r="O15" s="1468">
        <f t="shared" si="11"/>
        <v>2.1099999999999997E-2</v>
      </c>
      <c r="P15" s="1468">
        <f t="shared" si="12"/>
        <v>3.2400000000000005E-2</v>
      </c>
      <c r="Q15" s="1468">
        <f t="shared" si="13"/>
        <v>1.72E-2</v>
      </c>
      <c r="R15" s="1469"/>
      <c r="S15" s="1467"/>
      <c r="T15" s="1468"/>
      <c r="U15" s="1468"/>
      <c r="V15" s="1468"/>
      <c r="W15" s="1785"/>
      <c r="X15" s="1783">
        <f>ROUND(SUMPRODUCT(PRODUCT(1+N15:N$28)),4)</f>
        <v>1.4034</v>
      </c>
      <c r="Y15" s="1783">
        <f>ROUND(SUMPRODUCT(PRODUCT(1+O15:O$28)),4)</f>
        <v>1.2463</v>
      </c>
      <c r="Z15" s="1783">
        <f t="shared" si="0"/>
        <v>1.2463</v>
      </c>
      <c r="AA15" s="1783">
        <f>ROUND(SUMPRODUCT(PRODUCT(1+P15:P$28)),4)</f>
        <v>1.4577</v>
      </c>
      <c r="AB15" s="1783">
        <f>ROUND(SUMPRODUCT(PRODUCT(1+Q15:Q$28)),4)</f>
        <v>1.2136</v>
      </c>
      <c r="AC15" s="1785"/>
      <c r="AD15" s="1784">
        <f>ROUND(AVERAGE(I15:I$29)/100,4)</f>
        <v>2.4899999999999999E-2</v>
      </c>
      <c r="AE15" s="1784">
        <f>ROUND(AVERAGE(J15:J$29)/100,4)</f>
        <v>1.6400000000000001E-2</v>
      </c>
      <c r="AF15" s="1784">
        <f t="shared" si="1"/>
        <v>1.6400000000000001E-2</v>
      </c>
      <c r="AG15" s="1784">
        <f>ROUND(AVERAGE(K15:K$29)/100,4)</f>
        <v>2.7799999999999998E-2</v>
      </c>
      <c r="AH15" s="1784">
        <f>ROUND(AVERAGE(L15:L$29)/100,4)</f>
        <v>1.3899999999999999E-2</v>
      </c>
    </row>
    <row r="16" spans="1:34" s="1726" customFormat="1" ht="14.45" customHeight="1">
      <c r="A16" s="1456" t="s">
        <v>1381</v>
      </c>
      <c r="B16" s="1472">
        <f t="shared" si="17"/>
        <v>419.31181600000002</v>
      </c>
      <c r="C16" s="1472">
        <f t="shared" si="17"/>
        <v>313.95436800000004</v>
      </c>
      <c r="D16" s="1472">
        <f t="shared" si="8"/>
        <v>313.95436800000004</v>
      </c>
      <c r="E16" s="1472">
        <f t="shared" si="18"/>
        <v>596.63028431999999</v>
      </c>
      <c r="F16" s="1472">
        <f t="shared" si="18"/>
        <v>274.74220703999998</v>
      </c>
      <c r="G16" s="3279"/>
      <c r="H16" s="1460">
        <v>2</v>
      </c>
      <c r="I16" s="1460">
        <v>3.4</v>
      </c>
      <c r="J16" s="1460">
        <v>2</v>
      </c>
      <c r="K16" s="1460">
        <v>3.82</v>
      </c>
      <c r="L16" s="1474">
        <v>1.68</v>
      </c>
      <c r="M16" s="1466"/>
      <c r="N16" s="1467">
        <f t="shared" si="16"/>
        <v>3.4000000000000002E-2</v>
      </c>
      <c r="O16" s="1468">
        <f t="shared" si="11"/>
        <v>0.02</v>
      </c>
      <c r="P16" s="1468">
        <f t="shared" si="12"/>
        <v>3.8199999999999998E-2</v>
      </c>
      <c r="Q16" s="1468">
        <f t="shared" si="13"/>
        <v>1.6799999999999999E-2</v>
      </c>
      <c r="R16" s="1469"/>
      <c r="S16" s="1470"/>
      <c r="T16" s="1471"/>
      <c r="U16" s="1471"/>
      <c r="V16" s="1471"/>
      <c r="W16" s="1453"/>
      <c r="X16" s="1783">
        <f>ROUND(SUMPRODUCT(PRODUCT(1+N16:N$28)),4)</f>
        <v>1.3628</v>
      </c>
      <c r="Y16" s="1783">
        <f>ROUND(SUMPRODUCT(PRODUCT(1+O16:O$28)),4)</f>
        <v>1.2205999999999999</v>
      </c>
      <c r="Z16" s="1783">
        <f t="shared" si="0"/>
        <v>1.2205999999999999</v>
      </c>
      <c r="AA16" s="1783">
        <f>ROUND(SUMPRODUCT(PRODUCT(1+P16:P$28)),4)</f>
        <v>1.4118999999999999</v>
      </c>
      <c r="AB16" s="1783">
        <f>ROUND(SUMPRODUCT(PRODUCT(1+Q16:Q$28)),4)</f>
        <v>1.1930000000000001</v>
      </c>
      <c r="AC16" s="1453"/>
      <c r="AD16" s="1784">
        <f>ROUND(AVERAGE(I16:I$29)/100,4)</f>
        <v>2.46E-2</v>
      </c>
      <c r="AE16" s="1784">
        <f>ROUND(AVERAGE(J16:J$29)/100,4)</f>
        <v>1.6E-2</v>
      </c>
      <c r="AF16" s="1784">
        <f t="shared" si="1"/>
        <v>1.6E-2</v>
      </c>
      <c r="AG16" s="1784">
        <f>ROUND(AVERAGE(K16:K$29)/100,4)</f>
        <v>2.75E-2</v>
      </c>
      <c r="AH16" s="1784">
        <f>ROUND(AVERAGE(L16:L$29)/100,4)</f>
        <v>1.37E-2</v>
      </c>
    </row>
    <row r="17" spans="1:34" s="1461" customFormat="1" ht="15" customHeight="1" thickBot="1">
      <c r="A17" s="1456" t="s">
        <v>1157</v>
      </c>
      <c r="B17" s="1472">
        <f t="shared" si="17"/>
        <v>405.524</v>
      </c>
      <c r="C17" s="1472">
        <f t="shared" si="17"/>
        <v>307.79840000000002</v>
      </c>
      <c r="D17" s="1472">
        <f t="shared" si="8"/>
        <v>307.79840000000002</v>
      </c>
      <c r="E17" s="1472">
        <f t="shared" si="18"/>
        <v>574.67759999999998</v>
      </c>
      <c r="F17" s="1472">
        <f t="shared" si="18"/>
        <v>270.20280000000002</v>
      </c>
      <c r="G17" s="3286"/>
      <c r="H17" s="1459">
        <v>1</v>
      </c>
      <c r="I17" s="1459">
        <v>3.45</v>
      </c>
      <c r="J17" s="1459">
        <v>1.92</v>
      </c>
      <c r="K17" s="1459">
        <v>3.92</v>
      </c>
      <c r="L17" s="1473">
        <v>1.58</v>
      </c>
      <c r="M17" s="1466"/>
      <c r="N17" s="1467">
        <f t="shared" si="16"/>
        <v>3.4500000000000003E-2</v>
      </c>
      <c r="O17" s="1468">
        <f t="shared" ref="O17:Q32" si="19">J17/100</f>
        <v>1.9199999999999998E-2</v>
      </c>
      <c r="P17" s="1468">
        <f t="shared" si="19"/>
        <v>3.9199999999999999E-2</v>
      </c>
      <c r="Q17" s="1468">
        <f t="shared" si="19"/>
        <v>1.5800000000000002E-2</v>
      </c>
      <c r="R17" s="1469"/>
      <c r="S17" s="1467">
        <f>B17/B18-1</f>
        <v>3.4499999999999975E-2</v>
      </c>
      <c r="T17" s="1468">
        <f>C17/C18-1</f>
        <v>1.9200000000000106E-2</v>
      </c>
      <c r="U17" s="1468">
        <f>D17/D18-1</f>
        <v>1.9200000000000106E-2</v>
      </c>
      <c r="V17" s="1468">
        <f>E17/E18-1</f>
        <v>3.9199999999999902E-2</v>
      </c>
      <c r="W17" s="1785"/>
      <c r="X17" s="1783">
        <f>ROUND(SUMPRODUCT(PRODUCT(1+N17:N$28)),4)</f>
        <v>1.3180000000000001</v>
      </c>
      <c r="Y17" s="1783">
        <f>ROUND(SUMPRODUCT(PRODUCT(1+O17:O$28)),4)</f>
        <v>1.1966000000000001</v>
      </c>
      <c r="Z17" s="1783">
        <f t="shared" si="0"/>
        <v>1.1966000000000001</v>
      </c>
      <c r="AA17" s="1783">
        <f>ROUND(SUMPRODUCT(PRODUCT(1+P17:P$28)),4)</f>
        <v>1.36</v>
      </c>
      <c r="AB17" s="1783">
        <f>ROUND(SUMPRODUCT(PRODUCT(1+Q17:Q$28)),4)</f>
        <v>1.1733</v>
      </c>
      <c r="AC17" s="1785"/>
      <c r="AD17" s="1784">
        <f>ROUND(AVERAGE(I17:I$29)/100,4)</f>
        <v>2.3900000000000001E-2</v>
      </c>
      <c r="AE17" s="1784">
        <f>ROUND(AVERAGE(J17:J$29)/100,4)</f>
        <v>1.5699999999999999E-2</v>
      </c>
      <c r="AF17" s="1784">
        <f t="shared" si="1"/>
        <v>1.5699999999999999E-2</v>
      </c>
      <c r="AG17" s="1784">
        <f>ROUND(AVERAGE(K17:K$29)/100,4)</f>
        <v>2.6599999999999999E-2</v>
      </c>
      <c r="AH17" s="1784">
        <f>ROUND(AVERAGE(L17:L$29)/100,4)</f>
        <v>1.34E-2</v>
      </c>
    </row>
    <row r="18" spans="1:34">
      <c r="A18" s="1456" t="s">
        <v>154</v>
      </c>
      <c r="B18" s="1464">
        <v>392</v>
      </c>
      <c r="C18" s="1464">
        <v>302</v>
      </c>
      <c r="D18" s="1464">
        <f t="shared" si="8"/>
        <v>302</v>
      </c>
      <c r="E18" s="1464">
        <v>553</v>
      </c>
      <c r="F18" s="1465">
        <v>266</v>
      </c>
      <c r="G18" s="3282">
        <v>2016</v>
      </c>
      <c r="H18" s="1457">
        <v>4</v>
      </c>
      <c r="I18" s="1457">
        <v>4.5599999999999996</v>
      </c>
      <c r="J18" s="1457">
        <v>2.15</v>
      </c>
      <c r="K18" s="1457">
        <v>5.32</v>
      </c>
      <c r="L18" s="1458">
        <v>1.57</v>
      </c>
      <c r="N18" s="1467">
        <f t="shared" si="16"/>
        <v>4.5599999999999995E-2</v>
      </c>
      <c r="O18" s="1468">
        <f t="shared" si="19"/>
        <v>2.1499999999999998E-2</v>
      </c>
      <c r="P18" s="1468">
        <f t="shared" si="19"/>
        <v>5.3200000000000004E-2</v>
      </c>
      <c r="Q18" s="1468">
        <f t="shared" si="19"/>
        <v>1.5700000000000002E-2</v>
      </c>
      <c r="R18" s="1469"/>
      <c r="S18" s="1470"/>
      <c r="T18" s="1471"/>
      <c r="U18" s="1471"/>
      <c r="V18" s="1471"/>
      <c r="X18" s="1454">
        <f>ROUND(SUMPRODUCT(PRODUCT(1+N18:N$28)),4)</f>
        <v>1.274</v>
      </c>
      <c r="Y18" s="1454">
        <f>ROUND(SUMPRODUCT(PRODUCT(1+O18:O$28)),4)</f>
        <v>1.1740999999999999</v>
      </c>
      <c r="Z18" s="1454">
        <f t="shared" si="0"/>
        <v>1.1740999999999999</v>
      </c>
      <c r="AA18" s="1454">
        <f>ROUND(SUMPRODUCT(PRODUCT(1+P18:P$28)),4)</f>
        <v>1.3087</v>
      </c>
      <c r="AB18" s="1454">
        <f>ROUND(SUMPRODUCT(PRODUCT(1+Q18:Q$28)),4)</f>
        <v>1.1551</v>
      </c>
      <c r="AD18" s="1455">
        <f>ROUND(AVERAGE(I18:I$29)/100,4)</f>
        <v>2.3E-2</v>
      </c>
      <c r="AE18" s="1455">
        <f>ROUND(AVERAGE(J18:J$29)/100,4)</f>
        <v>1.55E-2</v>
      </c>
      <c r="AF18" s="1455">
        <f t="shared" si="1"/>
        <v>1.55E-2</v>
      </c>
      <c r="AG18" s="1455">
        <f>ROUND(AVERAGE(K18:K$29)/100,4)</f>
        <v>2.5600000000000001E-2</v>
      </c>
      <c r="AH18" s="1455">
        <f>ROUND(AVERAGE(L18:L$29)/100,4)</f>
        <v>1.32E-2</v>
      </c>
    </row>
    <row r="19" spans="1:34">
      <c r="A19" s="1456" t="s">
        <v>153</v>
      </c>
      <c r="B19" s="1472">
        <f t="shared" ref="B19:C21" si="20">B18/(1+N18)</f>
        <v>374.90436113236416</v>
      </c>
      <c r="C19" s="1472">
        <f t="shared" si="20"/>
        <v>295.64366128242779</v>
      </c>
      <c r="D19" s="1472">
        <f t="shared" ref="D19:D78" si="21">C19</f>
        <v>295.64366128242779</v>
      </c>
      <c r="E19" s="1472">
        <f t="shared" ref="E19:F21" si="22">E18/(1+P18)</f>
        <v>525.06646410938095</v>
      </c>
      <c r="F19" s="1472">
        <f t="shared" si="22"/>
        <v>261.88835286009646</v>
      </c>
      <c r="G19" s="3279"/>
      <c r="H19" s="1459">
        <v>3</v>
      </c>
      <c r="I19" s="1459">
        <v>4.12</v>
      </c>
      <c r="J19" s="1459">
        <v>2</v>
      </c>
      <c r="K19" s="1459">
        <v>4.79</v>
      </c>
      <c r="L19" s="1473">
        <v>1.97</v>
      </c>
      <c r="N19" s="1467">
        <f t="shared" ref="N19:Q53" si="23">I19/100</f>
        <v>4.1200000000000001E-2</v>
      </c>
      <c r="O19" s="1468">
        <f t="shared" si="19"/>
        <v>0.02</v>
      </c>
      <c r="P19" s="1468">
        <f t="shared" si="19"/>
        <v>4.7899999999999998E-2</v>
      </c>
      <c r="Q19" s="1468">
        <f t="shared" si="19"/>
        <v>1.9699999999999999E-2</v>
      </c>
      <c r="R19" s="1469"/>
      <c r="S19" s="1467"/>
      <c r="T19" s="1468"/>
      <c r="U19" s="1468"/>
      <c r="V19" s="1468"/>
      <c r="X19" s="1454">
        <f>ROUND(SUMPRODUCT(PRODUCT(1+N19:N$28)),4)</f>
        <v>1.2184999999999999</v>
      </c>
      <c r="Y19" s="1454">
        <f>ROUND(SUMPRODUCT(PRODUCT(1+O19:O$28)),4)</f>
        <v>1.1494</v>
      </c>
      <c r="Z19" s="1454">
        <f t="shared" si="0"/>
        <v>1.1494</v>
      </c>
      <c r="AA19" s="1454">
        <f>ROUND(SUMPRODUCT(PRODUCT(1+P19:P$28)),4)</f>
        <v>1.2425999999999999</v>
      </c>
      <c r="AB19" s="1454">
        <f>ROUND(SUMPRODUCT(PRODUCT(1+Q19:Q$28)),4)</f>
        <v>1.1372</v>
      </c>
      <c r="AD19" s="1455">
        <f>ROUND(AVERAGE(I19:I$29)/100,4)</f>
        <v>2.0899999999999998E-2</v>
      </c>
      <c r="AE19" s="1455">
        <f>ROUND(AVERAGE(J19:J$29)/100,4)</f>
        <v>1.49E-2</v>
      </c>
      <c r="AF19" s="1455">
        <f t="shared" si="1"/>
        <v>1.49E-2</v>
      </c>
      <c r="AG19" s="1455">
        <f>ROUND(AVERAGE(K19:K$29)/100,4)</f>
        <v>2.3099999999999999E-2</v>
      </c>
      <c r="AH19" s="1455">
        <f>ROUND(AVERAGE(L19:L$29)/100,4)</f>
        <v>1.2999999999999999E-2</v>
      </c>
    </row>
    <row r="20" spans="1:34">
      <c r="A20" s="1456" t="s">
        <v>143</v>
      </c>
      <c r="B20" s="1472">
        <f t="shared" si="20"/>
        <v>360.06949782209392</v>
      </c>
      <c r="C20" s="1472">
        <f t="shared" si="20"/>
        <v>289.84672674747821</v>
      </c>
      <c r="D20" s="1472">
        <f t="shared" si="21"/>
        <v>289.84672674747821</v>
      </c>
      <c r="E20" s="1472">
        <f t="shared" si="22"/>
        <v>501.06543001181495</v>
      </c>
      <c r="F20" s="1472">
        <f t="shared" si="22"/>
        <v>256.82882500744967</v>
      </c>
      <c r="G20" s="3279"/>
      <c r="H20" s="1460">
        <v>2</v>
      </c>
      <c r="I20" s="1460">
        <v>3.85</v>
      </c>
      <c r="J20" s="1460">
        <v>1.95</v>
      </c>
      <c r="K20" s="1460">
        <v>4.4800000000000004</v>
      </c>
      <c r="L20" s="1474">
        <v>1.41</v>
      </c>
      <c r="N20" s="1467">
        <f t="shared" si="23"/>
        <v>3.85E-2</v>
      </c>
      <c r="O20" s="1468">
        <f t="shared" si="19"/>
        <v>1.95E-2</v>
      </c>
      <c r="P20" s="1468">
        <f t="shared" si="19"/>
        <v>4.4800000000000006E-2</v>
      </c>
      <c r="Q20" s="1468">
        <f t="shared" si="19"/>
        <v>1.41E-2</v>
      </c>
      <c r="R20" s="1469"/>
      <c r="S20" s="1467"/>
      <c r="T20" s="1468"/>
      <c r="U20" s="1468"/>
      <c r="V20" s="1468"/>
      <c r="X20" s="1454">
        <f>ROUND(SUMPRODUCT(PRODUCT(1+N20:N$28)),4)</f>
        <v>1.1702999999999999</v>
      </c>
      <c r="Y20" s="1454">
        <f>ROUND(SUMPRODUCT(PRODUCT(1+O20:O$28)),4)</f>
        <v>1.1269</v>
      </c>
      <c r="Z20" s="1454">
        <f t="shared" si="0"/>
        <v>1.1269</v>
      </c>
      <c r="AA20" s="1454">
        <f>ROUND(SUMPRODUCT(PRODUCT(1+P20:P$28)),4)</f>
        <v>1.1858</v>
      </c>
      <c r="AB20" s="1454">
        <f>ROUND(SUMPRODUCT(PRODUCT(1+Q20:Q$28)),4)</f>
        <v>1.1152</v>
      </c>
      <c r="AD20" s="1455">
        <f>ROUND(AVERAGE(I20:I$29)/100,4)</f>
        <v>1.89E-2</v>
      </c>
      <c r="AE20" s="1455">
        <f>ROUND(AVERAGE(J20:J$29)/100,4)</f>
        <v>1.44E-2</v>
      </c>
      <c r="AF20" s="1455">
        <f t="shared" si="1"/>
        <v>1.44E-2</v>
      </c>
      <c r="AG20" s="1455">
        <f>ROUND(AVERAGE(K20:K$29)/100,4)</f>
        <v>2.06E-2</v>
      </c>
      <c r="AH20" s="1455">
        <f>ROUND(AVERAGE(L20:L$29)/100,4)</f>
        <v>1.23E-2</v>
      </c>
    </row>
    <row r="21" spans="1:34" ht="13.5" thickBot="1">
      <c r="A21" s="1456" t="s">
        <v>152</v>
      </c>
      <c r="B21" s="1472">
        <f t="shared" si="20"/>
        <v>346.720748986128</v>
      </c>
      <c r="C21" s="1472">
        <f t="shared" si="20"/>
        <v>284.30282172386285</v>
      </c>
      <c r="D21" s="1472">
        <f t="shared" si="21"/>
        <v>284.30282172386285</v>
      </c>
      <c r="E21" s="1472">
        <f t="shared" si="22"/>
        <v>479.58023546306947</v>
      </c>
      <c r="F21" s="1472">
        <f t="shared" si="22"/>
        <v>253.25788877571213</v>
      </c>
      <c r="G21" s="3280"/>
      <c r="H21" s="1459">
        <v>1</v>
      </c>
      <c r="I21" s="1459">
        <v>4.09</v>
      </c>
      <c r="J21" s="1459">
        <v>2.93</v>
      </c>
      <c r="K21" s="1459">
        <v>4.54</v>
      </c>
      <c r="L21" s="1473">
        <v>1.48</v>
      </c>
      <c r="N21" s="1467">
        <f t="shared" si="23"/>
        <v>4.0899999999999999E-2</v>
      </c>
      <c r="O21" s="1468">
        <f t="shared" si="19"/>
        <v>2.9300000000000003E-2</v>
      </c>
      <c r="P21" s="1468">
        <f t="shared" si="19"/>
        <v>4.5400000000000003E-2</v>
      </c>
      <c r="Q21" s="1468">
        <f t="shared" si="19"/>
        <v>1.4800000000000001E-2</v>
      </c>
      <c r="R21" s="1469"/>
      <c r="S21" s="1475">
        <f>B21/B22-1</f>
        <v>4.1203450408792808E-2</v>
      </c>
      <c r="T21" s="1476">
        <f>C21/C22-1</f>
        <v>2.6363977342465095E-2</v>
      </c>
      <c r="U21" s="1476">
        <f>E21/E22-1</f>
        <v>4.4837114298626357E-2</v>
      </c>
      <c r="V21" s="1476">
        <f>F21/F22-1</f>
        <v>1.7099954922538574E-2</v>
      </c>
      <c r="X21" s="1454">
        <f>ROUND(SUMPRODUCT(PRODUCT(1+N21:N$28)),4)</f>
        <v>1.1269</v>
      </c>
      <c r="Y21" s="1454">
        <f>ROUND(SUMPRODUCT(PRODUCT(1+O21:O$28)),4)</f>
        <v>1.1052999999999999</v>
      </c>
      <c r="Z21" s="1454">
        <f t="shared" si="0"/>
        <v>1.1052999999999999</v>
      </c>
      <c r="AA21" s="1454">
        <f>ROUND(SUMPRODUCT(PRODUCT(1+P21:P$28)),4)</f>
        <v>1.1349</v>
      </c>
      <c r="AB21" s="1454">
        <f>ROUND(SUMPRODUCT(PRODUCT(1+Q21:Q$28)),4)</f>
        <v>1.0996999999999999</v>
      </c>
      <c r="AD21" s="1455">
        <f>ROUND(AVERAGE(I21:I$29)/100,4)</f>
        <v>1.67E-2</v>
      </c>
      <c r="AE21" s="1455">
        <f>ROUND(AVERAGE(J21:J$29)/100,4)</f>
        <v>1.38E-2</v>
      </c>
      <c r="AF21" s="1455">
        <f t="shared" si="1"/>
        <v>1.38E-2</v>
      </c>
      <c r="AG21" s="1455">
        <f>ROUND(AVERAGE(K21:K$29)/100,4)</f>
        <v>1.7899999999999999E-2</v>
      </c>
      <c r="AH21" s="1455">
        <f>ROUND(AVERAGE(L21:L$29)/100,4)</f>
        <v>1.21E-2</v>
      </c>
    </row>
    <row r="22" spans="1:34" ht="13.5" thickBot="1">
      <c r="A22" s="1456" t="s">
        <v>151</v>
      </c>
      <c r="B22" s="1464">
        <v>333</v>
      </c>
      <c r="C22" s="1464">
        <v>277</v>
      </c>
      <c r="D22" s="1464">
        <f t="shared" si="21"/>
        <v>277</v>
      </c>
      <c r="E22" s="1464">
        <v>459</v>
      </c>
      <c r="F22" s="1465">
        <v>249</v>
      </c>
      <c r="G22" s="3278">
        <v>2015</v>
      </c>
      <c r="H22" s="1477">
        <v>4</v>
      </c>
      <c r="I22" s="1477">
        <v>1.63</v>
      </c>
      <c r="J22" s="1477">
        <v>1.1100000000000001</v>
      </c>
      <c r="K22" s="1477">
        <v>1.77</v>
      </c>
      <c r="L22" s="1478">
        <v>1.89</v>
      </c>
      <c r="N22" s="1479">
        <f t="shared" si="23"/>
        <v>1.6299999999999999E-2</v>
      </c>
      <c r="O22" s="1480">
        <f t="shared" si="19"/>
        <v>1.11E-2</v>
      </c>
      <c r="P22" s="1480">
        <f t="shared" si="19"/>
        <v>1.77E-2</v>
      </c>
      <c r="Q22" s="1480">
        <f t="shared" si="19"/>
        <v>1.89E-2</v>
      </c>
      <c r="R22" s="1469"/>
      <c r="X22" s="1454">
        <f>ROUND(SUMPRODUCT(PRODUCT(1+N22:N$28)),4)</f>
        <v>1.0826</v>
      </c>
      <c r="Y22" s="1454">
        <f>ROUND(SUMPRODUCT(PRODUCT(1+O22:O$28)),4)</f>
        <v>1.0738000000000001</v>
      </c>
      <c r="Z22" s="1454">
        <f t="shared" si="0"/>
        <v>1.0738000000000001</v>
      </c>
      <c r="AA22" s="1454">
        <f>ROUND(SUMPRODUCT(PRODUCT(1+P22:P$28)),4)</f>
        <v>1.0855999999999999</v>
      </c>
      <c r="AB22" s="1454">
        <f>ROUND(SUMPRODUCT(PRODUCT(1+Q22:Q$28)),4)</f>
        <v>1.0837000000000001</v>
      </c>
      <c r="AD22" s="1455">
        <f>ROUND(AVERAGE(I22:I$29)/100,4)</f>
        <v>1.37E-2</v>
      </c>
      <c r="AE22" s="1455">
        <f>ROUND(AVERAGE(J22:J$29)/100,4)</f>
        <v>1.1900000000000001E-2</v>
      </c>
      <c r="AF22" s="1455">
        <f t="shared" si="1"/>
        <v>1.1900000000000001E-2</v>
      </c>
      <c r="AG22" s="1455">
        <f>ROUND(AVERAGE(K22:K$29)/100,4)</f>
        <v>1.4500000000000001E-2</v>
      </c>
      <c r="AH22" s="1455">
        <f>ROUND(AVERAGE(L22:L$29)/100,4)</f>
        <v>1.18E-2</v>
      </c>
    </row>
    <row r="23" spans="1:34">
      <c r="A23" s="1456" t="s">
        <v>150</v>
      </c>
      <c r="B23" s="1472">
        <f t="shared" ref="B23:C25" si="24">B22/(1+N22)</f>
        <v>327.65915576109415</v>
      </c>
      <c r="C23" s="1472">
        <f t="shared" si="24"/>
        <v>273.95905449510434</v>
      </c>
      <c r="D23" s="1472">
        <f t="shared" si="21"/>
        <v>273.95905449510434</v>
      </c>
      <c r="E23" s="1472">
        <f t="shared" ref="E23:F25" si="25">E22/(1+P22)</f>
        <v>451.01699911565294</v>
      </c>
      <c r="F23" s="1472">
        <f t="shared" si="25"/>
        <v>244.38119540681129</v>
      </c>
      <c r="G23" s="3279"/>
      <c r="H23" s="1482">
        <v>3</v>
      </c>
      <c r="I23" s="1482">
        <v>1.65</v>
      </c>
      <c r="J23" s="1482">
        <v>0.92</v>
      </c>
      <c r="K23" s="1482">
        <v>1.88</v>
      </c>
      <c r="L23" s="1483">
        <v>1.26</v>
      </c>
      <c r="N23" s="1467">
        <f t="shared" si="23"/>
        <v>1.6500000000000001E-2</v>
      </c>
      <c r="O23" s="1484">
        <f t="shared" si="19"/>
        <v>9.1999999999999998E-3</v>
      </c>
      <c r="P23" s="1484">
        <f t="shared" si="19"/>
        <v>1.8799999999999997E-2</v>
      </c>
      <c r="Q23" s="1484">
        <f t="shared" si="19"/>
        <v>1.26E-2</v>
      </c>
      <c r="R23" s="1469"/>
      <c r="S23" s="1467"/>
      <c r="T23" s="1468"/>
      <c r="U23" s="1468"/>
      <c r="V23" s="1468"/>
      <c r="X23" s="1454">
        <f>ROUND(SUMPRODUCT(PRODUCT(1+N23:N$28)),4)</f>
        <v>1.0651999999999999</v>
      </c>
      <c r="Y23" s="1454">
        <f>ROUND(SUMPRODUCT(PRODUCT(1+O23:O$28)),4)</f>
        <v>1.0621</v>
      </c>
      <c r="Z23" s="1454">
        <f t="shared" si="0"/>
        <v>1.0621</v>
      </c>
      <c r="AA23" s="1454">
        <f>ROUND(SUMPRODUCT(PRODUCT(1+P23:P$28)),4)</f>
        <v>1.0668</v>
      </c>
      <c r="AB23" s="1454">
        <f>ROUND(SUMPRODUCT(PRODUCT(1+Q23:Q$28)),4)</f>
        <v>1.0636000000000001</v>
      </c>
      <c r="AD23" s="1455">
        <f>ROUND(AVERAGE(I23:I$29)/100,4)</f>
        <v>1.3299999999999999E-2</v>
      </c>
      <c r="AE23" s="1455">
        <f>ROUND(AVERAGE(J23:J$29)/100,4)</f>
        <v>1.2E-2</v>
      </c>
      <c r="AF23" s="1455">
        <f t="shared" si="1"/>
        <v>1.2E-2</v>
      </c>
      <c r="AG23" s="1455">
        <f>ROUND(AVERAGE(K23:K$29)/100,4)</f>
        <v>1.4E-2</v>
      </c>
      <c r="AH23" s="1455">
        <f>ROUND(AVERAGE(L23:L$29)/100,4)</f>
        <v>1.0800000000000001E-2</v>
      </c>
    </row>
    <row r="24" spans="1:34">
      <c r="A24" s="1456" t="s">
        <v>149</v>
      </c>
      <c r="B24" s="1472">
        <f t="shared" si="24"/>
        <v>322.34053690220776</v>
      </c>
      <c r="C24" s="1472">
        <f t="shared" si="24"/>
        <v>271.46160770422546</v>
      </c>
      <c r="D24" s="1472">
        <f t="shared" si="21"/>
        <v>271.46160770422546</v>
      </c>
      <c r="E24" s="1472">
        <f t="shared" si="25"/>
        <v>442.69434542172456</v>
      </c>
      <c r="F24" s="1472">
        <f t="shared" si="25"/>
        <v>241.34030753190925</v>
      </c>
      <c r="G24" s="3279"/>
      <c r="H24" s="1460">
        <v>2</v>
      </c>
      <c r="I24" s="1460">
        <v>0.77</v>
      </c>
      <c r="J24" s="1460">
        <v>0.69</v>
      </c>
      <c r="K24" s="1460">
        <v>0.8</v>
      </c>
      <c r="L24" s="1474">
        <v>0.88</v>
      </c>
      <c r="N24" s="1467">
        <f t="shared" si="23"/>
        <v>7.7000000000000002E-3</v>
      </c>
      <c r="O24" s="1484">
        <f t="shared" si="19"/>
        <v>6.8999999999999999E-3</v>
      </c>
      <c r="P24" s="1484">
        <f t="shared" si="19"/>
        <v>8.0000000000000002E-3</v>
      </c>
      <c r="Q24" s="1484">
        <f t="shared" si="19"/>
        <v>8.8000000000000005E-3</v>
      </c>
      <c r="R24" s="1469"/>
      <c r="S24" s="1467"/>
      <c r="T24" s="1468"/>
      <c r="U24" s="1468"/>
      <c r="V24" s="1468"/>
      <c r="X24" s="1454">
        <f>ROUND(SUMPRODUCT(PRODUCT(1+N24:N$28)),4)</f>
        <v>1.048</v>
      </c>
      <c r="Y24" s="1454">
        <f>ROUND(SUMPRODUCT(PRODUCT(1+O24:O$28)),4)</f>
        <v>1.0524</v>
      </c>
      <c r="Z24" s="1454">
        <f t="shared" si="0"/>
        <v>1.0524</v>
      </c>
      <c r="AA24" s="1454">
        <f>ROUND(SUMPRODUCT(PRODUCT(1+P24:P$28)),4)</f>
        <v>1.0470999999999999</v>
      </c>
      <c r="AB24" s="1454">
        <f>ROUND(SUMPRODUCT(PRODUCT(1+Q24:Q$28)),4)</f>
        <v>1.0504</v>
      </c>
      <c r="AD24" s="1455">
        <f>ROUND(AVERAGE(I24:I$29)/100,4)</f>
        <v>1.2800000000000001E-2</v>
      </c>
      <c r="AE24" s="1455">
        <f>ROUND(AVERAGE(J24:J$29)/100,4)</f>
        <v>1.2500000000000001E-2</v>
      </c>
      <c r="AF24" s="1455">
        <f t="shared" si="1"/>
        <v>1.2500000000000001E-2</v>
      </c>
      <c r="AG24" s="1455">
        <f>ROUND(AVERAGE(K24:K$29)/100,4)</f>
        <v>1.32E-2</v>
      </c>
      <c r="AH24" s="1455">
        <f>ROUND(AVERAGE(L24:L$29)/100,4)</f>
        <v>1.0500000000000001E-2</v>
      </c>
    </row>
    <row r="25" spans="1:34">
      <c r="A25" s="1456" t="s">
        <v>148</v>
      </c>
      <c r="B25" s="1472">
        <f t="shared" si="24"/>
        <v>319.87748030386797</v>
      </c>
      <c r="C25" s="1472">
        <f t="shared" si="24"/>
        <v>269.60135833173649</v>
      </c>
      <c r="D25" s="1472">
        <f t="shared" si="21"/>
        <v>269.60135833173649</v>
      </c>
      <c r="E25" s="1472">
        <f t="shared" si="25"/>
        <v>439.18089823583784</v>
      </c>
      <c r="F25" s="1472">
        <f t="shared" si="25"/>
        <v>239.23503918706311</v>
      </c>
      <c r="G25" s="3280"/>
      <c r="H25" s="1459">
        <v>1</v>
      </c>
      <c r="I25" s="1459">
        <v>0.51</v>
      </c>
      <c r="J25" s="1459">
        <v>0.54</v>
      </c>
      <c r="K25" s="1459">
        <v>0.48</v>
      </c>
      <c r="L25" s="1473">
        <v>0.93</v>
      </c>
      <c r="N25" s="1475">
        <f t="shared" si="23"/>
        <v>5.1000000000000004E-3</v>
      </c>
      <c r="O25" s="1476">
        <f t="shared" si="19"/>
        <v>5.4000000000000003E-3</v>
      </c>
      <c r="P25" s="1476">
        <f t="shared" si="19"/>
        <v>4.7999999999999996E-3</v>
      </c>
      <c r="Q25" s="1476">
        <f t="shared" si="19"/>
        <v>9.300000000000001E-3</v>
      </c>
      <c r="R25" s="1469"/>
      <c r="S25" s="1475">
        <f>B25/B26-1</f>
        <v>5.9040261127922822E-3</v>
      </c>
      <c r="T25" s="1476">
        <f>C25/C26-1</f>
        <v>5.9752176557332781E-3</v>
      </c>
      <c r="U25" s="1476">
        <f>E25/E26-1</f>
        <v>4.9906138119859556E-3</v>
      </c>
      <c r="V25" s="1476">
        <f>F25/F26-1</f>
        <v>9.4305450930933787E-3</v>
      </c>
      <c r="X25" s="1454">
        <f>ROUND(SUMPRODUCT(PRODUCT(1+N25:N$28)),4)</f>
        <v>1.0399</v>
      </c>
      <c r="Y25" s="1454">
        <f>ROUND(SUMPRODUCT(PRODUCT(1+O25:O$28)),4)</f>
        <v>1.0451999999999999</v>
      </c>
      <c r="Z25" s="1454">
        <f t="shared" si="0"/>
        <v>1.0451999999999999</v>
      </c>
      <c r="AA25" s="1454">
        <f>ROUND(SUMPRODUCT(PRODUCT(1+P25:P$28)),4)</f>
        <v>1.0387999999999999</v>
      </c>
      <c r="AB25" s="1454">
        <f>ROUND(SUMPRODUCT(PRODUCT(1+Q25:Q$28)),4)</f>
        <v>1.0411999999999999</v>
      </c>
      <c r="AD25" s="1455">
        <f>ROUND(AVERAGE(I25:I$29)/100,4)</f>
        <v>1.38E-2</v>
      </c>
      <c r="AE25" s="1455">
        <f>ROUND(AVERAGE(J25:J$29)/100,4)</f>
        <v>1.3599999999999999E-2</v>
      </c>
      <c r="AF25" s="1455">
        <f t="shared" si="1"/>
        <v>1.3599999999999999E-2</v>
      </c>
      <c r="AG25" s="1455">
        <f>ROUND(AVERAGE(K25:K$29)/100,4)</f>
        <v>1.4200000000000001E-2</v>
      </c>
      <c r="AH25" s="1455">
        <f>ROUND(AVERAGE(L25:L$29)/100,4)</f>
        <v>1.0800000000000001E-2</v>
      </c>
    </row>
    <row r="26" spans="1:34" ht="13.5" thickBot="1">
      <c r="A26" s="1456" t="s">
        <v>147</v>
      </c>
      <c r="B26" s="1485">
        <v>318</v>
      </c>
      <c r="C26" s="1485">
        <v>268</v>
      </c>
      <c r="D26" s="1485">
        <f t="shared" si="21"/>
        <v>268</v>
      </c>
      <c r="E26" s="1485">
        <v>437</v>
      </c>
      <c r="F26" s="1486">
        <v>237</v>
      </c>
      <c r="G26" s="3278">
        <v>2014</v>
      </c>
      <c r="H26" s="1477">
        <v>4</v>
      </c>
      <c r="I26" s="1477">
        <v>0.21</v>
      </c>
      <c r="J26" s="1477">
        <v>0.41</v>
      </c>
      <c r="K26" s="1477">
        <v>0.12</v>
      </c>
      <c r="L26" s="1478">
        <v>0.89</v>
      </c>
      <c r="N26" s="1467">
        <f t="shared" si="23"/>
        <v>2.0999999999999999E-3</v>
      </c>
      <c r="O26" s="1468">
        <f t="shared" si="19"/>
        <v>4.0999999999999995E-3</v>
      </c>
      <c r="P26" s="1468">
        <f t="shared" si="19"/>
        <v>1.1999999999999999E-3</v>
      </c>
      <c r="Q26" s="1468">
        <f t="shared" si="19"/>
        <v>8.8999999999999999E-3</v>
      </c>
      <c r="R26" s="1469"/>
      <c r="S26" s="1470"/>
      <c r="T26" s="1471"/>
      <c r="U26" s="1471"/>
      <c r="V26" s="1471"/>
      <c r="X26" s="1454">
        <f>ROUND(SUMPRODUCT(PRODUCT(1+N26:N$28)),4)</f>
        <v>1.0347</v>
      </c>
      <c r="Y26" s="1454">
        <f>ROUND(SUMPRODUCT(PRODUCT(1+O26:O$28)),4)</f>
        <v>1.0395000000000001</v>
      </c>
      <c r="Z26" s="1454">
        <f t="shared" si="0"/>
        <v>1.0395000000000001</v>
      </c>
      <c r="AA26" s="1454">
        <f>ROUND(SUMPRODUCT(PRODUCT(1+P26:P$28)),4)</f>
        <v>1.0338000000000001</v>
      </c>
      <c r="AB26" s="1454">
        <f>ROUND(SUMPRODUCT(PRODUCT(1+Q26:Q$28)),4)</f>
        <v>1.0316000000000001</v>
      </c>
      <c r="AD26" s="1455">
        <f>ROUND(AVERAGE(I26:I$29)/100,4)</f>
        <v>1.6E-2</v>
      </c>
      <c r="AE26" s="1455">
        <f>ROUND(AVERAGE(J26:J$29)/100,4)</f>
        <v>1.5599999999999999E-2</v>
      </c>
      <c r="AF26" s="1455">
        <f t="shared" si="1"/>
        <v>1.5599999999999999E-2</v>
      </c>
      <c r="AG26" s="1455">
        <f>ROUND(AVERAGE(K26:K$29)/100,4)</f>
        <v>1.66E-2</v>
      </c>
      <c r="AH26" s="1455">
        <f>ROUND(AVERAGE(L26:L$29)/100,4)</f>
        <v>1.12E-2</v>
      </c>
    </row>
    <row r="27" spans="1:34">
      <c r="A27" s="1456" t="s">
        <v>146</v>
      </c>
      <c r="B27" s="1472">
        <f t="shared" ref="B27:C29" si="26">B26/(1+N26)</f>
        <v>317.33359944117353</v>
      </c>
      <c r="C27" s="1472">
        <f t="shared" si="26"/>
        <v>266.90568668459315</v>
      </c>
      <c r="D27" s="1472">
        <f t="shared" si="21"/>
        <v>266.90568668459315</v>
      </c>
      <c r="E27" s="1472">
        <f t="shared" ref="E27:F29" si="27">E26/(1+P26)</f>
        <v>436.47622852576905</v>
      </c>
      <c r="F27" s="1472">
        <f t="shared" si="27"/>
        <v>234.90930716622066</v>
      </c>
      <c r="G27" s="3279"/>
      <c r="H27" s="1487">
        <v>3</v>
      </c>
      <c r="I27" s="1487">
        <v>0.83</v>
      </c>
      <c r="J27" s="1487">
        <v>1.47</v>
      </c>
      <c r="K27" s="1487">
        <v>0.65</v>
      </c>
      <c r="L27" s="1488">
        <v>0.72</v>
      </c>
      <c r="N27" s="1467">
        <f t="shared" si="23"/>
        <v>8.3000000000000001E-3</v>
      </c>
      <c r="O27" s="1468">
        <f t="shared" si="19"/>
        <v>1.47E-2</v>
      </c>
      <c r="P27" s="1468">
        <f t="shared" si="19"/>
        <v>6.5000000000000006E-3</v>
      </c>
      <c r="Q27" s="1468">
        <f t="shared" si="19"/>
        <v>7.1999999999999998E-3</v>
      </c>
      <c r="R27" s="1469"/>
      <c r="S27" s="1467"/>
      <c r="T27" s="1468"/>
      <c r="U27" s="1468"/>
      <c r="V27" s="1468"/>
      <c r="X27" s="1454">
        <f>ROUND(SUMPRODUCT(PRODUCT(1+N27:N$28)),4)</f>
        <v>1.0325</v>
      </c>
      <c r="Y27" s="1454">
        <f>ROUND(SUMPRODUCT(PRODUCT(1+O27:O$28)),4)</f>
        <v>1.0353000000000001</v>
      </c>
      <c r="Z27" s="1454">
        <f>Y27</f>
        <v>1.0353000000000001</v>
      </c>
      <c r="AA27" s="1454">
        <f>ROUND(SUMPRODUCT(PRODUCT(1+P27:P$28)),4)</f>
        <v>1.0326</v>
      </c>
      <c r="AB27" s="1454">
        <f>ROUND(SUMPRODUCT(PRODUCT(1+Q27:Q$28)),4)</f>
        <v>1.0225</v>
      </c>
      <c r="AD27" s="1455">
        <f>ROUND(AVERAGE(I27:I$29)/100,4)</f>
        <v>2.07E-2</v>
      </c>
      <c r="AE27" s="1455">
        <f>ROUND(AVERAGE(J27:J$29)/100,4)</f>
        <v>1.95E-2</v>
      </c>
      <c r="AF27" s="1455">
        <f t="shared" si="1"/>
        <v>1.95E-2</v>
      </c>
      <c r="AG27" s="1455">
        <f>ROUND(AVERAGE(K27:K$29)/100,4)</f>
        <v>2.1700000000000001E-2</v>
      </c>
      <c r="AH27" s="1455">
        <f>ROUND(AVERAGE(L27:L$29)/100,4)</f>
        <v>1.2E-2</v>
      </c>
    </row>
    <row r="28" spans="1:34" ht="13.5" thickBot="1">
      <c r="A28" s="1456" t="s">
        <v>145</v>
      </c>
      <c r="B28" s="1472">
        <f t="shared" si="26"/>
        <v>314.72141172386546</v>
      </c>
      <c r="C28" s="1472">
        <f t="shared" si="26"/>
        <v>263.03901319069001</v>
      </c>
      <c r="D28" s="1472">
        <f t="shared" si="21"/>
        <v>263.03901319069001</v>
      </c>
      <c r="E28" s="1472">
        <f t="shared" si="27"/>
        <v>433.65745506782821</v>
      </c>
      <c r="F28" s="1472">
        <f t="shared" si="27"/>
        <v>233.23005080045735</v>
      </c>
      <c r="G28" s="3279"/>
      <c r="H28" s="1477">
        <v>2</v>
      </c>
      <c r="I28" s="1477">
        <v>2.4</v>
      </c>
      <c r="J28" s="1477">
        <v>2.0299999999999998</v>
      </c>
      <c r="K28" s="1477">
        <v>2.59</v>
      </c>
      <c r="L28" s="1478">
        <v>1.52</v>
      </c>
      <c r="N28" s="1467">
        <f t="shared" si="23"/>
        <v>2.4E-2</v>
      </c>
      <c r="O28" s="1468">
        <f t="shared" si="19"/>
        <v>2.0299999999999999E-2</v>
      </c>
      <c r="P28" s="1468">
        <f t="shared" si="19"/>
        <v>2.5899999999999999E-2</v>
      </c>
      <c r="Q28" s="1468">
        <f t="shared" si="19"/>
        <v>1.52E-2</v>
      </c>
      <c r="R28" s="1469"/>
      <c r="S28" s="1467"/>
      <c r="T28" s="1468"/>
      <c r="U28" s="1468"/>
      <c r="V28" s="1468"/>
      <c r="X28" s="1454">
        <f>1+N28</f>
        <v>1.024</v>
      </c>
      <c r="Y28" s="1454">
        <f>1+O28</f>
        <v>1.0203</v>
      </c>
      <c r="Z28" s="1454">
        <f>Y28</f>
        <v>1.0203</v>
      </c>
      <c r="AA28" s="1454">
        <f>1+P28</f>
        <v>1.0259</v>
      </c>
      <c r="AB28" s="1454">
        <f>1+Q28</f>
        <v>1.0152000000000001</v>
      </c>
      <c r="AD28" s="1455">
        <f>ROUND(AVERAGE(I28:I$29)/100,4)</f>
        <v>2.69E-2</v>
      </c>
      <c r="AE28" s="1455">
        <f>ROUND(AVERAGE(J28:J$29)/100,4)</f>
        <v>2.1899999999999999E-2</v>
      </c>
      <c r="AF28" s="1455">
        <f>AE28</f>
        <v>2.1899999999999999E-2</v>
      </c>
      <c r="AG28" s="1455">
        <f>ROUND(AVERAGE(K28:K$29)/100,4)</f>
        <v>2.9399999999999999E-2</v>
      </c>
      <c r="AH28" s="1455">
        <f>ROUND(AVERAGE(L28:L$29)/100,4)</f>
        <v>1.44E-2</v>
      </c>
    </row>
    <row r="29" spans="1:34" s="1493" customFormat="1" ht="13.5" thickBot="1">
      <c r="A29" s="1489" t="s">
        <v>144</v>
      </c>
      <c r="B29" s="1490">
        <f t="shared" si="26"/>
        <v>307.34512863658733</v>
      </c>
      <c r="C29" s="1490">
        <f t="shared" si="26"/>
        <v>257.80556031626975</v>
      </c>
      <c r="D29" s="1490">
        <f t="shared" si="21"/>
        <v>257.80556031626975</v>
      </c>
      <c r="E29" s="1490">
        <f t="shared" si="27"/>
        <v>422.70928459677179</v>
      </c>
      <c r="F29" s="1490">
        <f t="shared" si="27"/>
        <v>229.73803270336617</v>
      </c>
      <c r="G29" s="3280"/>
      <c r="H29" s="1491">
        <v>1</v>
      </c>
      <c r="I29" s="1491">
        <v>2.97</v>
      </c>
      <c r="J29" s="1491">
        <v>2.34</v>
      </c>
      <c r="K29" s="1491">
        <v>3.28</v>
      </c>
      <c r="L29" s="1492">
        <v>1.36</v>
      </c>
      <c r="N29" s="1494">
        <f t="shared" si="23"/>
        <v>2.9700000000000001E-2</v>
      </c>
      <c r="O29" s="1495">
        <f t="shared" si="19"/>
        <v>2.3399999999999997E-2</v>
      </c>
      <c r="P29" s="1495">
        <f t="shared" si="19"/>
        <v>3.2799999999999996E-2</v>
      </c>
      <c r="Q29" s="1495">
        <f t="shared" si="19"/>
        <v>1.3600000000000001E-2</v>
      </c>
      <c r="R29" s="1496"/>
      <c r="S29" s="1497">
        <f>B29/B30-1</f>
        <v>2.7910129219355539E-2</v>
      </c>
      <c r="T29" s="1498">
        <f>C29/C30-1</f>
        <v>2.3037937762975247E-2</v>
      </c>
      <c r="U29" s="1498">
        <f>E29/E30-1</f>
        <v>3.3519033243940788E-2</v>
      </c>
      <c r="V29" s="1498">
        <f>F29/F30-1</f>
        <v>1.2061818076502862E-2</v>
      </c>
      <c r="W29" s="1499" t="s">
        <v>1158</v>
      </c>
      <c r="X29" s="1500">
        <v>1</v>
      </c>
      <c r="Y29" s="1500">
        <v>1</v>
      </c>
      <c r="Z29" s="1500">
        <v>1</v>
      </c>
      <c r="AA29" s="1500">
        <v>1</v>
      </c>
      <c r="AB29" s="1500">
        <v>1</v>
      </c>
      <c r="AD29" s="1722">
        <f>I29/100</f>
        <v>2.9700000000000001E-2</v>
      </c>
      <c r="AE29" s="1722">
        <f>J29/100</f>
        <v>2.3399999999999997E-2</v>
      </c>
      <c r="AF29" s="1722">
        <f>AE29</f>
        <v>2.3399999999999997E-2</v>
      </c>
      <c r="AG29" s="1722">
        <f>K29/100</f>
        <v>3.2799999999999996E-2</v>
      </c>
      <c r="AH29" s="1722">
        <f>L29/100</f>
        <v>1.3600000000000001E-2</v>
      </c>
    </row>
    <row r="30" spans="1:34" ht="13.5" thickBot="1">
      <c r="A30" s="1456" t="s">
        <v>1159</v>
      </c>
      <c r="B30" s="1464">
        <v>299</v>
      </c>
      <c r="C30" s="1464">
        <v>252</v>
      </c>
      <c r="D30" s="1464">
        <f t="shared" si="21"/>
        <v>252</v>
      </c>
      <c r="E30" s="1464">
        <v>409</v>
      </c>
      <c r="F30" s="1465">
        <v>227</v>
      </c>
      <c r="G30" s="3283">
        <v>2013</v>
      </c>
      <c r="H30" s="1501">
        <v>4</v>
      </c>
      <c r="I30" s="1501">
        <v>1.83</v>
      </c>
      <c r="J30" s="1501">
        <v>1.68</v>
      </c>
      <c r="K30" s="1501">
        <v>1.97</v>
      </c>
      <c r="L30" s="1502">
        <v>0.87</v>
      </c>
      <c r="N30" s="1479">
        <f t="shared" si="23"/>
        <v>1.83E-2</v>
      </c>
      <c r="O30" s="1480">
        <f t="shared" si="19"/>
        <v>1.6799999999999999E-2</v>
      </c>
      <c r="P30" s="1480">
        <f t="shared" si="19"/>
        <v>1.9699999999999999E-2</v>
      </c>
      <c r="Q30" s="1480">
        <f t="shared" si="19"/>
        <v>8.6999999999999994E-3</v>
      </c>
      <c r="R30" s="1469"/>
      <c r="S30" s="1470"/>
      <c r="T30" s="1471"/>
      <c r="U30" s="1471"/>
      <c r="V30" s="1471"/>
      <c r="X30" s="1471"/>
      <c r="Y30" s="1471"/>
      <c r="Z30" s="1471"/>
    </row>
    <row r="31" spans="1:34">
      <c r="A31" s="1456" t="s">
        <v>1160</v>
      </c>
      <c r="B31" s="1472">
        <f t="shared" ref="B31:C33" si="28">B30/(1+N30)</f>
        <v>293.62663262299913</v>
      </c>
      <c r="C31" s="1472">
        <f t="shared" si="28"/>
        <v>247.83634933123525</v>
      </c>
      <c r="D31" s="1472">
        <f t="shared" si="21"/>
        <v>247.83634933123525</v>
      </c>
      <c r="E31" s="1472">
        <f t="shared" ref="E31:F33" si="29">E30/(1+P30)</f>
        <v>401.09836226341076</v>
      </c>
      <c r="F31" s="1472">
        <f t="shared" si="29"/>
        <v>225.04213343908003</v>
      </c>
      <c r="G31" s="3284"/>
      <c r="H31" s="1482">
        <v>3</v>
      </c>
      <c r="I31" s="1482">
        <v>1.86</v>
      </c>
      <c r="J31" s="1482">
        <v>1.72</v>
      </c>
      <c r="K31" s="1482">
        <v>1.98</v>
      </c>
      <c r="L31" s="1483">
        <v>0.88</v>
      </c>
      <c r="N31" s="1467">
        <f t="shared" si="23"/>
        <v>1.8600000000000002E-2</v>
      </c>
      <c r="O31" s="1484">
        <f t="shared" si="19"/>
        <v>1.72E-2</v>
      </c>
      <c r="P31" s="1484">
        <f t="shared" si="19"/>
        <v>1.9799999999999998E-2</v>
      </c>
      <c r="Q31" s="1484">
        <f t="shared" si="19"/>
        <v>8.8000000000000005E-3</v>
      </c>
      <c r="R31" s="1469"/>
      <c r="S31" s="1467"/>
      <c r="T31" s="1468"/>
      <c r="U31" s="1468"/>
      <c r="V31" s="1468"/>
    </row>
    <row r="32" spans="1:34">
      <c r="A32" s="1456" t="s">
        <v>1161</v>
      </c>
      <c r="B32" s="1472">
        <f t="shared" si="28"/>
        <v>288.2649053828776</v>
      </c>
      <c r="C32" s="1472">
        <f t="shared" si="28"/>
        <v>243.64564425013293</v>
      </c>
      <c r="D32" s="1472">
        <f t="shared" si="21"/>
        <v>243.64564425013293</v>
      </c>
      <c r="E32" s="1472">
        <f t="shared" si="29"/>
        <v>393.31080825986544</v>
      </c>
      <c r="F32" s="1472">
        <f t="shared" si="29"/>
        <v>223.07903790551154</v>
      </c>
      <c r="G32" s="3284"/>
      <c r="H32" s="1460">
        <v>2</v>
      </c>
      <c r="I32" s="1460">
        <v>2.04</v>
      </c>
      <c r="J32" s="1460">
        <v>2.33</v>
      </c>
      <c r="K32" s="1460">
        <v>2.0699999999999998</v>
      </c>
      <c r="L32" s="1474">
        <v>0.69</v>
      </c>
      <c r="N32" s="1467">
        <f t="shared" si="23"/>
        <v>2.0400000000000001E-2</v>
      </c>
      <c r="O32" s="1484">
        <f t="shared" si="19"/>
        <v>2.3300000000000001E-2</v>
      </c>
      <c r="P32" s="1484">
        <f t="shared" si="19"/>
        <v>2.07E-2</v>
      </c>
      <c r="Q32" s="1484">
        <f t="shared" si="19"/>
        <v>6.8999999999999999E-3</v>
      </c>
      <c r="R32" s="1469"/>
      <c r="S32" s="1467"/>
      <c r="T32" s="1468"/>
      <c r="U32" s="1468"/>
      <c r="V32" s="1468"/>
      <c r="X32" s="1503"/>
      <c r="Y32" s="1504"/>
    </row>
    <row r="33" spans="1:26">
      <c r="A33" s="1456" t="s">
        <v>1162</v>
      </c>
      <c r="B33" s="1472">
        <f t="shared" si="28"/>
        <v>282.50186729015837</v>
      </c>
      <c r="C33" s="1472">
        <f t="shared" si="28"/>
        <v>238.09796174155468</v>
      </c>
      <c r="D33" s="1472">
        <f t="shared" si="21"/>
        <v>238.09796174155468</v>
      </c>
      <c r="E33" s="1472">
        <f t="shared" si="29"/>
        <v>385.33438646014054</v>
      </c>
      <c r="F33" s="1472">
        <f t="shared" si="29"/>
        <v>221.55034055567739</v>
      </c>
      <c r="G33" s="3285"/>
      <c r="H33" s="1459">
        <v>1</v>
      </c>
      <c r="I33" s="1459">
        <v>1.67</v>
      </c>
      <c r="J33" s="1459">
        <v>1.31</v>
      </c>
      <c r="K33" s="1459">
        <v>1.85</v>
      </c>
      <c r="L33" s="1473">
        <v>0.96</v>
      </c>
      <c r="N33" s="1475">
        <f t="shared" si="23"/>
        <v>1.67E-2</v>
      </c>
      <c r="O33" s="1476">
        <f t="shared" si="23"/>
        <v>1.3100000000000001E-2</v>
      </c>
      <c r="P33" s="1476">
        <f t="shared" si="23"/>
        <v>1.8500000000000003E-2</v>
      </c>
      <c r="Q33" s="1476">
        <f t="shared" si="23"/>
        <v>9.5999999999999992E-3</v>
      </c>
      <c r="R33" s="1469"/>
      <c r="S33" s="1475">
        <f>B33/B34-1</f>
        <v>1.6193767230785472E-2</v>
      </c>
      <c r="T33" s="1476">
        <f>C33/C34-1</f>
        <v>1.7512657015190891E-2</v>
      </c>
      <c r="U33" s="1476">
        <f>E33/E34-1</f>
        <v>1.6713420739157048E-2</v>
      </c>
      <c r="V33" s="1476">
        <f>F33/F34-1</f>
        <v>7.0470025258062563E-3</v>
      </c>
      <c r="X33" s="1505"/>
      <c r="Y33" s="1455"/>
      <c r="Z33" s="1455"/>
    </row>
    <row r="34" spans="1:26" ht="13.5" thickBot="1">
      <c r="A34" s="1456" t="s">
        <v>1163</v>
      </c>
      <c r="B34" s="1506">
        <v>278</v>
      </c>
      <c r="C34" s="1506">
        <v>234</v>
      </c>
      <c r="D34" s="1506">
        <f t="shared" si="21"/>
        <v>234</v>
      </c>
      <c r="E34" s="1506">
        <v>379</v>
      </c>
      <c r="F34" s="1507">
        <v>220</v>
      </c>
      <c r="G34" s="3278">
        <v>2012</v>
      </c>
      <c r="H34" s="1477">
        <v>4</v>
      </c>
      <c r="I34" s="1477">
        <v>0.91</v>
      </c>
      <c r="J34" s="1477">
        <v>0.68</v>
      </c>
      <c r="K34" s="1477">
        <v>0.98</v>
      </c>
      <c r="L34" s="1478">
        <v>0.9</v>
      </c>
      <c r="N34" s="1467">
        <f t="shared" si="23"/>
        <v>9.1000000000000004E-3</v>
      </c>
      <c r="O34" s="1468">
        <f t="shared" si="23"/>
        <v>6.8000000000000005E-3</v>
      </c>
      <c r="P34" s="1468">
        <f t="shared" si="23"/>
        <v>9.7999999999999997E-3</v>
      </c>
      <c r="Q34" s="1468">
        <f t="shared" si="23"/>
        <v>9.0000000000000011E-3</v>
      </c>
      <c r="R34" s="1469"/>
      <c r="S34" s="1470"/>
      <c r="T34" s="1471"/>
      <c r="U34" s="1471"/>
      <c r="V34" s="1471"/>
      <c r="X34" s="1471"/>
      <c r="Y34" s="1471"/>
      <c r="Z34" s="1471"/>
    </row>
    <row r="35" spans="1:26">
      <c r="A35" s="1456" t="s">
        <v>1164</v>
      </c>
      <c r="B35" s="1472">
        <f>B34/(1+N34)</f>
        <v>275.49301357645425</v>
      </c>
      <c r="C35" s="1472">
        <f>C34/(1+O34)</f>
        <v>232.41954707985698</v>
      </c>
      <c r="D35" s="1472">
        <f t="shared" si="21"/>
        <v>232.41954707985698</v>
      </c>
      <c r="E35" s="1472">
        <f t="shared" ref="E35:F37" si="30">E34/(1+P34)</f>
        <v>375.32184591008121</v>
      </c>
      <c r="F35" s="1472">
        <f t="shared" si="30"/>
        <v>218.03766105054513</v>
      </c>
      <c r="G35" s="3279"/>
      <c r="H35" s="1482">
        <v>3</v>
      </c>
      <c r="I35" s="1482">
        <v>0.09</v>
      </c>
      <c r="J35" s="1482">
        <v>0.28999999999999998</v>
      </c>
      <c r="K35" s="1482">
        <v>-0.01</v>
      </c>
      <c r="L35" s="1483">
        <v>0.57999999999999996</v>
      </c>
      <c r="N35" s="1467">
        <f t="shared" si="23"/>
        <v>8.9999999999999998E-4</v>
      </c>
      <c r="O35" s="1468">
        <f t="shared" si="23"/>
        <v>2.8999999999999998E-3</v>
      </c>
      <c r="P35" s="1468">
        <f t="shared" si="23"/>
        <v>-1E-4</v>
      </c>
      <c r="Q35" s="1468">
        <f t="shared" si="23"/>
        <v>5.7999999999999996E-3</v>
      </c>
      <c r="R35" s="1469"/>
      <c r="S35" s="1467"/>
      <c r="T35" s="1468"/>
      <c r="U35" s="1468"/>
      <c r="V35" s="1468"/>
    </row>
    <row r="36" spans="1:26">
      <c r="A36" s="1456" t="s">
        <v>1165</v>
      </c>
      <c r="B36" s="1472">
        <f>B35/(1+N35)</f>
        <v>275.24529281292263</v>
      </c>
      <c r="C36" s="1472">
        <f>C35/(1+O35)</f>
        <v>231.74747938962707</v>
      </c>
      <c r="D36" s="1472">
        <f t="shared" si="21"/>
        <v>231.74747938962707</v>
      </c>
      <c r="E36" s="1472">
        <f t="shared" si="30"/>
        <v>375.35938184826603</v>
      </c>
      <c r="F36" s="1472">
        <f t="shared" si="30"/>
        <v>216.78033510692495</v>
      </c>
      <c r="G36" s="3279"/>
      <c r="H36" s="1460">
        <v>2</v>
      </c>
      <c r="I36" s="1460">
        <v>0.02</v>
      </c>
      <c r="J36" s="1460">
        <v>0.12</v>
      </c>
      <c r="K36" s="1460">
        <v>-0.08</v>
      </c>
      <c r="L36" s="1474">
        <v>1.24</v>
      </c>
      <c r="N36" s="1467">
        <f t="shared" si="23"/>
        <v>2.0000000000000001E-4</v>
      </c>
      <c r="O36" s="1468">
        <f t="shared" si="23"/>
        <v>1.1999999999999999E-3</v>
      </c>
      <c r="P36" s="1468">
        <f t="shared" si="23"/>
        <v>-8.0000000000000004E-4</v>
      </c>
      <c r="Q36" s="1468">
        <f t="shared" si="23"/>
        <v>1.24E-2</v>
      </c>
      <c r="R36" s="1469"/>
      <c r="S36" s="1467"/>
      <c r="T36" s="1468"/>
      <c r="U36" s="1468"/>
      <c r="V36" s="1468"/>
    </row>
    <row r="37" spans="1:26" ht="13.5" thickBot="1">
      <c r="A37" s="1456" t="s">
        <v>1166</v>
      </c>
      <c r="B37" s="1472">
        <f>B36/(1+N36)</f>
        <v>275.19025476197027</v>
      </c>
      <c r="C37" s="1508">
        <v>232</v>
      </c>
      <c r="D37" s="1508">
        <f t="shared" si="21"/>
        <v>232</v>
      </c>
      <c r="E37" s="1472">
        <f t="shared" si="30"/>
        <v>375.65990977608692</v>
      </c>
      <c r="F37" s="1472">
        <f t="shared" si="30"/>
        <v>214.12518283971252</v>
      </c>
      <c r="G37" s="3280"/>
      <c r="H37" s="1459">
        <v>1</v>
      </c>
      <c r="I37" s="1459">
        <v>0.02</v>
      </c>
      <c r="J37" s="1459">
        <v>0.13</v>
      </c>
      <c r="K37" s="1459">
        <v>-0.04</v>
      </c>
      <c r="L37" s="1473">
        <v>0.46</v>
      </c>
      <c r="N37" s="1467">
        <f t="shared" si="23"/>
        <v>2.0000000000000001E-4</v>
      </c>
      <c r="O37" s="1468">
        <f t="shared" si="23"/>
        <v>1.2999999999999999E-3</v>
      </c>
      <c r="P37" s="1468">
        <f t="shared" si="23"/>
        <v>-4.0000000000000002E-4</v>
      </c>
      <c r="Q37" s="1468">
        <f t="shared" si="23"/>
        <v>4.5999999999999999E-3</v>
      </c>
      <c r="R37" s="1469"/>
      <c r="S37" s="1475">
        <f>B37/B38-1</f>
        <v>6.9183549807361189E-4</v>
      </c>
      <c r="T37" s="1476">
        <f>C37/C38-1</f>
        <v>0</v>
      </c>
      <c r="U37" s="1476">
        <f>E37/E38-1</f>
        <v>-9.0449527636460303E-4</v>
      </c>
      <c r="V37" s="1476">
        <f>F37/F38-1</f>
        <v>5.2825485432512753E-3</v>
      </c>
      <c r="X37" s="1455"/>
      <c r="Y37" s="1455"/>
      <c r="Z37" s="1455"/>
    </row>
    <row r="38" spans="1:26" ht="13.5" thickBot="1">
      <c r="A38" s="1456" t="s">
        <v>1167</v>
      </c>
      <c r="B38" s="1464">
        <v>275</v>
      </c>
      <c r="C38" s="1464">
        <v>232</v>
      </c>
      <c r="D38" s="1464">
        <f t="shared" si="21"/>
        <v>232</v>
      </c>
      <c r="E38" s="1464">
        <v>376</v>
      </c>
      <c r="F38" s="1465">
        <v>213</v>
      </c>
      <c r="G38" s="3278">
        <v>2011</v>
      </c>
      <c r="H38" s="1477">
        <v>4</v>
      </c>
      <c r="I38" s="1477">
        <v>-0.2</v>
      </c>
      <c r="J38" s="1477">
        <v>0.04</v>
      </c>
      <c r="K38" s="1477">
        <v>-0.34</v>
      </c>
      <c r="L38" s="1478">
        <v>0.46</v>
      </c>
      <c r="N38" s="1479">
        <f t="shared" si="23"/>
        <v>-2E-3</v>
      </c>
      <c r="O38" s="1480">
        <f t="shared" si="23"/>
        <v>4.0000000000000002E-4</v>
      </c>
      <c r="P38" s="1480">
        <f t="shared" si="23"/>
        <v>-3.4000000000000002E-3</v>
      </c>
      <c r="Q38" s="1480">
        <f t="shared" si="23"/>
        <v>4.5999999999999999E-3</v>
      </c>
      <c r="R38" s="1469"/>
      <c r="S38" s="1470"/>
      <c r="T38" s="1471"/>
      <c r="U38" s="1471"/>
      <c r="V38" s="1471"/>
      <c r="X38" s="1471"/>
      <c r="Y38" s="1471"/>
      <c r="Z38" s="1471"/>
    </row>
    <row r="39" spans="1:26">
      <c r="A39" s="1456" t="s">
        <v>1168</v>
      </c>
      <c r="B39" s="1472">
        <f t="shared" ref="B39:C41" si="31">B38/(1+N38)</f>
        <v>275.55110220440883</v>
      </c>
      <c r="C39" s="1472">
        <f t="shared" si="31"/>
        <v>231.90723710515795</v>
      </c>
      <c r="D39" s="1472">
        <f t="shared" si="21"/>
        <v>231.90723710515795</v>
      </c>
      <c r="E39" s="1472">
        <f t="shared" ref="E39:F41" si="32">E38/(1+P38)</f>
        <v>377.28276138872161</v>
      </c>
      <c r="F39" s="1472">
        <f t="shared" si="32"/>
        <v>212.02468644236512</v>
      </c>
      <c r="G39" s="3279">
        <v>2011</v>
      </c>
      <c r="H39" s="1482">
        <v>3</v>
      </c>
      <c r="I39" s="1482">
        <v>0.13</v>
      </c>
      <c r="J39" s="1482">
        <v>0.75</v>
      </c>
      <c r="K39" s="1482">
        <v>-0.08</v>
      </c>
      <c r="L39" s="1483">
        <v>0.53</v>
      </c>
      <c r="N39" s="1467">
        <f t="shared" si="23"/>
        <v>1.2999999999999999E-3</v>
      </c>
      <c r="O39" s="1484">
        <f t="shared" si="23"/>
        <v>7.4999999999999997E-3</v>
      </c>
      <c r="P39" s="1484">
        <f t="shared" si="23"/>
        <v>-8.0000000000000004E-4</v>
      </c>
      <c r="Q39" s="1484">
        <f t="shared" si="23"/>
        <v>5.3E-3</v>
      </c>
      <c r="R39" s="1469"/>
      <c r="S39" s="1467"/>
      <c r="T39" s="1468"/>
      <c r="U39" s="1468"/>
      <c r="V39" s="1468"/>
    </row>
    <row r="40" spans="1:26">
      <c r="A40" s="1456" t="s">
        <v>1169</v>
      </c>
      <c r="B40" s="1472">
        <f t="shared" si="31"/>
        <v>275.19335084830601</v>
      </c>
      <c r="C40" s="1472">
        <f t="shared" si="31"/>
        <v>230.18088050139744</v>
      </c>
      <c r="D40" s="1472">
        <f t="shared" si="21"/>
        <v>230.18088050139744</v>
      </c>
      <c r="E40" s="1472">
        <f t="shared" si="32"/>
        <v>377.58482925212331</v>
      </c>
      <c r="F40" s="1472">
        <f t="shared" si="32"/>
        <v>210.90687997847917</v>
      </c>
      <c r="G40" s="3279">
        <v>2011</v>
      </c>
      <c r="H40" s="1460">
        <v>2</v>
      </c>
      <c r="I40" s="1460">
        <v>-0.4</v>
      </c>
      <c r="J40" s="1460">
        <v>0.17</v>
      </c>
      <c r="K40" s="1460">
        <v>-0.57999999999999996</v>
      </c>
      <c r="L40" s="1474">
        <v>-0.2</v>
      </c>
      <c r="N40" s="1467">
        <f t="shared" si="23"/>
        <v>-4.0000000000000001E-3</v>
      </c>
      <c r="O40" s="1484">
        <f t="shared" si="23"/>
        <v>1.7000000000000001E-3</v>
      </c>
      <c r="P40" s="1484">
        <f t="shared" si="23"/>
        <v>-5.7999999999999996E-3</v>
      </c>
      <c r="Q40" s="1484">
        <f t="shared" si="23"/>
        <v>-2E-3</v>
      </c>
      <c r="R40" s="1469"/>
      <c r="S40" s="1467"/>
      <c r="T40" s="1468"/>
      <c r="U40" s="1468"/>
      <c r="V40" s="1468"/>
    </row>
    <row r="41" spans="1:26" ht="13.5" thickBot="1">
      <c r="A41" s="1456" t="s">
        <v>1170</v>
      </c>
      <c r="B41" s="1472">
        <f t="shared" si="31"/>
        <v>276.29854502841971</v>
      </c>
      <c r="C41" s="1472">
        <f t="shared" si="31"/>
        <v>229.79023709833027</v>
      </c>
      <c r="D41" s="1472">
        <f t="shared" si="21"/>
        <v>229.79023709833027</v>
      </c>
      <c r="E41" s="1472">
        <f t="shared" si="32"/>
        <v>379.78759731655936</v>
      </c>
      <c r="F41" s="1472">
        <f t="shared" si="32"/>
        <v>211.32953905659235</v>
      </c>
      <c r="G41" s="3280">
        <v>2011</v>
      </c>
      <c r="H41" s="1459">
        <v>1</v>
      </c>
      <c r="I41" s="1459">
        <v>2.65</v>
      </c>
      <c r="J41" s="1459">
        <v>3.76</v>
      </c>
      <c r="K41" s="1459">
        <v>1.89</v>
      </c>
      <c r="L41" s="1473">
        <v>7.95</v>
      </c>
      <c r="N41" s="1475">
        <f t="shared" si="23"/>
        <v>2.6499999999999999E-2</v>
      </c>
      <c r="O41" s="1476">
        <f t="shared" si="23"/>
        <v>3.7599999999999995E-2</v>
      </c>
      <c r="P41" s="1476">
        <f t="shared" si="23"/>
        <v>1.89E-2</v>
      </c>
      <c r="Q41" s="1476">
        <f t="shared" si="23"/>
        <v>7.9500000000000001E-2</v>
      </c>
      <c r="R41" s="1469"/>
      <c r="S41" s="1475">
        <f>B41/B42-1</f>
        <v>2.713213765211786E-2</v>
      </c>
      <c r="T41" s="1476">
        <f>C41/C42-1</f>
        <v>3.9774828499231862E-2</v>
      </c>
      <c r="U41" s="1476">
        <f>E41/E42-1</f>
        <v>1.8197311840641772E-2</v>
      </c>
      <c r="V41" s="1476">
        <f>F41/F42-1</f>
        <v>7.8211933962205826E-2</v>
      </c>
      <c r="X41" s="1455"/>
      <c r="Y41" s="1455"/>
      <c r="Z41" s="1455"/>
    </row>
    <row r="42" spans="1:26" ht="13.5" thickBot="1">
      <c r="A42" s="1456" t="s">
        <v>1171</v>
      </c>
      <c r="B42" s="1464">
        <v>269</v>
      </c>
      <c r="C42" s="1464">
        <v>221</v>
      </c>
      <c r="D42" s="1464">
        <f t="shared" si="21"/>
        <v>221</v>
      </c>
      <c r="E42" s="1464">
        <v>373</v>
      </c>
      <c r="F42" s="1465">
        <v>196</v>
      </c>
      <c r="G42" s="3278">
        <v>2010</v>
      </c>
      <c r="H42" s="1477">
        <v>4</v>
      </c>
      <c r="I42" s="1477">
        <v>5.72</v>
      </c>
      <c r="J42" s="1477">
        <v>6.57</v>
      </c>
      <c r="K42" s="1477">
        <v>5.72</v>
      </c>
      <c r="L42" s="1478">
        <v>2.72</v>
      </c>
      <c r="N42" s="1467">
        <f t="shared" si="23"/>
        <v>5.7200000000000001E-2</v>
      </c>
      <c r="O42" s="1468">
        <f t="shared" si="23"/>
        <v>6.5700000000000008E-2</v>
      </c>
      <c r="P42" s="1468">
        <f t="shared" si="23"/>
        <v>5.7200000000000001E-2</v>
      </c>
      <c r="Q42" s="1468">
        <f t="shared" si="23"/>
        <v>2.7200000000000002E-2</v>
      </c>
      <c r="R42" s="1469"/>
      <c r="S42" s="1470"/>
      <c r="T42" s="1471"/>
      <c r="U42" s="1471"/>
      <c r="V42" s="1471"/>
      <c r="X42" s="1471"/>
      <c r="Y42" s="1471"/>
      <c r="Z42" s="1471"/>
    </row>
    <row r="43" spans="1:26">
      <c r="A43" s="1456" t="s">
        <v>1172</v>
      </c>
      <c r="B43" s="1472">
        <f t="shared" ref="B43:C45" si="33">B42/(1+N42)</f>
        <v>254.44570563753314</v>
      </c>
      <c r="C43" s="1472">
        <f t="shared" si="33"/>
        <v>207.37543398705074</v>
      </c>
      <c r="D43" s="1472">
        <f t="shared" si="21"/>
        <v>207.37543398705074</v>
      </c>
      <c r="E43" s="1472">
        <f t="shared" ref="E43:F45" si="34">E42/(1+P42)</f>
        <v>352.81876655315932</v>
      </c>
      <c r="F43" s="1472">
        <f t="shared" si="34"/>
        <v>190.809968847352</v>
      </c>
      <c r="G43" s="3279">
        <v>2010</v>
      </c>
      <c r="H43" s="1482">
        <v>3</v>
      </c>
      <c r="I43" s="1482">
        <v>4.7300000000000004</v>
      </c>
      <c r="J43" s="1482">
        <v>3.9</v>
      </c>
      <c r="K43" s="1482">
        <v>5.03</v>
      </c>
      <c r="L43" s="1483">
        <v>4.21</v>
      </c>
      <c r="N43" s="1467">
        <f t="shared" si="23"/>
        <v>4.7300000000000002E-2</v>
      </c>
      <c r="O43" s="1468">
        <f t="shared" si="23"/>
        <v>3.9E-2</v>
      </c>
      <c r="P43" s="1468">
        <f t="shared" si="23"/>
        <v>5.0300000000000004E-2</v>
      </c>
      <c r="Q43" s="1468">
        <f t="shared" si="23"/>
        <v>4.2099999999999999E-2</v>
      </c>
      <c r="R43" s="1469"/>
      <c r="S43" s="1467"/>
      <c r="T43" s="1468"/>
      <c r="U43" s="1468"/>
      <c r="V43" s="1468"/>
    </row>
    <row r="44" spans="1:26">
      <c r="A44" s="1456" t="s">
        <v>1173</v>
      </c>
      <c r="B44" s="1472">
        <f t="shared" si="33"/>
        <v>242.95398227588385</v>
      </c>
      <c r="C44" s="1472">
        <f t="shared" si="33"/>
        <v>199.59137053614126</v>
      </c>
      <c r="D44" s="1472">
        <f t="shared" si="21"/>
        <v>199.59137053614126</v>
      </c>
      <c r="E44" s="1472">
        <f t="shared" si="34"/>
        <v>335.92189522342125</v>
      </c>
      <c r="F44" s="1472">
        <f t="shared" si="34"/>
        <v>183.10139991109489</v>
      </c>
      <c r="G44" s="3279">
        <v>2010</v>
      </c>
      <c r="H44" s="1460">
        <v>2</v>
      </c>
      <c r="I44" s="1460">
        <v>4.6900000000000004</v>
      </c>
      <c r="J44" s="1460">
        <v>3.55</v>
      </c>
      <c r="K44" s="1460">
        <v>5.07</v>
      </c>
      <c r="L44" s="1474">
        <v>4.2300000000000004</v>
      </c>
      <c r="N44" s="1467">
        <f t="shared" si="23"/>
        <v>4.6900000000000004E-2</v>
      </c>
      <c r="O44" s="1468">
        <f t="shared" si="23"/>
        <v>3.5499999999999997E-2</v>
      </c>
      <c r="P44" s="1468">
        <f t="shared" si="23"/>
        <v>5.0700000000000002E-2</v>
      </c>
      <c r="Q44" s="1468">
        <f t="shared" si="23"/>
        <v>4.2300000000000004E-2</v>
      </c>
      <c r="R44" s="1469"/>
      <c r="S44" s="1467"/>
      <c r="T44" s="1468"/>
      <c r="U44" s="1468"/>
      <c r="V44" s="1468"/>
    </row>
    <row r="45" spans="1:26" ht="13.5" thickBot="1">
      <c r="A45" s="1456" t="s">
        <v>1174</v>
      </c>
      <c r="B45" s="1472">
        <f t="shared" si="33"/>
        <v>232.06990378821649</v>
      </c>
      <c r="C45" s="1472">
        <f t="shared" si="33"/>
        <v>192.74878854286936</v>
      </c>
      <c r="D45" s="1472">
        <f t="shared" si="21"/>
        <v>192.74878854286936</v>
      </c>
      <c r="E45" s="1472">
        <f t="shared" si="34"/>
        <v>319.71247284992984</v>
      </c>
      <c r="F45" s="1472">
        <f t="shared" si="34"/>
        <v>175.67053622862409</v>
      </c>
      <c r="G45" s="3280">
        <v>2010</v>
      </c>
      <c r="H45" s="1459">
        <v>1</v>
      </c>
      <c r="I45" s="1459">
        <v>5.4</v>
      </c>
      <c r="J45" s="1459">
        <v>3.2</v>
      </c>
      <c r="K45" s="1459">
        <v>6.16</v>
      </c>
      <c r="L45" s="1473">
        <v>4.51</v>
      </c>
      <c r="N45" s="1467">
        <f t="shared" si="23"/>
        <v>5.4000000000000006E-2</v>
      </c>
      <c r="O45" s="1468">
        <f t="shared" si="23"/>
        <v>3.2000000000000001E-2</v>
      </c>
      <c r="P45" s="1468">
        <f t="shared" si="23"/>
        <v>6.1600000000000002E-2</v>
      </c>
      <c r="Q45" s="1468">
        <f t="shared" si="23"/>
        <v>4.5100000000000001E-2</v>
      </c>
      <c r="R45" s="1469"/>
      <c r="S45" s="1475">
        <f>B45/B46-1</f>
        <v>5.4863199037347599E-2</v>
      </c>
      <c r="T45" s="1476">
        <f>C45/C46-1</f>
        <v>3.0742184721226584E-2</v>
      </c>
      <c r="U45" s="1476">
        <f>E45/E46-1</f>
        <v>6.2167683886810154E-2</v>
      </c>
      <c r="V45" s="1476">
        <f>F45/F46-1</f>
        <v>4.5657953741810031E-2</v>
      </c>
      <c r="X45" s="1455"/>
      <c r="Y45" s="1455"/>
      <c r="Z45" s="1455"/>
    </row>
    <row r="46" spans="1:26" ht="13.5" thickBot="1">
      <c r="A46" s="1456" t="s">
        <v>1175</v>
      </c>
      <c r="B46" s="1464">
        <v>220</v>
      </c>
      <c r="C46" s="1464">
        <v>187</v>
      </c>
      <c r="D46" s="1464">
        <f t="shared" si="21"/>
        <v>187</v>
      </c>
      <c r="E46" s="1464">
        <v>301</v>
      </c>
      <c r="F46" s="1465">
        <v>168</v>
      </c>
      <c r="G46" s="3278">
        <v>2009</v>
      </c>
      <c r="H46" s="1477">
        <v>4</v>
      </c>
      <c r="I46" s="1477">
        <v>2.2999999999999998</v>
      </c>
      <c r="J46" s="1477">
        <v>1.04</v>
      </c>
      <c r="K46" s="1477">
        <v>2.84</v>
      </c>
      <c r="L46" s="1478">
        <v>0.67</v>
      </c>
      <c r="N46" s="1479">
        <f t="shared" si="23"/>
        <v>2.3E-2</v>
      </c>
      <c r="O46" s="1480">
        <f t="shared" si="23"/>
        <v>1.04E-2</v>
      </c>
      <c r="P46" s="1480">
        <f t="shared" si="23"/>
        <v>2.8399999999999998E-2</v>
      </c>
      <c r="Q46" s="1480">
        <f t="shared" si="23"/>
        <v>6.7000000000000002E-3</v>
      </c>
      <c r="R46" s="1469"/>
      <c r="S46" s="1470"/>
      <c r="T46" s="1471"/>
      <c r="U46" s="1471"/>
      <c r="V46" s="1471"/>
      <c r="X46" s="1471"/>
      <c r="Y46" s="1471"/>
      <c r="Z46" s="1471"/>
    </row>
    <row r="47" spans="1:26">
      <c r="A47" s="1456" t="s">
        <v>1176</v>
      </c>
      <c r="B47" s="1472">
        <f t="shared" ref="B47:C49" si="35">B46/(1+N46)</f>
        <v>215.05376344086022</v>
      </c>
      <c r="C47" s="1472">
        <f t="shared" si="35"/>
        <v>185.0752177355503</v>
      </c>
      <c r="D47" s="1472">
        <f t="shared" si="21"/>
        <v>185.0752177355503</v>
      </c>
      <c r="E47" s="1472">
        <f t="shared" ref="E47:F49" si="36">E46/(1+P46)</f>
        <v>292.68767016725008</v>
      </c>
      <c r="F47" s="1472">
        <f t="shared" si="36"/>
        <v>166.88189132810174</v>
      </c>
      <c r="G47" s="3279">
        <v>2009</v>
      </c>
      <c r="H47" s="1482">
        <v>3</v>
      </c>
      <c r="I47" s="1482">
        <v>2.1</v>
      </c>
      <c r="J47" s="1482">
        <v>1.86</v>
      </c>
      <c r="K47" s="1482">
        <v>2.29</v>
      </c>
      <c r="L47" s="1483">
        <v>0.85</v>
      </c>
      <c r="N47" s="1467">
        <f t="shared" si="23"/>
        <v>2.1000000000000001E-2</v>
      </c>
      <c r="O47" s="1484">
        <f t="shared" si="23"/>
        <v>1.8600000000000002E-2</v>
      </c>
      <c r="P47" s="1484">
        <f t="shared" si="23"/>
        <v>2.29E-2</v>
      </c>
      <c r="Q47" s="1484">
        <f t="shared" si="23"/>
        <v>8.5000000000000006E-3</v>
      </c>
      <c r="R47" s="1469"/>
      <c r="S47" s="1467"/>
      <c r="T47" s="1468"/>
      <c r="U47" s="1468"/>
      <c r="V47" s="1468"/>
    </row>
    <row r="48" spans="1:26">
      <c r="A48" s="1456" t="s">
        <v>1177</v>
      </c>
      <c r="B48" s="1472">
        <f t="shared" si="35"/>
        <v>210.630522469011</v>
      </c>
      <c r="C48" s="1472">
        <f t="shared" si="35"/>
        <v>181.69567812247232</v>
      </c>
      <c r="D48" s="1472">
        <f t="shared" si="21"/>
        <v>181.69567812247232</v>
      </c>
      <c r="E48" s="1472">
        <f t="shared" si="36"/>
        <v>286.13517466736738</v>
      </c>
      <c r="F48" s="1472">
        <f t="shared" si="36"/>
        <v>165.47535084591149</v>
      </c>
      <c r="G48" s="3279">
        <v>2009</v>
      </c>
      <c r="H48" s="1460">
        <v>2</v>
      </c>
      <c r="I48" s="1460">
        <v>0.86</v>
      </c>
      <c r="J48" s="1460">
        <v>-1.1299999999999999</v>
      </c>
      <c r="K48" s="1460">
        <v>1.79</v>
      </c>
      <c r="L48" s="1474">
        <v>-2.0699999999999998</v>
      </c>
      <c r="N48" s="1467">
        <f t="shared" si="23"/>
        <v>8.6E-3</v>
      </c>
      <c r="O48" s="1484">
        <f t="shared" si="23"/>
        <v>-1.1299999999999999E-2</v>
      </c>
      <c r="P48" s="1484">
        <f t="shared" si="23"/>
        <v>1.7899999999999999E-2</v>
      </c>
      <c r="Q48" s="1484">
        <f t="shared" si="23"/>
        <v>-2.07E-2</v>
      </c>
      <c r="R48" s="1469"/>
      <c r="S48" s="1467"/>
      <c r="T48" s="1468"/>
      <c r="U48" s="1468"/>
      <c r="V48" s="1468"/>
    </row>
    <row r="49" spans="1:26">
      <c r="A49" s="1456" t="s">
        <v>1178</v>
      </c>
      <c r="B49" s="1472">
        <f t="shared" si="35"/>
        <v>208.83454537875372</v>
      </c>
      <c r="C49" s="1472">
        <f t="shared" si="35"/>
        <v>183.77230517090351</v>
      </c>
      <c r="D49" s="1472">
        <f t="shared" si="21"/>
        <v>183.77230517090351</v>
      </c>
      <c r="E49" s="1472">
        <f t="shared" si="36"/>
        <v>281.10342338870947</v>
      </c>
      <c r="F49" s="1472">
        <f t="shared" si="36"/>
        <v>168.97309388942256</v>
      </c>
      <c r="G49" s="3280">
        <v>2009</v>
      </c>
      <c r="H49" s="1459">
        <v>1</v>
      </c>
      <c r="I49" s="1459">
        <v>-2.64</v>
      </c>
      <c r="J49" s="1459">
        <v>-2.5299999999999998</v>
      </c>
      <c r="K49" s="1459">
        <v>-3.02</v>
      </c>
      <c r="L49" s="1473">
        <v>1.52</v>
      </c>
      <c r="N49" s="1475">
        <f t="shared" si="23"/>
        <v>-2.64E-2</v>
      </c>
      <c r="O49" s="1476">
        <f t="shared" si="23"/>
        <v>-2.53E-2</v>
      </c>
      <c r="P49" s="1476">
        <f t="shared" si="23"/>
        <v>-3.0200000000000001E-2</v>
      </c>
      <c r="Q49" s="1476">
        <f t="shared" si="23"/>
        <v>1.52E-2</v>
      </c>
      <c r="R49" s="1469"/>
      <c r="S49" s="1475">
        <f>B49/B50-1</f>
        <v>-2.4137638417038754E-2</v>
      </c>
      <c r="T49" s="1476">
        <f>C49/C50-1</f>
        <v>-2.248773845264096E-2</v>
      </c>
      <c r="U49" s="1476">
        <f>E49/E50-1</f>
        <v>-2.7323794502735366E-2</v>
      </c>
      <c r="V49" s="1476">
        <f>F49/F50-1</f>
        <v>1.7910204153148035E-2</v>
      </c>
      <c r="X49" s="1455"/>
      <c r="Y49" s="1455"/>
      <c r="Z49" s="1455"/>
    </row>
    <row r="50" spans="1:26" ht="13.5" thickBot="1">
      <c r="A50" s="1456" t="s">
        <v>1179</v>
      </c>
      <c r="B50" s="1506">
        <v>214</v>
      </c>
      <c r="C50" s="1506">
        <v>188</v>
      </c>
      <c r="D50" s="1506">
        <f t="shared" si="21"/>
        <v>188</v>
      </c>
      <c r="E50" s="1506">
        <v>289</v>
      </c>
      <c r="F50" s="1507">
        <v>166</v>
      </c>
      <c r="G50" s="3278">
        <v>2008</v>
      </c>
      <c r="H50" s="1477">
        <v>4</v>
      </c>
      <c r="I50" s="1477">
        <v>1.73</v>
      </c>
      <c r="J50" s="1477">
        <v>0.03</v>
      </c>
      <c r="K50" s="1477">
        <v>2.59</v>
      </c>
      <c r="L50" s="1478">
        <v>-1.66</v>
      </c>
      <c r="N50" s="1467">
        <f t="shared" si="23"/>
        <v>1.7299999999999999E-2</v>
      </c>
      <c r="O50" s="1468">
        <f t="shared" si="23"/>
        <v>2.9999999999999997E-4</v>
      </c>
      <c r="P50" s="1468">
        <f t="shared" si="23"/>
        <v>2.5899999999999999E-2</v>
      </c>
      <c r="Q50" s="1468">
        <f t="shared" si="23"/>
        <v>-1.66E-2</v>
      </c>
      <c r="R50" s="1469"/>
      <c r="S50" s="1470"/>
      <c r="T50" s="1471"/>
      <c r="U50" s="1471"/>
      <c r="V50" s="1471"/>
      <c r="X50" s="1471"/>
      <c r="Y50" s="1471"/>
      <c r="Z50" s="1471"/>
    </row>
    <row r="51" spans="1:26">
      <c r="A51" s="1456" t="s">
        <v>1180</v>
      </c>
      <c r="B51" s="1472">
        <f t="shared" ref="B51:C53" si="37">B50/(1+N50)</f>
        <v>210.36075887152265</v>
      </c>
      <c r="C51" s="1472">
        <f t="shared" si="37"/>
        <v>187.94361691492554</v>
      </c>
      <c r="D51" s="1472">
        <f t="shared" si="21"/>
        <v>187.94361691492554</v>
      </c>
      <c r="E51" s="1472">
        <f t="shared" ref="E51:F53" si="38">E50/(1+P50)</f>
        <v>281.70386977288234</v>
      </c>
      <c r="F51" s="1472">
        <f t="shared" si="38"/>
        <v>168.80211511083994</v>
      </c>
      <c r="G51" s="3279">
        <v>2008</v>
      </c>
      <c r="H51" s="1482">
        <v>3</v>
      </c>
      <c r="I51" s="1482">
        <v>1.96</v>
      </c>
      <c r="J51" s="1482">
        <v>2.36</v>
      </c>
      <c r="K51" s="1482">
        <v>1.82</v>
      </c>
      <c r="L51" s="1483">
        <v>2.2200000000000002</v>
      </c>
      <c r="N51" s="1467">
        <f t="shared" si="23"/>
        <v>1.9599999999999999E-2</v>
      </c>
      <c r="O51" s="1468">
        <f t="shared" si="23"/>
        <v>2.3599999999999999E-2</v>
      </c>
      <c r="P51" s="1468">
        <f t="shared" si="23"/>
        <v>1.8200000000000001E-2</v>
      </c>
      <c r="Q51" s="1468">
        <f t="shared" si="23"/>
        <v>2.2200000000000001E-2</v>
      </c>
      <c r="R51" s="1469"/>
      <c r="S51" s="1467"/>
      <c r="T51" s="1468"/>
      <c r="U51" s="1468"/>
      <c r="V51" s="1468"/>
    </row>
    <row r="52" spans="1:26">
      <c r="A52" s="1456" t="s">
        <v>1181</v>
      </c>
      <c r="B52" s="1472">
        <f t="shared" si="37"/>
        <v>206.31694671589116</v>
      </c>
      <c r="C52" s="1472">
        <f t="shared" si="37"/>
        <v>183.61041121036101</v>
      </c>
      <c r="D52" s="1472">
        <f t="shared" si="21"/>
        <v>183.61041121036101</v>
      </c>
      <c r="E52" s="1472">
        <f t="shared" si="38"/>
        <v>276.66850301795557</v>
      </c>
      <c r="F52" s="1472">
        <f t="shared" si="38"/>
        <v>165.1360938278614</v>
      </c>
      <c r="G52" s="3279">
        <v>2008</v>
      </c>
      <c r="H52" s="1460">
        <v>2</v>
      </c>
      <c r="I52" s="1460">
        <v>4.93</v>
      </c>
      <c r="J52" s="1460">
        <v>7.38</v>
      </c>
      <c r="K52" s="1460">
        <v>3.98</v>
      </c>
      <c r="L52" s="1474">
        <v>6.86</v>
      </c>
      <c r="N52" s="1467">
        <f t="shared" si="23"/>
        <v>4.9299999999999997E-2</v>
      </c>
      <c r="O52" s="1468">
        <f t="shared" si="23"/>
        <v>7.3800000000000004E-2</v>
      </c>
      <c r="P52" s="1468">
        <f t="shared" si="23"/>
        <v>3.9800000000000002E-2</v>
      </c>
      <c r="Q52" s="1468">
        <f t="shared" si="23"/>
        <v>6.8600000000000008E-2</v>
      </c>
      <c r="R52" s="1469"/>
      <c r="S52" s="1467"/>
      <c r="T52" s="1468"/>
      <c r="U52" s="1468"/>
      <c r="V52" s="1468"/>
    </row>
    <row r="53" spans="1:26" s="1512" customFormat="1" ht="13.5" thickBot="1">
      <c r="A53" s="1456" t="s">
        <v>1182</v>
      </c>
      <c r="B53" s="1509">
        <f t="shared" si="37"/>
        <v>196.62341248059772</v>
      </c>
      <c r="C53" s="1509">
        <f t="shared" si="37"/>
        <v>170.99125648199012</v>
      </c>
      <c r="D53" s="1509">
        <f t="shared" si="21"/>
        <v>170.99125648199012</v>
      </c>
      <c r="E53" s="1509">
        <f t="shared" si="38"/>
        <v>266.07857570490052</v>
      </c>
      <c r="F53" s="1509">
        <f t="shared" si="38"/>
        <v>154.53499328828505</v>
      </c>
      <c r="G53" s="3280">
        <v>2008</v>
      </c>
      <c r="H53" s="1510">
        <v>1</v>
      </c>
      <c r="I53" s="1510">
        <v>4.1399999999999997</v>
      </c>
      <c r="J53" s="1510">
        <v>3.45</v>
      </c>
      <c r="K53" s="1510">
        <v>4.95</v>
      </c>
      <c r="L53" s="1511">
        <v>4.82</v>
      </c>
      <c r="N53" s="1513">
        <f t="shared" si="23"/>
        <v>4.1399999999999999E-2</v>
      </c>
      <c r="O53" s="1514">
        <f t="shared" si="23"/>
        <v>3.4500000000000003E-2</v>
      </c>
      <c r="P53" s="1514">
        <f t="shared" si="23"/>
        <v>4.9500000000000002E-2</v>
      </c>
      <c r="Q53" s="1514">
        <f t="shared" si="23"/>
        <v>4.82E-2</v>
      </c>
      <c r="R53" s="1515"/>
      <c r="S53" s="1513">
        <f>B53/B54-1</f>
        <v>4.5869215322328349E-2</v>
      </c>
      <c r="T53" s="1514">
        <f>C53/C54-1</f>
        <v>3.6310645345394743E-2</v>
      </c>
      <c r="U53" s="1514">
        <f>E53/E54-1</f>
        <v>4.7553447657088688E-2</v>
      </c>
      <c r="V53" s="1514">
        <f>F53/F54-1</f>
        <v>4.4155360055980086E-2</v>
      </c>
      <c r="X53" s="1516"/>
      <c r="Y53" s="1516"/>
      <c r="Z53" s="1516"/>
    </row>
    <row r="54" spans="1:26" ht="13.5" thickBot="1">
      <c r="A54" s="1456" t="s">
        <v>1183</v>
      </c>
      <c r="B54" s="1464">
        <v>188</v>
      </c>
      <c r="C54" s="1464">
        <v>165</v>
      </c>
      <c r="D54" s="1464">
        <f t="shared" si="21"/>
        <v>165</v>
      </c>
      <c r="E54" s="1464">
        <v>254</v>
      </c>
      <c r="F54" s="1465">
        <v>148</v>
      </c>
      <c r="G54" s="3278">
        <v>2007</v>
      </c>
      <c r="H54" s="1517">
        <v>4</v>
      </c>
      <c r="I54" s="1517">
        <v>5.51</v>
      </c>
      <c r="J54" s="1517">
        <v>4.8899999999999997</v>
      </c>
      <c r="K54" s="1517">
        <v>6.43</v>
      </c>
      <c r="L54" s="1518">
        <v>5.36</v>
      </c>
      <c r="N54" s="1519">
        <f t="shared" ref="N54:O57" si="39">B54/B55-1</f>
        <v>4.1339718365245526E-2</v>
      </c>
      <c r="O54" s="1520">
        <f t="shared" si="39"/>
        <v>4.0324492593776018E-2</v>
      </c>
      <c r="P54" s="1520">
        <f t="shared" ref="P54:Q57" si="40">E54/E55-1</f>
        <v>6.1625555347990968E-2</v>
      </c>
      <c r="Q54" s="1520">
        <f t="shared" si="40"/>
        <v>4.6757569250590603E-2</v>
      </c>
      <c r="R54" s="1469"/>
      <c r="S54" s="1470"/>
      <c r="T54" s="1471"/>
      <c r="U54" s="1471"/>
      <c r="V54" s="1471"/>
      <c r="X54" s="1471"/>
      <c r="Y54" s="1471"/>
      <c r="Z54" s="1471"/>
    </row>
    <row r="55" spans="1:26">
      <c r="A55" s="1456" t="s">
        <v>1184</v>
      </c>
      <c r="B55" s="1472">
        <f t="shared" ref="B55:C57" si="41">B56+(B$54-B$58)*I55/SUM(I$54:I$57)</f>
        <v>180.5366651097618</v>
      </c>
      <c r="C55" s="1472">
        <f t="shared" si="41"/>
        <v>158.60435967302453</v>
      </c>
      <c r="D55" s="1472">
        <f t="shared" si="21"/>
        <v>158.60435967302453</v>
      </c>
      <c r="E55" s="1472">
        <f t="shared" ref="E55:F57" si="42">E56+(E$54-E$58)*K55/SUM(K$54:K$57)</f>
        <v>239.25573260785075</v>
      </c>
      <c r="F55" s="1472">
        <f t="shared" si="42"/>
        <v>141.38899430740037</v>
      </c>
      <c r="G55" s="3279">
        <v>2007</v>
      </c>
      <c r="H55" s="1482">
        <v>3</v>
      </c>
      <c r="I55" s="1482">
        <v>8.65</v>
      </c>
      <c r="J55" s="1482">
        <v>8.06</v>
      </c>
      <c r="K55" s="1482">
        <v>9.94</v>
      </c>
      <c r="L55" s="1483">
        <v>5.8</v>
      </c>
      <c r="N55" s="1519">
        <f t="shared" si="39"/>
        <v>6.940217571740015E-2</v>
      </c>
      <c r="O55" s="1520">
        <f t="shared" si="39"/>
        <v>7.1197482471153428E-2</v>
      </c>
      <c r="P55" s="1520">
        <f t="shared" si="40"/>
        <v>0.10529679922579582</v>
      </c>
      <c r="Q55" s="1520">
        <f t="shared" si="40"/>
        <v>5.3292245059512133E-2</v>
      </c>
      <c r="R55" s="1469"/>
      <c r="S55" s="1467"/>
      <c r="T55" s="1468"/>
      <c r="U55" s="1468"/>
      <c r="V55" s="1468"/>
      <c r="X55" s="1521"/>
      <c r="Y55" s="1521"/>
      <c r="Z55" s="1521"/>
    </row>
    <row r="56" spans="1:26">
      <c r="A56" s="1456" t="s">
        <v>1185</v>
      </c>
      <c r="B56" s="1472">
        <f t="shared" si="41"/>
        <v>168.82017748715555</v>
      </c>
      <c r="C56" s="1472">
        <f t="shared" si="41"/>
        <v>148.06267029972753</v>
      </c>
      <c r="D56" s="1472">
        <f t="shared" si="21"/>
        <v>148.06267029972753</v>
      </c>
      <c r="E56" s="1472">
        <f t="shared" si="42"/>
        <v>216.46288379323747</v>
      </c>
      <c r="F56" s="1472">
        <f t="shared" si="42"/>
        <v>134.23529411764704</v>
      </c>
      <c r="G56" s="3279">
        <v>2007</v>
      </c>
      <c r="H56" s="1460">
        <v>2</v>
      </c>
      <c r="I56" s="1460">
        <v>3.67</v>
      </c>
      <c r="J56" s="1460">
        <v>2.3199999999999998</v>
      </c>
      <c r="K56" s="1460">
        <v>5.0199999999999996</v>
      </c>
      <c r="L56" s="1474">
        <v>6.71</v>
      </c>
      <c r="N56" s="1519">
        <f t="shared" si="39"/>
        <v>3.0339138143848032E-2</v>
      </c>
      <c r="O56" s="1520">
        <f t="shared" si="39"/>
        <v>2.0922341588790472E-2</v>
      </c>
      <c r="P56" s="1520">
        <f t="shared" si="40"/>
        <v>5.6164796592717003E-2</v>
      </c>
      <c r="Q56" s="1520">
        <f t="shared" si="40"/>
        <v>6.5704536723887319E-2</v>
      </c>
      <c r="R56" s="1469"/>
      <c r="S56" s="1467"/>
      <c r="T56" s="1468"/>
      <c r="U56" s="1468"/>
      <c r="V56" s="1468"/>
      <c r="X56" s="1521"/>
      <c r="Y56" s="1521"/>
      <c r="Z56" s="1521"/>
    </row>
    <row r="57" spans="1:26">
      <c r="A57" s="1456" t="s">
        <v>1186</v>
      </c>
      <c r="B57" s="1472">
        <f t="shared" si="41"/>
        <v>163.84913591779542</v>
      </c>
      <c r="C57" s="1472">
        <f t="shared" si="41"/>
        <v>145.0283378746594</v>
      </c>
      <c r="D57" s="1472">
        <f t="shared" si="21"/>
        <v>145.0283378746594</v>
      </c>
      <c r="E57" s="1472">
        <f t="shared" si="42"/>
        <v>204.95180722891567</v>
      </c>
      <c r="F57" s="1472">
        <f t="shared" si="42"/>
        <v>125.95920303605313</v>
      </c>
      <c r="G57" s="3280">
        <v>2007</v>
      </c>
      <c r="H57" s="1459">
        <v>1</v>
      </c>
      <c r="I57" s="1459">
        <v>3.58</v>
      </c>
      <c r="J57" s="1459">
        <v>3.08</v>
      </c>
      <c r="K57" s="1459">
        <v>4.34</v>
      </c>
      <c r="L57" s="1473">
        <v>3.21</v>
      </c>
      <c r="N57" s="1522">
        <f t="shared" si="39"/>
        <v>3.0497710174814063E-2</v>
      </c>
      <c r="O57" s="1523">
        <f t="shared" si="39"/>
        <v>2.8569772160704998E-2</v>
      </c>
      <c r="P57" s="1523">
        <f t="shared" si="40"/>
        <v>5.1034908866234296E-2</v>
      </c>
      <c r="Q57" s="1523">
        <f t="shared" si="40"/>
        <v>3.245248390207478E-2</v>
      </c>
      <c r="R57" s="1469"/>
      <c r="S57" s="1475">
        <f>B57/B58-1</f>
        <v>3.0497710174814063E-2</v>
      </c>
      <c r="T57" s="1476">
        <f>C57/C58-1</f>
        <v>2.8569772160704998E-2</v>
      </c>
      <c r="U57" s="1476">
        <f>E57/E58-1</f>
        <v>5.1034908866234296E-2</v>
      </c>
      <c r="V57" s="1476">
        <f>F57/F58-1</f>
        <v>3.245248390207478E-2</v>
      </c>
      <c r="X57" s="1521"/>
      <c r="Y57" s="1521"/>
      <c r="Z57" s="1521"/>
    </row>
    <row r="58" spans="1:26" ht="13.5" thickBot="1">
      <c r="A58" s="1456" t="s">
        <v>1187</v>
      </c>
      <c r="B58" s="1485">
        <v>159</v>
      </c>
      <c r="C58" s="1485">
        <v>141</v>
      </c>
      <c r="D58" s="1485">
        <f t="shared" si="21"/>
        <v>141</v>
      </c>
      <c r="E58" s="1485">
        <v>195</v>
      </c>
      <c r="F58" s="1486">
        <v>122</v>
      </c>
      <c r="G58" s="3278">
        <v>2006</v>
      </c>
      <c r="H58" s="1477">
        <v>4</v>
      </c>
      <c r="I58" s="1477">
        <v>3.79</v>
      </c>
      <c r="J58" s="1477">
        <v>2.21</v>
      </c>
      <c r="K58" s="1477">
        <v>5.65</v>
      </c>
      <c r="L58" s="1478">
        <v>5.41</v>
      </c>
      <c r="N58" s="1519">
        <f t="shared" ref="N58:O61" si="43">I58/SUM(I$58:I$61)*(B$58/B$62-1)</f>
        <v>7.245466462748526E-2</v>
      </c>
      <c r="O58" s="1520">
        <f t="shared" si="43"/>
        <v>2.3237230038062766E-2</v>
      </c>
      <c r="P58" s="1520">
        <f t="shared" ref="P58:Q61" si="44">K58/SUM(K$58:K$61)*(E$58/E$62-1)</f>
        <v>0.16146893866323722</v>
      </c>
      <c r="Q58" s="1520">
        <f t="shared" si="44"/>
        <v>5.0755230321793784E-2</v>
      </c>
      <c r="R58" s="1469"/>
      <c r="S58" s="1470"/>
      <c r="T58" s="1471"/>
      <c r="U58" s="1471"/>
      <c r="V58" s="1471"/>
      <c r="X58" s="1521"/>
      <c r="Y58" s="1521"/>
      <c r="Z58" s="1521"/>
    </row>
    <row r="59" spans="1:26">
      <c r="A59" s="1456" t="s">
        <v>1188</v>
      </c>
      <c r="B59" s="1472">
        <f t="shared" ref="B59:C61" si="45">B60+(B$58-B$62)*I59/SUM(I$58:I$61)</f>
        <v>149.00125628140702</v>
      </c>
      <c r="C59" s="1472">
        <f t="shared" si="45"/>
        <v>137.95592286501378</v>
      </c>
      <c r="D59" s="1472">
        <f t="shared" si="21"/>
        <v>137.95592286501378</v>
      </c>
      <c r="E59" s="1472">
        <f t="shared" ref="E59:F61" si="46">E60+(E$58-E$62)*K59/SUM(K$58:K$61)</f>
        <v>169.97231450719823</v>
      </c>
      <c r="F59" s="1472">
        <f t="shared" si="46"/>
        <v>116.21390374331551</v>
      </c>
      <c r="G59" s="3279">
        <v>2006</v>
      </c>
      <c r="H59" s="1482">
        <v>3</v>
      </c>
      <c r="I59" s="1482">
        <v>0.92</v>
      </c>
      <c r="J59" s="1482">
        <v>1.08</v>
      </c>
      <c r="K59" s="1482">
        <v>0.73</v>
      </c>
      <c r="L59" s="1483">
        <v>1.08</v>
      </c>
      <c r="N59" s="1519">
        <f t="shared" si="43"/>
        <v>1.7587939698492462E-2</v>
      </c>
      <c r="O59" s="1520">
        <f t="shared" si="43"/>
        <v>1.1355750425840628E-2</v>
      </c>
      <c r="P59" s="1520">
        <f t="shared" si="44"/>
        <v>2.0862358446754544E-2</v>
      </c>
      <c r="Q59" s="1520">
        <f t="shared" si="44"/>
        <v>1.0132282578103011E-2</v>
      </c>
      <c r="R59" s="1469"/>
      <c r="S59" s="1467"/>
      <c r="T59" s="1468"/>
      <c r="U59" s="1468"/>
      <c r="V59" s="1468"/>
      <c r="X59" s="1521"/>
      <c r="Y59" s="1521"/>
      <c r="Z59" s="1521"/>
    </row>
    <row r="60" spans="1:26">
      <c r="A60" s="1456" t="s">
        <v>1189</v>
      </c>
      <c r="B60" s="1472">
        <f t="shared" si="45"/>
        <v>146.57412060301507</v>
      </c>
      <c r="C60" s="1472">
        <f t="shared" si="45"/>
        <v>136.46831955922866</v>
      </c>
      <c r="D60" s="1472">
        <f t="shared" si="21"/>
        <v>136.46831955922866</v>
      </c>
      <c r="E60" s="1472">
        <f t="shared" si="46"/>
        <v>166.73864894795128</v>
      </c>
      <c r="F60" s="1472">
        <f t="shared" si="46"/>
        <v>115.05882352941177</v>
      </c>
      <c r="G60" s="3279">
        <v>2006</v>
      </c>
      <c r="H60" s="1460">
        <v>2</v>
      </c>
      <c r="I60" s="1460">
        <v>0.96</v>
      </c>
      <c r="J60" s="1460">
        <v>0.25</v>
      </c>
      <c r="K60" s="1460">
        <v>1.9</v>
      </c>
      <c r="L60" s="1474">
        <v>0.95</v>
      </c>
      <c r="N60" s="1519">
        <f t="shared" si="43"/>
        <v>1.8352632728861701E-2</v>
      </c>
      <c r="O60" s="1520">
        <f t="shared" si="43"/>
        <v>2.6286459319075526E-3</v>
      </c>
      <c r="P60" s="1520">
        <f t="shared" si="44"/>
        <v>5.4299289107991269E-2</v>
      </c>
      <c r="Q60" s="1520">
        <f t="shared" si="44"/>
        <v>8.9126559714794995E-3</v>
      </c>
      <c r="R60" s="1469"/>
      <c r="S60" s="1467"/>
      <c r="T60" s="1468"/>
      <c r="U60" s="1468"/>
      <c r="V60" s="1468"/>
      <c r="X60" s="1521"/>
      <c r="Y60" s="1521"/>
      <c r="Z60" s="1521"/>
    </row>
    <row r="61" spans="1:26">
      <c r="A61" s="1456" t="s">
        <v>1190</v>
      </c>
      <c r="B61" s="1472">
        <f t="shared" si="45"/>
        <v>144.04145728643215</v>
      </c>
      <c r="C61" s="1472">
        <f t="shared" si="45"/>
        <v>136.12396694214877</v>
      </c>
      <c r="D61" s="1472">
        <f t="shared" si="21"/>
        <v>136.12396694214877</v>
      </c>
      <c r="E61" s="1472">
        <f t="shared" si="46"/>
        <v>158.32225913621264</v>
      </c>
      <c r="F61" s="1472">
        <f t="shared" si="46"/>
        <v>114.04278074866311</v>
      </c>
      <c r="G61" s="3280">
        <v>2006</v>
      </c>
      <c r="H61" s="1459">
        <v>1</v>
      </c>
      <c r="I61" s="1459">
        <v>2.29</v>
      </c>
      <c r="J61" s="1459">
        <v>3.72</v>
      </c>
      <c r="K61" s="1459">
        <v>0.75</v>
      </c>
      <c r="L61" s="1473">
        <v>0.04</v>
      </c>
      <c r="N61" s="1522">
        <f t="shared" si="43"/>
        <v>4.3778675988638847E-2</v>
      </c>
      <c r="O61" s="1523">
        <f t="shared" si="43"/>
        <v>3.9114251466784385E-2</v>
      </c>
      <c r="P61" s="1523">
        <f t="shared" si="44"/>
        <v>2.1433929911049188E-2</v>
      </c>
      <c r="Q61" s="1523">
        <f t="shared" si="44"/>
        <v>3.7526972511492629E-4</v>
      </c>
      <c r="R61" s="1469"/>
      <c r="S61" s="1475">
        <f>B61/B62-1</f>
        <v>4.3778675988638716E-2</v>
      </c>
      <c r="T61" s="1476">
        <f>C61/C62-1</f>
        <v>3.91142514667846E-2</v>
      </c>
      <c r="U61" s="1476">
        <f>E61/E62-1</f>
        <v>2.143392991104931E-2</v>
      </c>
      <c r="V61" s="1476">
        <f>F61/F62-1</f>
        <v>3.7526972511492396E-4</v>
      </c>
      <c r="X61" s="1521"/>
      <c r="Y61" s="1521"/>
      <c r="Z61" s="1521"/>
    </row>
    <row r="62" spans="1:26" ht="13.5" thickBot="1">
      <c r="A62" s="1456" t="s">
        <v>1191</v>
      </c>
      <c r="B62" s="1485">
        <v>138</v>
      </c>
      <c r="C62" s="1485">
        <v>131</v>
      </c>
      <c r="D62" s="1485">
        <f t="shared" si="21"/>
        <v>131</v>
      </c>
      <c r="E62" s="1485">
        <v>155</v>
      </c>
      <c r="F62" s="1486">
        <v>114</v>
      </c>
      <c r="G62" s="3278">
        <v>2005</v>
      </c>
      <c r="H62" s="1477">
        <v>4</v>
      </c>
      <c r="I62" s="1477">
        <v>3.29</v>
      </c>
      <c r="J62" s="1477">
        <v>1.44</v>
      </c>
      <c r="K62" s="1477">
        <v>0.66</v>
      </c>
      <c r="L62" s="1478">
        <v>7.78</v>
      </c>
      <c r="N62" s="1519">
        <f t="shared" ref="N62:O65" si="47">I62/SUM(I$62:I$65)*(B$62/B$66-1)</f>
        <v>9.9404603216919935E-2</v>
      </c>
      <c r="O62" s="1520">
        <f t="shared" si="47"/>
        <v>4.7636550760861554E-2</v>
      </c>
      <c r="P62" s="1520">
        <f t="shared" ref="P62:Q65" si="48">K62/SUM(K$62:K$65)*(E$62/E$66-1)</f>
        <v>8.3756345177664976E-2</v>
      </c>
      <c r="Q62" s="1520">
        <f t="shared" si="48"/>
        <v>5.2148766661559584E-2</v>
      </c>
      <c r="R62" s="1469"/>
      <c r="S62" s="1470"/>
      <c r="T62" s="1471"/>
      <c r="U62" s="1471"/>
      <c r="V62" s="1471"/>
      <c r="X62" s="1521"/>
      <c r="Y62" s="1521"/>
      <c r="Z62" s="1521"/>
    </row>
    <row r="63" spans="1:26">
      <c r="A63" s="1456" t="s">
        <v>1192</v>
      </c>
      <c r="B63" s="1472">
        <f t="shared" ref="B63:C65" si="49">B64+(B$62-B$66)*I63/SUM(I$62:I$65)</f>
        <v>125.9720430107527</v>
      </c>
      <c r="C63" s="1472">
        <f t="shared" si="49"/>
        <v>125.1883408071749</v>
      </c>
      <c r="D63" s="1472">
        <f t="shared" si="21"/>
        <v>125.1883408071749</v>
      </c>
      <c r="E63" s="1472">
        <f t="shared" ref="E63:F65" si="50">E64+(E$62-E$66)*K63/SUM(K$62:K$65)</f>
        <v>144.61421319796952</v>
      </c>
      <c r="F63" s="1472">
        <f t="shared" si="50"/>
        <v>108.42008196721311</v>
      </c>
      <c r="G63" s="3279">
        <v>2005</v>
      </c>
      <c r="H63" s="1482">
        <v>3</v>
      </c>
      <c r="I63" s="1482">
        <v>0.46</v>
      </c>
      <c r="J63" s="1482">
        <v>0.32</v>
      </c>
      <c r="K63" s="1482">
        <v>0.42</v>
      </c>
      <c r="L63" s="1483">
        <v>0.64</v>
      </c>
      <c r="N63" s="1519">
        <f t="shared" si="47"/>
        <v>1.3898515951301874E-2</v>
      </c>
      <c r="O63" s="1520">
        <f t="shared" si="47"/>
        <v>1.0585900169080346E-2</v>
      </c>
      <c r="P63" s="1520">
        <f t="shared" si="48"/>
        <v>5.3299492385786795E-2</v>
      </c>
      <c r="Q63" s="1520">
        <f t="shared" si="48"/>
        <v>4.2898728359123568E-3</v>
      </c>
      <c r="R63" s="1469"/>
      <c r="S63" s="1467"/>
      <c r="T63" s="1468"/>
      <c r="U63" s="1468"/>
      <c r="V63" s="1468"/>
      <c r="X63" s="1521"/>
      <c r="Y63" s="1521"/>
      <c r="Z63" s="1521"/>
    </row>
    <row r="64" spans="1:26">
      <c r="A64" s="1456" t="s">
        <v>1193</v>
      </c>
      <c r="B64" s="1472">
        <f t="shared" si="49"/>
        <v>124.29032258064517</v>
      </c>
      <c r="C64" s="1472">
        <f t="shared" si="49"/>
        <v>123.8968609865471</v>
      </c>
      <c r="D64" s="1472">
        <f t="shared" si="21"/>
        <v>123.8968609865471</v>
      </c>
      <c r="E64" s="1472">
        <f t="shared" si="50"/>
        <v>138.00507614213197</v>
      </c>
      <c r="F64" s="1472">
        <f t="shared" si="50"/>
        <v>107.96106557377048</v>
      </c>
      <c r="G64" s="3279">
        <v>2005</v>
      </c>
      <c r="H64" s="1460">
        <v>2</v>
      </c>
      <c r="I64" s="1460">
        <v>0.47</v>
      </c>
      <c r="J64" s="1460">
        <v>0.1</v>
      </c>
      <c r="K64" s="1460">
        <v>0.52</v>
      </c>
      <c r="L64" s="1474">
        <v>0.79</v>
      </c>
      <c r="N64" s="1519">
        <f t="shared" si="47"/>
        <v>1.420065760241713E-2</v>
      </c>
      <c r="O64" s="1520">
        <f t="shared" si="47"/>
        <v>3.3080938028376083E-3</v>
      </c>
      <c r="P64" s="1520">
        <f t="shared" si="48"/>
        <v>6.598984771573603E-2</v>
      </c>
      <c r="Q64" s="1520">
        <f t="shared" si="48"/>
        <v>5.2953117818293153E-3</v>
      </c>
      <c r="R64" s="1469"/>
      <c r="S64" s="1467"/>
      <c r="T64" s="1468"/>
      <c r="U64" s="1468"/>
      <c r="V64" s="1468"/>
      <c r="X64" s="1521"/>
      <c r="Y64" s="1521"/>
      <c r="Z64" s="1521"/>
    </row>
    <row r="65" spans="1:26">
      <c r="A65" s="1456" t="s">
        <v>1194</v>
      </c>
      <c r="B65" s="1472">
        <f t="shared" si="49"/>
        <v>122.57204301075269</v>
      </c>
      <c r="C65" s="1472">
        <f t="shared" si="49"/>
        <v>123.4932735426009</v>
      </c>
      <c r="D65" s="1472">
        <f t="shared" si="21"/>
        <v>123.4932735426009</v>
      </c>
      <c r="E65" s="1472">
        <f t="shared" si="50"/>
        <v>129.82233502538071</v>
      </c>
      <c r="F65" s="1472">
        <f t="shared" si="50"/>
        <v>107.39446721311475</v>
      </c>
      <c r="G65" s="3280">
        <v>2005</v>
      </c>
      <c r="H65" s="1459">
        <v>1</v>
      </c>
      <c r="I65" s="1459">
        <v>0.43</v>
      </c>
      <c r="J65" s="1459">
        <v>0.37</v>
      </c>
      <c r="K65" s="1459">
        <v>0.37</v>
      </c>
      <c r="L65" s="1473">
        <v>0.55000000000000004</v>
      </c>
      <c r="N65" s="1522">
        <f t="shared" si="47"/>
        <v>1.2992090997956099E-2</v>
      </c>
      <c r="O65" s="1523">
        <f t="shared" si="47"/>
        <v>1.2239947070499151E-2</v>
      </c>
      <c r="P65" s="1523">
        <f t="shared" si="48"/>
        <v>4.6954314720812178E-2</v>
      </c>
      <c r="Q65" s="1523">
        <f t="shared" si="48"/>
        <v>3.6866094683621815E-3</v>
      </c>
      <c r="R65" s="1469"/>
      <c r="S65" s="1475">
        <f>B65/B66-1</f>
        <v>1.2992090997956174E-2</v>
      </c>
      <c r="T65" s="1476">
        <f>C65/C66-1</f>
        <v>1.2239947070499246E-2</v>
      </c>
      <c r="U65" s="1476">
        <f>E65/E66-1</f>
        <v>4.695431472081224E-2</v>
      </c>
      <c r="V65" s="1476">
        <f>F65/F66-1</f>
        <v>3.6866094683620787E-3</v>
      </c>
      <c r="X65" s="1521"/>
      <c r="Y65" s="1521"/>
      <c r="Z65" s="1521"/>
    </row>
    <row r="66" spans="1:26" ht="13.5" thickBot="1">
      <c r="A66" s="1456" t="s">
        <v>1195</v>
      </c>
      <c r="B66" s="1506">
        <v>121</v>
      </c>
      <c r="C66" s="1506">
        <v>122</v>
      </c>
      <c r="D66" s="1506">
        <f t="shared" si="21"/>
        <v>122</v>
      </c>
      <c r="E66" s="1506">
        <v>124</v>
      </c>
      <c r="F66" s="1507">
        <v>107</v>
      </c>
      <c r="G66" s="3278">
        <v>2004</v>
      </c>
      <c r="H66" s="1477">
        <v>4</v>
      </c>
      <c r="I66" s="1477">
        <v>0.33</v>
      </c>
      <c r="J66" s="1477">
        <v>0.5</v>
      </c>
      <c r="K66" s="1477">
        <v>0.5</v>
      </c>
      <c r="L66" s="1478">
        <v>0</v>
      </c>
      <c r="N66" s="1519">
        <f t="shared" ref="N66:O69" si="51">I66/SUM(I$66:I$69)*(B$66/B$70-1)</f>
        <v>1.3391770148526898E-2</v>
      </c>
      <c r="O66" s="1520">
        <f t="shared" si="51"/>
        <v>1.063264221158958E-2</v>
      </c>
      <c r="P66" s="1520">
        <f t="shared" ref="P66:Q69" si="52">K66/SUM(K$66:K$69)*(E$66/E$70-1)</f>
        <v>2.2244466688911134E-2</v>
      </c>
      <c r="Q66" s="1520">
        <f t="shared" si="52"/>
        <v>0</v>
      </c>
      <c r="R66" s="1469"/>
      <c r="S66" s="1470"/>
      <c r="T66" s="1471"/>
      <c r="U66" s="1471"/>
      <c r="V66" s="1471"/>
      <c r="X66" s="1521"/>
      <c r="Y66" s="1521"/>
      <c r="Z66" s="1521"/>
    </row>
    <row r="67" spans="1:26">
      <c r="A67" s="1456" t="s">
        <v>1196</v>
      </c>
      <c r="B67" s="1472">
        <f t="shared" ref="B67:C69" si="53">B68+(B$66-B$70)*I67/SUM(I$66:I$69)</f>
        <v>119.51351351351352</v>
      </c>
      <c r="C67" s="1472">
        <f t="shared" si="53"/>
        <v>120.7878787878788</v>
      </c>
      <c r="D67" s="1472">
        <f t="shared" si="21"/>
        <v>120.7878787878788</v>
      </c>
      <c r="E67" s="1472">
        <f t="shared" ref="E67:F69" si="54">E68+(E$66-E$70)*K67/SUM(K$66:K$69)</f>
        <v>121.5975975975976</v>
      </c>
      <c r="F67" s="1472">
        <f t="shared" si="54"/>
        <v>107</v>
      </c>
      <c r="G67" s="3279">
        <v>2004</v>
      </c>
      <c r="H67" s="1482">
        <v>3</v>
      </c>
      <c r="I67" s="1482">
        <v>0.56000000000000005</v>
      </c>
      <c r="J67" s="1482">
        <v>0.8</v>
      </c>
      <c r="K67" s="1482">
        <v>0.83</v>
      </c>
      <c r="L67" s="1483">
        <v>0.06</v>
      </c>
      <c r="N67" s="1519">
        <f t="shared" si="51"/>
        <v>2.2725428130833527E-2</v>
      </c>
      <c r="O67" s="1520">
        <f t="shared" si="51"/>
        <v>1.7012227538543329E-2</v>
      </c>
      <c r="P67" s="1520">
        <f t="shared" si="52"/>
        <v>3.6925814703592477E-2</v>
      </c>
      <c r="Q67" s="1520">
        <f t="shared" si="52"/>
        <v>2.8846153846153744E-2</v>
      </c>
      <c r="R67" s="1469"/>
      <c r="S67" s="1467"/>
      <c r="T67" s="1468"/>
      <c r="U67" s="1468"/>
      <c r="V67" s="1468"/>
      <c r="X67" s="1521"/>
      <c r="Y67" s="1521"/>
      <c r="Z67" s="1521"/>
    </row>
    <row r="68" spans="1:26">
      <c r="A68" s="1456" t="s">
        <v>1197</v>
      </c>
      <c r="B68" s="1472">
        <f t="shared" si="53"/>
        <v>116.99099099099099</v>
      </c>
      <c r="C68" s="1472">
        <f t="shared" si="53"/>
        <v>118.84848484848486</v>
      </c>
      <c r="D68" s="1472">
        <f t="shared" si="21"/>
        <v>118.84848484848486</v>
      </c>
      <c r="E68" s="1472">
        <f t="shared" si="54"/>
        <v>117.60960960960961</v>
      </c>
      <c r="F68" s="1472">
        <f t="shared" si="54"/>
        <v>104</v>
      </c>
      <c r="G68" s="3279">
        <v>2004</v>
      </c>
      <c r="H68" s="1460">
        <v>2</v>
      </c>
      <c r="I68" s="1460">
        <v>1</v>
      </c>
      <c r="J68" s="1460">
        <v>1.5</v>
      </c>
      <c r="K68" s="1460">
        <v>1.5</v>
      </c>
      <c r="L68" s="1474">
        <v>0</v>
      </c>
      <c r="N68" s="1519">
        <f t="shared" si="51"/>
        <v>4.0581121662202721E-2</v>
      </c>
      <c r="O68" s="1520">
        <f t="shared" si="51"/>
        <v>3.1897926634768738E-2</v>
      </c>
      <c r="P68" s="1520">
        <f t="shared" si="52"/>
        <v>6.6733400066733395E-2</v>
      </c>
      <c r="Q68" s="1520">
        <f t="shared" si="52"/>
        <v>0</v>
      </c>
      <c r="R68" s="1469"/>
      <c r="S68" s="1467"/>
      <c r="T68" s="1468"/>
      <c r="U68" s="1468"/>
      <c r="V68" s="1468"/>
      <c r="X68" s="1521"/>
      <c r="Y68" s="1521"/>
      <c r="Z68" s="1521"/>
    </row>
    <row r="69" spans="1:26" s="1512" customFormat="1" ht="13.5" thickBot="1">
      <c r="A69" s="1456" t="s">
        <v>1198</v>
      </c>
      <c r="B69" s="1509">
        <f t="shared" si="53"/>
        <v>112.48648648648648</v>
      </c>
      <c r="C69" s="1509">
        <f t="shared" si="53"/>
        <v>115.21212121212122</v>
      </c>
      <c r="D69" s="1509">
        <f t="shared" si="21"/>
        <v>115.21212121212122</v>
      </c>
      <c r="E69" s="1509">
        <f t="shared" si="54"/>
        <v>110.4024024024024</v>
      </c>
      <c r="F69" s="1509">
        <f t="shared" si="54"/>
        <v>104</v>
      </c>
      <c r="G69" s="3280">
        <v>2004</v>
      </c>
      <c r="H69" s="1510">
        <v>1</v>
      </c>
      <c r="I69" s="1510">
        <v>0.33</v>
      </c>
      <c r="J69" s="1510">
        <v>0.5</v>
      </c>
      <c r="K69" s="1510">
        <v>0.5</v>
      </c>
      <c r="L69" s="1511">
        <v>0</v>
      </c>
      <c r="N69" s="1524">
        <f t="shared" si="51"/>
        <v>1.3391770148526898E-2</v>
      </c>
      <c r="O69" s="1525">
        <f t="shared" si="51"/>
        <v>1.063264221158958E-2</v>
      </c>
      <c r="P69" s="1525">
        <f t="shared" si="52"/>
        <v>2.2244466688911134E-2</v>
      </c>
      <c r="Q69" s="1525">
        <f t="shared" si="52"/>
        <v>0</v>
      </c>
      <c r="R69" s="1515"/>
      <c r="S69" s="1513">
        <f>B69/B70-1</f>
        <v>1.3391770148526883E-2</v>
      </c>
      <c r="T69" s="1514">
        <f>C69/C70-1</f>
        <v>1.063264221158966E-2</v>
      </c>
      <c r="U69" s="1514">
        <f>E69/E70-1</f>
        <v>2.2244466688911224E-2</v>
      </c>
      <c r="V69" s="1514">
        <f>F69/F70-1</f>
        <v>0</v>
      </c>
      <c r="X69" s="1526"/>
      <c r="Y69" s="1526"/>
      <c r="Z69" s="1526"/>
    </row>
    <row r="70" spans="1:26" ht="13.5" thickBot="1">
      <c r="A70" s="1456" t="s">
        <v>1199</v>
      </c>
      <c r="B70" s="1527">
        <v>111</v>
      </c>
      <c r="C70" s="1527">
        <v>114</v>
      </c>
      <c r="D70" s="1527">
        <f t="shared" si="21"/>
        <v>114</v>
      </c>
      <c r="E70" s="1527">
        <v>108</v>
      </c>
      <c r="F70" s="1528">
        <v>104</v>
      </c>
      <c r="G70" s="3278">
        <v>2003</v>
      </c>
      <c r="H70" s="1517">
        <v>4</v>
      </c>
      <c r="I70" s="1529"/>
      <c r="J70" s="1529"/>
      <c r="K70" s="1529"/>
      <c r="L70" s="1529"/>
      <c r="N70" s="1530"/>
      <c r="O70" s="1529"/>
      <c r="P70" s="1529"/>
      <c r="Q70" s="1529"/>
      <c r="S70" s="1530"/>
      <c r="T70" s="1529"/>
      <c r="U70" s="1529"/>
      <c r="V70" s="1529"/>
      <c r="X70" s="1521"/>
      <c r="Y70" s="1521"/>
      <c r="Z70" s="1521"/>
    </row>
    <row r="71" spans="1:26">
      <c r="A71" s="1456" t="s">
        <v>1200</v>
      </c>
      <c r="B71" s="1531">
        <f t="shared" ref="B71:C73" si="55">B72+(B$70-B$74)/4</f>
        <v>109.75</v>
      </c>
      <c r="C71" s="1531">
        <f t="shared" si="55"/>
        <v>112.25</v>
      </c>
      <c r="D71" s="1531">
        <f t="shared" si="21"/>
        <v>112.25</v>
      </c>
      <c r="E71" s="1531">
        <f t="shared" ref="E71:F73" si="56">E72+(E$70-E$74)/4</f>
        <v>107.25</v>
      </c>
      <c r="F71" s="1531">
        <f t="shared" si="56"/>
        <v>103.5</v>
      </c>
      <c r="G71" s="3279">
        <v>2003</v>
      </c>
      <c r="H71" s="1482">
        <v>3</v>
      </c>
      <c r="I71" s="1529"/>
      <c r="J71" s="1529"/>
      <c r="K71" s="1529"/>
      <c r="L71" s="1529"/>
      <c r="X71" s="1521"/>
      <c r="Y71" s="1521"/>
      <c r="Z71" s="1521"/>
    </row>
    <row r="72" spans="1:26">
      <c r="A72" s="1456" t="s">
        <v>1201</v>
      </c>
      <c r="B72" s="1531">
        <f t="shared" si="55"/>
        <v>108.5</v>
      </c>
      <c r="C72" s="1531">
        <f t="shared" si="55"/>
        <v>110.5</v>
      </c>
      <c r="D72" s="1531">
        <f t="shared" si="21"/>
        <v>110.5</v>
      </c>
      <c r="E72" s="1531">
        <f t="shared" si="56"/>
        <v>106.5</v>
      </c>
      <c r="F72" s="1531">
        <f t="shared" si="56"/>
        <v>103</v>
      </c>
      <c r="G72" s="3279">
        <v>2003</v>
      </c>
      <c r="H72" s="1460">
        <v>2</v>
      </c>
      <c r="I72" s="1529"/>
      <c r="J72" s="1529"/>
      <c r="K72" s="1529"/>
      <c r="L72" s="1529"/>
      <c r="X72" s="1521"/>
      <c r="Y72" s="1521"/>
      <c r="Z72" s="1521"/>
    </row>
    <row r="73" spans="1:26" ht="13.5" thickBot="1">
      <c r="A73" s="1456" t="s">
        <v>1202</v>
      </c>
      <c r="B73" s="1531">
        <f t="shared" si="55"/>
        <v>107.25</v>
      </c>
      <c r="C73" s="1531">
        <f t="shared" si="55"/>
        <v>108.75</v>
      </c>
      <c r="D73" s="1531">
        <f t="shared" si="21"/>
        <v>108.75</v>
      </c>
      <c r="E73" s="1531">
        <f t="shared" si="56"/>
        <v>105.75</v>
      </c>
      <c r="F73" s="1531">
        <f t="shared" si="56"/>
        <v>102.5</v>
      </c>
      <c r="G73" s="3280">
        <v>2003</v>
      </c>
      <c r="H73" s="1532">
        <v>1</v>
      </c>
      <c r="I73" s="1529"/>
      <c r="J73" s="1529"/>
      <c r="K73" s="1529"/>
      <c r="L73" s="1529"/>
      <c r="S73" s="1467"/>
      <c r="T73" s="1468"/>
      <c r="U73" s="1468"/>
      <c r="X73" s="1521"/>
      <c r="Y73" s="1521"/>
      <c r="Z73" s="1521"/>
    </row>
    <row r="74" spans="1:26" ht="13.5" thickBot="1">
      <c r="A74" s="1456" t="s">
        <v>1203</v>
      </c>
      <c r="B74" s="1533">
        <v>106</v>
      </c>
      <c r="C74" s="1533">
        <v>107</v>
      </c>
      <c r="D74" s="1533">
        <f t="shared" si="21"/>
        <v>107</v>
      </c>
      <c r="E74" s="1533">
        <v>105</v>
      </c>
      <c r="F74" s="1534">
        <v>102</v>
      </c>
      <c r="G74" s="3278">
        <v>2002</v>
      </c>
      <c r="H74" s="1477">
        <v>4</v>
      </c>
      <c r="I74" s="1529"/>
      <c r="J74" s="1529"/>
      <c r="K74" s="1529"/>
      <c r="L74" s="1529"/>
      <c r="N74" s="1530"/>
      <c r="O74" s="1529"/>
      <c r="P74" s="1529"/>
      <c r="Q74" s="1529"/>
      <c r="S74" s="1530"/>
      <c r="T74" s="1529"/>
      <c r="U74" s="1529"/>
      <c r="V74" s="1529"/>
      <c r="X74" s="1521"/>
      <c r="Y74" s="1521"/>
      <c r="Z74" s="1521"/>
    </row>
    <row r="75" spans="1:26">
      <c r="A75" s="1456" t="s">
        <v>1204</v>
      </c>
      <c r="B75" s="1531">
        <f t="shared" ref="B75:C77" si="57">B76+(B$74-B$78)/4</f>
        <v>105</v>
      </c>
      <c r="C75" s="1531">
        <f t="shared" si="57"/>
        <v>106</v>
      </c>
      <c r="D75" s="1531">
        <f t="shared" si="21"/>
        <v>106</v>
      </c>
      <c r="E75" s="1531">
        <f t="shared" ref="E75:F77" si="58">E76+(E$74-E$78)/4</f>
        <v>104.5</v>
      </c>
      <c r="F75" s="1531">
        <f t="shared" si="58"/>
        <v>101.5</v>
      </c>
      <c r="G75" s="3279">
        <v>2002</v>
      </c>
      <c r="H75" s="1482">
        <v>3</v>
      </c>
      <c r="I75" s="1529"/>
      <c r="J75" s="1529"/>
      <c r="K75" s="1529"/>
      <c r="L75" s="1529"/>
      <c r="X75" s="1521"/>
      <c r="Y75" s="1521"/>
      <c r="Z75" s="1521"/>
    </row>
    <row r="76" spans="1:26">
      <c r="A76" s="1456" t="s">
        <v>1205</v>
      </c>
      <c r="B76" s="1531">
        <f t="shared" si="57"/>
        <v>104</v>
      </c>
      <c r="C76" s="1531">
        <f t="shared" si="57"/>
        <v>105</v>
      </c>
      <c r="D76" s="1531">
        <f t="shared" si="21"/>
        <v>105</v>
      </c>
      <c r="E76" s="1531">
        <f t="shared" si="58"/>
        <v>104</v>
      </c>
      <c r="F76" s="1531">
        <f t="shared" si="58"/>
        <v>101</v>
      </c>
      <c r="G76" s="3279">
        <v>2002</v>
      </c>
      <c r="H76" s="1460">
        <v>2</v>
      </c>
      <c r="I76" s="1529"/>
      <c r="J76" s="1529"/>
      <c r="K76" s="1529"/>
      <c r="L76" s="1529"/>
      <c r="X76" s="1521"/>
      <c r="Y76" s="1521"/>
      <c r="Z76" s="1521"/>
    </row>
    <row r="77" spans="1:26" s="1493" customFormat="1" ht="13.5" thickBot="1">
      <c r="A77" s="1489" t="s">
        <v>1206</v>
      </c>
      <c r="B77" s="1535">
        <f t="shared" si="57"/>
        <v>103</v>
      </c>
      <c r="C77" s="1535">
        <f t="shared" si="57"/>
        <v>104</v>
      </c>
      <c r="D77" s="1535">
        <f t="shared" si="21"/>
        <v>104</v>
      </c>
      <c r="E77" s="1535">
        <f t="shared" si="58"/>
        <v>103.5</v>
      </c>
      <c r="F77" s="1535">
        <f t="shared" si="58"/>
        <v>100.5</v>
      </c>
      <c r="G77" s="3280">
        <v>2002</v>
      </c>
      <c r="H77" s="1536">
        <v>1</v>
      </c>
      <c r="I77" s="1537"/>
      <c r="J77" s="1537"/>
      <c r="K77" s="1537"/>
      <c r="L77" s="1537"/>
      <c r="N77" s="1538"/>
      <c r="S77" s="1538"/>
      <c r="X77" s="1539"/>
      <c r="Y77" s="1539"/>
      <c r="Z77" s="1539"/>
    </row>
    <row r="78" spans="1:26" ht="13.5" thickBot="1">
      <c r="B78" s="1540">
        <v>102</v>
      </c>
      <c r="C78" s="1541">
        <v>103</v>
      </c>
      <c r="D78" s="1541">
        <f t="shared" si="21"/>
        <v>103</v>
      </c>
      <c r="E78" s="1541">
        <v>103</v>
      </c>
      <c r="F78" s="1542">
        <v>100</v>
      </c>
      <c r="I78" s="1529"/>
      <c r="J78" s="1529"/>
      <c r="K78" s="1529"/>
      <c r="L78" s="1529"/>
      <c r="N78" s="1530"/>
      <c r="O78" s="1529"/>
      <c r="P78" s="1529"/>
      <c r="Q78" s="1529"/>
      <c r="S78" s="1530"/>
      <c r="T78" s="1529"/>
      <c r="U78" s="1529"/>
      <c r="V78" s="1529"/>
      <c r="X78" s="1471"/>
      <c r="Y78" s="1471"/>
      <c r="Z78" s="1471"/>
    </row>
    <row r="80" spans="1:26" s="1544" customFormat="1">
      <c r="A80" s="1543" t="s">
        <v>1207</v>
      </c>
      <c r="G80" s="1545"/>
      <c r="N80" s="1545"/>
      <c r="S80" s="1545"/>
    </row>
    <row r="81" spans="1:22" s="1544" customFormat="1">
      <c r="A81" s="1544" t="s">
        <v>1208</v>
      </c>
      <c r="G81" s="1545"/>
      <c r="N81" s="1545"/>
      <c r="S81" s="1545"/>
    </row>
    <row r="82" spans="1:22" s="1544" customFormat="1">
      <c r="A82" s="1544" t="s">
        <v>1209</v>
      </c>
      <c r="G82" s="1545"/>
      <c r="I82" s="1546"/>
      <c r="J82" s="1546"/>
      <c r="K82" s="1546"/>
      <c r="L82" s="1546"/>
      <c r="N82" s="1547"/>
      <c r="O82" s="1546"/>
      <c r="P82" s="1546"/>
      <c r="Q82" s="1546"/>
      <c r="S82" s="1547"/>
      <c r="T82" s="1546"/>
      <c r="U82" s="1546"/>
      <c r="V82" s="1546"/>
    </row>
    <row r="83" spans="1:22" s="1544" customFormat="1">
      <c r="A83" s="1544" t="s">
        <v>1210</v>
      </c>
      <c r="G83" s="1545"/>
      <c r="N83" s="1545"/>
      <c r="S83" s="1545"/>
    </row>
    <row r="90" spans="1:22" ht="13.5" thickBot="1"/>
    <row r="91" spans="1:22">
      <c r="G91" s="1466"/>
      <c r="S91" s="1548" t="s">
        <v>1211</v>
      </c>
      <c r="T91" s="1549" t="s">
        <v>1212</v>
      </c>
      <c r="U91" s="1549" t="s">
        <v>1213</v>
      </c>
      <c r="V91" s="1549" t="s">
        <v>1214</v>
      </c>
    </row>
    <row r="92" spans="1:22">
      <c r="G92" s="1466"/>
      <c r="N92" s="1470"/>
      <c r="O92" s="1471"/>
      <c r="P92" s="1471"/>
      <c r="Q92" s="1471"/>
      <c r="S92" s="1550">
        <v>2006</v>
      </c>
      <c r="T92" s="1551">
        <v>15.1</v>
      </c>
      <c r="U92" s="1551">
        <v>7.43</v>
      </c>
      <c r="V92" s="1551">
        <v>26.26</v>
      </c>
    </row>
    <row r="93" spans="1:22">
      <c r="G93" s="1466"/>
      <c r="N93" s="1470"/>
      <c r="O93" s="1471"/>
      <c r="P93" s="1471"/>
      <c r="Q93" s="1471"/>
      <c r="S93" s="1552">
        <v>2005</v>
      </c>
      <c r="T93" s="1553">
        <v>13.9</v>
      </c>
      <c r="U93" s="1553">
        <v>7.49</v>
      </c>
      <c r="V93" s="1553">
        <v>24.92</v>
      </c>
    </row>
    <row r="94" spans="1:22">
      <c r="G94" s="1466"/>
      <c r="N94" s="1470"/>
      <c r="O94" s="1471"/>
      <c r="P94" s="1471"/>
      <c r="Q94" s="1471"/>
      <c r="S94" s="1550">
        <v>2004</v>
      </c>
      <c r="T94" s="1551">
        <v>9.48</v>
      </c>
      <c r="U94" s="1551">
        <v>7.2</v>
      </c>
      <c r="V94" s="1551">
        <v>14.68</v>
      </c>
    </row>
    <row r="95" spans="1:22">
      <c r="G95" s="1466"/>
      <c r="N95" s="1470"/>
      <c r="O95" s="1471"/>
      <c r="P95" s="1471"/>
      <c r="Q95" s="1471"/>
      <c r="S95" s="1552">
        <v>2003</v>
      </c>
      <c r="T95" s="1553">
        <v>4.5</v>
      </c>
      <c r="U95" s="1553">
        <v>6.12</v>
      </c>
      <c r="V95" s="1553">
        <v>2.34</v>
      </c>
    </row>
    <row r="96" spans="1:22" ht="13.5" thickBot="1">
      <c r="G96" s="1466"/>
      <c r="N96" s="1470"/>
      <c r="O96" s="1471"/>
      <c r="P96" s="1471"/>
      <c r="Q96" s="1471"/>
      <c r="S96" s="1554">
        <v>2002</v>
      </c>
      <c r="T96" s="1555">
        <v>3.59</v>
      </c>
      <c r="U96" s="1555">
        <v>4.54</v>
      </c>
      <c r="V96" s="1555">
        <v>2.5499999999999998</v>
      </c>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row r="112" spans="7:19">
      <c r="G112" s="1466"/>
      <c r="N112" s="1470"/>
      <c r="O112" s="1471"/>
      <c r="P112" s="1471"/>
      <c r="Q112" s="1471"/>
      <c r="S112" s="1466"/>
    </row>
  </sheetData>
  <sheetProtection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288" t="s">
        <v>3006</v>
      </c>
      <c r="D1" s="3289"/>
      <c r="E1" s="3289"/>
      <c r="F1" s="3289"/>
      <c r="G1" s="3289"/>
      <c r="H1" s="3289"/>
      <c r="I1" s="3289"/>
      <c r="J1" s="3289"/>
      <c r="K1" s="3289"/>
      <c r="L1" s="3289"/>
      <c r="M1" s="3289"/>
      <c r="N1" s="3289"/>
      <c r="O1" s="3289"/>
      <c r="P1" s="3289"/>
      <c r="Q1" s="3289"/>
      <c r="R1" s="3289"/>
      <c r="S1" s="3290"/>
      <c r="T1" s="1204" t="s">
        <v>3007</v>
      </c>
    </row>
    <row r="2" spans="1:45" s="707" customFormat="1">
      <c r="A2" s="1205"/>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3"/>
      <c r="G4" s="1703"/>
      <c r="H4" s="1703"/>
      <c r="I4" s="1703"/>
      <c r="J4" s="1703"/>
      <c r="K4" s="1703"/>
      <c r="L4" s="1703"/>
      <c r="M4" s="1704"/>
      <c r="N4" s="1704"/>
      <c r="O4" s="1703"/>
      <c r="P4" s="1703"/>
      <c r="Q4" s="1703"/>
      <c r="R4" s="1703"/>
      <c r="S4" s="1705"/>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4" t="s">
        <v>3009</v>
      </c>
      <c r="C5" s="1216"/>
      <c r="D5" s="1217"/>
      <c r="E5" s="1217"/>
      <c r="F5" s="1706"/>
      <c r="G5" s="1706"/>
      <c r="H5" s="1706"/>
      <c r="I5" s="1706"/>
      <c r="J5" s="1706"/>
      <c r="K5" s="1706"/>
      <c r="L5" s="1707"/>
      <c r="M5" s="1708"/>
      <c r="N5" s="1708"/>
      <c r="O5" s="1706"/>
      <c r="P5" s="1706"/>
      <c r="Q5" s="1706"/>
      <c r="R5" s="1706"/>
      <c r="S5" s="1709"/>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2">D6-$T5</f>
        <v>100</v>
      </c>
      <c r="F6" s="1710">
        <f t="shared" si="2"/>
        <v>100</v>
      </c>
      <c r="G6" s="1710">
        <f t="shared" si="2"/>
        <v>100</v>
      </c>
      <c r="H6" s="1710">
        <f t="shared" si="2"/>
        <v>100</v>
      </c>
      <c r="I6" s="1710">
        <f t="shared" si="2"/>
        <v>100</v>
      </c>
      <c r="J6" s="1710">
        <f t="shared" si="2"/>
        <v>100</v>
      </c>
      <c r="K6" s="1710">
        <f t="shared" si="2"/>
        <v>100</v>
      </c>
      <c r="L6" s="1710">
        <f t="shared" si="2"/>
        <v>100</v>
      </c>
      <c r="M6" s="1710">
        <f t="shared" si="2"/>
        <v>100</v>
      </c>
      <c r="N6" s="1710">
        <f t="shared" si="2"/>
        <v>100</v>
      </c>
      <c r="O6" s="1710">
        <f t="shared" si="2"/>
        <v>100</v>
      </c>
      <c r="P6" s="1710">
        <f t="shared" si="2"/>
        <v>100</v>
      </c>
      <c r="Q6" s="1710">
        <f t="shared" si="2"/>
        <v>100</v>
      </c>
      <c r="R6" s="1710">
        <f t="shared" si="2"/>
        <v>100</v>
      </c>
      <c r="S6" s="1710">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5" t="s">
        <v>3010</v>
      </c>
      <c r="C7" s="1121"/>
      <c r="D7" s="1115"/>
      <c r="E7" s="1115"/>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3">D8-$T7</f>
        <v>100</v>
      </c>
      <c r="F8" s="1710">
        <f t="shared" si="3"/>
        <v>100</v>
      </c>
      <c r="G8" s="1710">
        <f t="shared" si="3"/>
        <v>100</v>
      </c>
      <c r="H8" s="1710">
        <f t="shared" si="3"/>
        <v>100</v>
      </c>
      <c r="I8" s="1710">
        <f t="shared" si="3"/>
        <v>100</v>
      </c>
      <c r="J8" s="1710">
        <f t="shared" si="3"/>
        <v>100</v>
      </c>
      <c r="K8" s="1710">
        <f t="shared" si="3"/>
        <v>100</v>
      </c>
      <c r="L8" s="1710">
        <f t="shared" si="3"/>
        <v>100</v>
      </c>
      <c r="M8" s="1710">
        <f t="shared" si="3"/>
        <v>100</v>
      </c>
      <c r="N8" s="1710">
        <f t="shared" si="3"/>
        <v>100</v>
      </c>
      <c r="O8" s="1710">
        <f t="shared" si="3"/>
        <v>100</v>
      </c>
      <c r="P8" s="1710">
        <f t="shared" si="3"/>
        <v>100</v>
      </c>
      <c r="Q8" s="1710">
        <f t="shared" si="3"/>
        <v>100</v>
      </c>
      <c r="R8" s="1710">
        <f t="shared" si="3"/>
        <v>100</v>
      </c>
      <c r="S8" s="1710">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5" t="s">
        <v>3011</v>
      </c>
      <c r="C9" s="1121"/>
      <c r="D9" s="1115"/>
      <c r="E9" s="1115"/>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4">D10-$T9</f>
        <v>100</v>
      </c>
      <c r="F10" s="1720">
        <f t="shared" si="4"/>
        <v>100</v>
      </c>
      <c r="G10" s="1720">
        <f t="shared" si="4"/>
        <v>100</v>
      </c>
      <c r="H10" s="1720">
        <f t="shared" si="4"/>
        <v>100</v>
      </c>
      <c r="I10" s="1720">
        <f t="shared" si="4"/>
        <v>100</v>
      </c>
      <c r="J10" s="1720">
        <f t="shared" si="4"/>
        <v>100</v>
      </c>
      <c r="K10" s="1720">
        <f t="shared" si="4"/>
        <v>100</v>
      </c>
      <c r="L10" s="1720">
        <f t="shared" si="4"/>
        <v>100</v>
      </c>
      <c r="M10" s="1720">
        <f t="shared" si="4"/>
        <v>100</v>
      </c>
      <c r="N10" s="1720">
        <f t="shared" si="4"/>
        <v>100</v>
      </c>
      <c r="O10" s="1720">
        <f t="shared" si="4"/>
        <v>100</v>
      </c>
      <c r="P10" s="1720">
        <f t="shared" si="4"/>
        <v>100</v>
      </c>
      <c r="Q10" s="1720">
        <f t="shared" si="4"/>
        <v>100</v>
      </c>
      <c r="R10" s="1720">
        <f t="shared" si="4"/>
        <v>100</v>
      </c>
      <c r="S10" s="1720">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4"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4"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4"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3" t="s">
        <v>3015</v>
      </c>
      <c r="B17" s="2904"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5" t="s">
        <v>3017</v>
      </c>
      <c r="E19" s="1787"/>
      <c r="F19" s="1787"/>
      <c r="G19" s="1787"/>
      <c r="H19" s="1280"/>
      <c r="I19" s="168"/>
      <c r="J19" s="168"/>
      <c r="K19" s="168"/>
      <c r="L19" s="168"/>
      <c r="M19" s="168"/>
      <c r="N19" s="168"/>
      <c r="O19" s="168"/>
      <c r="P19" s="168"/>
      <c r="Q19" s="168"/>
      <c r="R19" s="788"/>
      <c r="S19" s="138"/>
    </row>
    <row r="20" spans="1:45" ht="16.5" thickBot="1">
      <c r="A20" s="715" t="s">
        <v>3018</v>
      </c>
      <c r="B20" s="338" t="e">
        <f ca="1">IF(D20="——",S22,S22-F20)</f>
        <v>#REF!</v>
      </c>
      <c r="C20" s="168"/>
      <c r="D20" s="2906" t="s">
        <v>3019</v>
      </c>
      <c r="E20" s="1788"/>
      <c r="F20" s="1204" t="e">
        <f ca="1">SUMIF(INDIRECT("'"&amp;H20&amp;"'"&amp;"!A:A"),"承租人权益价值",INDIRECT("'"&amp;H20&amp;"'"&amp;"!c:c"))</f>
        <v>#REF!</v>
      </c>
      <c r="G20" s="1204" t="s">
        <v>3020</v>
      </c>
      <c r="H20" s="2907"/>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67" t="s">
        <v>33</v>
      </c>
      <c r="D22" s="3068"/>
      <c r="E22" s="3068"/>
      <c r="F22" s="3068"/>
      <c r="G22" s="3068"/>
      <c r="H22" s="3068"/>
      <c r="I22" s="3068"/>
      <c r="J22" s="3068"/>
      <c r="K22" s="3068"/>
      <c r="L22" s="3068"/>
      <c r="M22" s="3068"/>
      <c r="N22" s="3068"/>
      <c r="O22" s="3068"/>
      <c r="P22" s="3068"/>
      <c r="Q22" s="3287"/>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1616</v>
      </c>
      <c r="B1" s="1953"/>
      <c r="C1" s="1953"/>
      <c r="D1" s="1953"/>
      <c r="E1" s="1953"/>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55"/>
      <c r="B4" s="2970" t="s">
        <v>1625</v>
      </c>
      <c r="C4" s="2970"/>
      <c r="D4" s="2970"/>
      <c r="E4" s="1955"/>
    </row>
    <row r="5" spans="1:5" ht="16.5" thickTop="1">
      <c r="A5" s="1953"/>
      <c r="B5" s="2968" t="s">
        <v>1617</v>
      </c>
      <c r="C5" s="1956" t="s">
        <v>1618</v>
      </c>
      <c r="D5" s="1040">
        <f ca="1">结果表!H101</f>
        <v>15918</v>
      </c>
      <c r="E5" s="1953"/>
    </row>
    <row r="6" spans="1:5" ht="15.75">
      <c r="A6" s="1953"/>
      <c r="B6" s="2968"/>
      <c r="C6" s="1956" t="s">
        <v>1619</v>
      </c>
      <c r="D6" s="1040" t="str">
        <f ca="1">NUMBERSTRING(INT(D5*10000),2)&amp;"元整"</f>
        <v>壹亿伍仟玖佰壹拾捌万元整</v>
      </c>
      <c r="E6" s="1953"/>
    </row>
    <row r="7" spans="1:5" ht="15.75">
      <c r="A7" s="1953"/>
      <c r="B7" s="2973"/>
      <c r="C7" s="1957" t="s">
        <v>1620</v>
      </c>
      <c r="D7" s="1041">
        <f ca="1">结果表!H102</f>
        <v>6916</v>
      </c>
      <c r="E7" s="1953"/>
    </row>
    <row r="8" spans="1:5" ht="15.75">
      <c r="A8" s="1953"/>
      <c r="B8" s="2974" t="str">
        <f>结果表!E103</f>
        <v>2.估价师知悉的法定优先受偿款</v>
      </c>
      <c r="C8" s="1958" t="s">
        <v>1621</v>
      </c>
      <c r="D8" s="1041">
        <f>结果表!H103</f>
        <v>0</v>
      </c>
      <c r="E8" s="1953"/>
    </row>
    <row r="9" spans="1:5" ht="15.75">
      <c r="A9" s="1953"/>
      <c r="B9" s="2976"/>
      <c r="C9" s="1956" t="s">
        <v>1619</v>
      </c>
      <c r="D9" s="1040" t="str">
        <f>NUMBERSTRING(INT(D8*10000),2)&amp;"元整"</f>
        <v>零元整</v>
      </c>
      <c r="E9" s="1953"/>
    </row>
    <row r="10" spans="1:5" ht="15">
      <c r="A10" s="1953"/>
      <c r="B10" s="1959" t="s">
        <v>1624</v>
      </c>
      <c r="C10" s="1960" t="s">
        <v>1622</v>
      </c>
      <c r="D10" s="1042">
        <f>结果表!H104</f>
        <v>0</v>
      </c>
      <c r="E10" s="1953"/>
    </row>
    <row r="11" spans="1:5" ht="15">
      <c r="A11" s="1953"/>
      <c r="B11" s="1959" t="s">
        <v>1626</v>
      </c>
      <c r="C11" s="1960" t="s">
        <v>1627</v>
      </c>
      <c r="D11" s="1042">
        <f>结果表!H105</f>
        <v>0</v>
      </c>
      <c r="E11" s="1953"/>
    </row>
    <row r="12" spans="1:5" ht="15">
      <c r="A12" s="1953"/>
      <c r="B12" s="1959" t="s">
        <v>1628</v>
      </c>
      <c r="C12" s="1960" t="s">
        <v>1627</v>
      </c>
      <c r="D12" s="1042">
        <f>结果表!H106</f>
        <v>0</v>
      </c>
      <c r="E12" s="1953"/>
    </row>
    <row r="13" spans="1:5" ht="15.75">
      <c r="A13" s="1953"/>
      <c r="B13" s="2967" t="str">
        <f>结果表!E107</f>
        <v>3.房地产抵押价值</v>
      </c>
      <c r="C13" s="1961" t="s">
        <v>1618</v>
      </c>
      <c r="D13" s="1043">
        <f ca="1">结果表!H107</f>
        <v>15918</v>
      </c>
      <c r="E13" s="1953"/>
    </row>
    <row r="14" spans="1:5" ht="15.75">
      <c r="A14" s="1953"/>
      <c r="B14" s="2968"/>
      <c r="C14" s="1956" t="s">
        <v>1619</v>
      </c>
      <c r="D14" s="1040" t="str">
        <f ca="1">NUMBERSTRING(INT(D13*10000),2)&amp;"元整"</f>
        <v>壹亿伍仟玖佰壹拾捌万元整</v>
      </c>
      <c r="E14" s="1953"/>
    </row>
    <row r="15" spans="1:5" ht="15">
      <c r="A15" s="1953"/>
      <c r="B15" s="2973"/>
      <c r="C15" s="1957" t="s">
        <v>1629</v>
      </c>
      <c r="D15" s="1052">
        <f ca="1">结果表!H108</f>
        <v>6916</v>
      </c>
      <c r="E15" s="1953"/>
    </row>
    <row r="16" spans="1:5" ht="15">
      <c r="A16" s="1953"/>
      <c r="B16" s="2974" t="str">
        <f>结果表!E109</f>
        <v>——</v>
      </c>
      <c r="C16" s="1961" t="s">
        <v>1630</v>
      </c>
      <c r="D16" s="1962" t="str">
        <f>结果表!H109</f>
        <v>——</v>
      </c>
      <c r="E16" s="1953"/>
    </row>
    <row r="17" spans="1:5" ht="15.75">
      <c r="A17" s="1953"/>
      <c r="B17" s="2975"/>
      <c r="C17" s="1956" t="s">
        <v>1631</v>
      </c>
      <c r="D17" s="1040" t="e">
        <f>NUMBERSTRING(INT(D16*10000),2)&amp;"元整"</f>
        <v>#VALUE!</v>
      </c>
      <c r="E17" s="1953"/>
    </row>
    <row r="18" spans="1:5" ht="15">
      <c r="A18" s="1953"/>
      <c r="B18" s="2976"/>
      <c r="C18" s="1957" t="s">
        <v>1620</v>
      </c>
      <c r="D18" s="1052" t="str">
        <f>结果表!H110</f>
        <v>——</v>
      </c>
      <c r="E18" s="1953"/>
    </row>
    <row r="19" spans="1:5" ht="15.75">
      <c r="A19" s="1953"/>
      <c r="B19" s="2967" t="str">
        <f>结果表!E111</f>
        <v>——</v>
      </c>
      <c r="C19" s="1961" t="s">
        <v>1618</v>
      </c>
      <c r="D19" s="1041" t="str">
        <f>结果表!H111</f>
        <v>——</v>
      </c>
      <c r="E19" s="1953"/>
    </row>
    <row r="20" spans="1:5" ht="15.75">
      <c r="A20" s="1953"/>
      <c r="B20" s="2968"/>
      <c r="C20" s="1956" t="s">
        <v>1631</v>
      </c>
      <c r="D20" s="1040" t="e">
        <f>NUMBERSTRING(INT(D19*10000),2)&amp;"元整"</f>
        <v>#VALUE!</v>
      </c>
      <c r="E20" s="1953"/>
    </row>
    <row r="21" spans="1:5" ht="15.75" thickBot="1">
      <c r="A21" s="1953"/>
      <c r="B21" s="2969"/>
      <c r="C21" s="1963" t="s">
        <v>1629</v>
      </c>
      <c r="D21" s="1053" t="str">
        <f>结果表!H112</f>
        <v>——</v>
      </c>
      <c r="E21" s="1953"/>
    </row>
    <row r="22" spans="1:5" ht="15" thickTop="1">
      <c r="A22" s="1953"/>
      <c r="B22" s="1964" t="s">
        <v>1632</v>
      </c>
      <c r="C22" s="1953"/>
      <c r="D22" s="1953"/>
      <c r="E22" s="1953"/>
    </row>
    <row r="23" spans="1:5">
      <c r="A23" s="1953"/>
      <c r="B23" s="1953"/>
      <c r="C23" s="1953"/>
      <c r="D23" s="1953"/>
      <c r="E23" s="1953"/>
    </row>
    <row r="24" spans="1:5" ht="18.75">
      <c r="A24" s="1965"/>
      <c r="B24" s="1966" t="s">
        <v>1623</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38846</v>
      </c>
      <c r="C2" s="2" t="s">
        <v>133</v>
      </c>
      <c r="D2" s="243"/>
      <c r="E2" s="243"/>
      <c r="F2" s="243"/>
      <c r="G2" s="243"/>
    </row>
    <row r="3" spans="1:7" s="244" customFormat="1" ht="18" customHeight="1" thickBot="1">
      <c r="A3" s="247" t="s">
        <v>85</v>
      </c>
      <c r="B3" s="248">
        <f ca="1">ROUND(B2*10000/'数据-汇总表'!E3,0)</f>
        <v>16879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23014.799999999999</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460</v>
      </c>
      <c r="D19" s="1036">
        <f>'数据-汇总表'!E3</f>
        <v>23014.799999999999</v>
      </c>
      <c r="E19" s="255">
        <f>'数据-取费表'!B31</f>
        <v>200</v>
      </c>
      <c r="F19" s="275"/>
      <c r="G19" s="1" t="s">
        <v>1071</v>
      </c>
    </row>
    <row r="20" spans="1:7" s="258" customFormat="1" ht="13.5" customHeight="1">
      <c r="A20" s="948" t="s">
        <v>1054</v>
      </c>
      <c r="B20" s="254" t="s">
        <v>104</v>
      </c>
      <c r="C20" s="276">
        <f>ROUND((C5+C19)*F20,0)</f>
        <v>632</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2079</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45</v>
      </c>
      <c r="D24" s="282"/>
      <c r="E24" s="282"/>
      <c r="F24" s="283"/>
      <c r="G24" s="284" t="s">
        <v>109</v>
      </c>
    </row>
    <row r="25" spans="1:7" s="258" customFormat="1" ht="24">
      <c r="A25" s="951" t="s">
        <v>793</v>
      </c>
      <c r="B25" s="259" t="s">
        <v>1055</v>
      </c>
      <c r="C25" s="1355">
        <f ca="1">ROUND(IF('数据-取费表'!B22&lt;=1,C20*F22*'数据-取费表'!B23/2,C20*(POWER((1+F22),'数据-取费表'!B23/2)-1)),0)</f>
        <v>30</v>
      </c>
      <c r="D25" s="282"/>
      <c r="E25" s="285"/>
      <c r="F25" s="283"/>
      <c r="G25" s="286" t="s">
        <v>110</v>
      </c>
    </row>
    <row r="26" spans="1:7" s="258" customFormat="1">
      <c r="A26" s="951" t="s">
        <v>795</v>
      </c>
      <c r="B26" s="259" t="s">
        <v>1057</v>
      </c>
      <c r="C26" s="282">
        <f ca="1">ROUND(IF('数据-取费表'!B22&lt;=1,F21*F22*'数据-取费表'!B23/2,F21*(POWER((1+F22),'数据-取费表'!B23/2)-1)),4)</f>
        <v>1.4E-3</v>
      </c>
      <c r="D26" s="282"/>
      <c r="E26" s="285"/>
      <c r="F26" s="283"/>
      <c r="G26" s="287"/>
    </row>
    <row r="27" spans="1:7" s="258" customFormat="1" ht="24.75">
      <c r="A27" s="948" t="s">
        <v>787</v>
      </c>
      <c r="B27" s="288" t="s">
        <v>112</v>
      </c>
      <c r="C27" s="289">
        <f>C28</f>
        <v>3255</v>
      </c>
      <c r="D27" s="279">
        <f>C29</f>
        <v>4.4999999999999997E-3</v>
      </c>
      <c r="E27" s="280" t="s">
        <v>126</v>
      </c>
      <c r="F27" s="290">
        <f>'数据-取费表'!Q16</f>
        <v>0.15</v>
      </c>
      <c r="G27" s="291" t="s">
        <v>1066</v>
      </c>
    </row>
    <row r="28" spans="1:7" s="258" customFormat="1" ht="13.5" customHeight="1">
      <c r="A28" s="951" t="s">
        <v>794</v>
      </c>
      <c r="B28" s="292" t="s">
        <v>1059</v>
      </c>
      <c r="C28" s="293">
        <f>ROUND((C5+C19+C20)*F27*'数据-取费表'!B21/'数据-取费表'!B20,0)</f>
        <v>3255</v>
      </c>
      <c r="D28" s="279"/>
      <c r="E28" s="280"/>
      <c r="F28" s="290"/>
      <c r="G28" s="291"/>
    </row>
    <row r="29" spans="1:7" s="258" customFormat="1" ht="13.5" customHeight="1">
      <c r="A29" s="951" t="s">
        <v>792</v>
      </c>
      <c r="B29" s="292" t="s">
        <v>1060</v>
      </c>
      <c r="C29" s="282">
        <f>ROUND(C21*F27*'数据-取费表'!B21/'数据-取费表'!B20,4)</f>
        <v>4.4999999999999997E-3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29654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7078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6214</v>
      </c>
      <c r="D34" s="261"/>
      <c r="E34" s="264"/>
      <c r="F34" s="301">
        <f>IF('数据-取费表'!B24=0,1,'数据-取费表'!N16)</f>
        <v>1</v>
      </c>
      <c r="G34" s="263" t="s">
        <v>116</v>
      </c>
    </row>
    <row r="35" spans="1:7" ht="13.5" customHeight="1">
      <c r="A35" s="951" t="s">
        <v>796</v>
      </c>
      <c r="B35" s="259" t="s">
        <v>60</v>
      </c>
      <c r="C35" s="264">
        <f>ROUND(C34*F35,0)</f>
        <v>311</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460</v>
      </c>
      <c r="D37" s="261">
        <f>'数据-汇总表'!E3</f>
        <v>23014.799999999999</v>
      </c>
      <c r="E37" s="293">
        <f>'数据-取费表'!B35</f>
        <v>200</v>
      </c>
      <c r="F37" s="303"/>
      <c r="G37" s="305" t="s">
        <v>119</v>
      </c>
    </row>
    <row r="38" spans="1:7" ht="13.5" customHeight="1">
      <c r="A38" s="951" t="s">
        <v>799</v>
      </c>
      <c r="B38" s="259" t="s">
        <v>63</v>
      </c>
      <c r="C38" s="264">
        <f>ROUND(C34*F38,0)</f>
        <v>93</v>
      </c>
      <c r="D38" s="264"/>
      <c r="E38" s="264"/>
      <c r="F38" s="303">
        <f>'数据-取费表'!B36</f>
        <v>1.4999999999999999E-2</v>
      </c>
      <c r="G38" s="263" t="s">
        <v>117</v>
      </c>
    </row>
    <row r="39" spans="1:7" s="258" customFormat="1" ht="13.5" customHeight="1">
      <c r="A39" s="948" t="s">
        <v>783</v>
      </c>
      <c r="B39" s="254" t="s">
        <v>104</v>
      </c>
      <c r="C39" s="276">
        <f>ROUND(C33*F20,0)</f>
        <v>212</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346</v>
      </c>
      <c r="D41" s="279">
        <f ca="1">C44</f>
        <v>1.4E-3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336</v>
      </c>
      <c r="D42" s="282"/>
      <c r="E42" s="282"/>
      <c r="F42" s="283"/>
      <c r="G42" s="3152" t="s">
        <v>121</v>
      </c>
    </row>
    <row r="43" spans="1:7" ht="13.5" customHeight="1">
      <c r="A43" s="951" t="s">
        <v>792</v>
      </c>
      <c r="B43" s="259" t="s">
        <v>1061</v>
      </c>
      <c r="C43" s="282">
        <f ca="1">ROUND(IF('数据-取费表'!B22&lt;=1,C39*F22*'数据-取费表'!B21/2,C39*(POWER((1+F22),'数据-取费表'!B21/2)-1)),0)</f>
        <v>10</v>
      </c>
      <c r="D43" s="282"/>
      <c r="E43" s="282"/>
      <c r="F43" s="283"/>
      <c r="G43" s="3153"/>
    </row>
    <row r="44" spans="1:7" ht="13.5" customHeight="1">
      <c r="A44" s="951" t="s">
        <v>793</v>
      </c>
      <c r="B44" s="259" t="s">
        <v>1063</v>
      </c>
      <c r="C44" s="282">
        <f ca="1">ROUND(IF('数据-取费表'!B22&lt;=1,C40*F22*'数据-取费表'!B21/2,C40*(POWER((1+F22),'数据-取费表'!B21/2)-1)),4)</f>
        <v>1.4E-3</v>
      </c>
      <c r="D44" s="282"/>
      <c r="E44" s="282"/>
      <c r="F44" s="283"/>
      <c r="G44" s="3154"/>
    </row>
    <row r="45" spans="1:7" s="258" customFormat="1" ht="13.5" customHeight="1">
      <c r="A45" s="948" t="s">
        <v>786</v>
      </c>
      <c r="B45" s="288" t="s">
        <v>112</v>
      </c>
      <c r="C45" s="289">
        <f>C46</f>
        <v>1094</v>
      </c>
      <c r="D45" s="279">
        <f>C47</f>
        <v>4.4999999999999997E-3</v>
      </c>
      <c r="E45" s="280" t="s">
        <v>129</v>
      </c>
      <c r="F45" s="290"/>
      <c r="G45" s="291" t="s">
        <v>1069</v>
      </c>
    </row>
    <row r="46" spans="1:7" s="258" customFormat="1" ht="13.5" customHeight="1">
      <c r="A46" s="951" t="s">
        <v>794</v>
      </c>
      <c r="B46" s="292" t="s">
        <v>1062</v>
      </c>
      <c r="C46" s="293">
        <f>ROUND((C33+C39)*F27,0)</f>
        <v>1094</v>
      </c>
      <c r="D46" s="307"/>
      <c r="E46" s="280"/>
      <c r="F46" s="290"/>
      <c r="G46" s="291"/>
    </row>
    <row r="47" spans="1:7" s="258" customFormat="1" ht="13.5" customHeight="1">
      <c r="A47" s="951" t="s">
        <v>792</v>
      </c>
      <c r="B47" s="292" t="s">
        <v>1064</v>
      </c>
      <c r="C47" s="282">
        <f>ROUND(C40*F27,4)</f>
        <v>4.4999999999999997E-3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9575</v>
      </c>
      <c r="D49" s="276"/>
      <c r="E49" s="276"/>
      <c r="F49" s="308"/>
      <c r="G49" s="278" t="s">
        <v>1070</v>
      </c>
    </row>
    <row r="50" spans="1:7" s="302" customFormat="1" ht="24">
      <c r="A50" s="948" t="s">
        <v>789</v>
      </c>
      <c r="B50" s="254" t="s">
        <v>124</v>
      </c>
      <c r="C50" s="276"/>
      <c r="D50" s="276"/>
      <c r="E50" s="276"/>
      <c r="F50" s="308">
        <f>IF('数据-取费表'!B24=0,'数据-取费表'!N16,1)</f>
        <v>0.96</v>
      </c>
      <c r="G50" s="291" t="s">
        <v>125</v>
      </c>
    </row>
    <row r="51" spans="1:7" ht="16.5" customHeight="1">
      <c r="A51" s="948" t="s">
        <v>790</v>
      </c>
      <c r="B51" s="254" t="s">
        <v>132</v>
      </c>
      <c r="C51" s="276">
        <f ca="1">ROUND(C49*F50,0)</f>
        <v>9192</v>
      </c>
      <c r="D51" s="276"/>
      <c r="E51" s="276"/>
      <c r="F51" s="308"/>
      <c r="G51" s="278" t="s">
        <v>64</v>
      </c>
    </row>
    <row r="52" spans="1:7" s="252" customFormat="1" ht="16.5" thickBot="1">
      <c r="A52" s="309" t="s">
        <v>65</v>
      </c>
      <c r="B52" s="310"/>
      <c r="C52" s="311">
        <f ca="1">C31+C51</f>
        <v>38846</v>
      </c>
      <c r="D52" s="310"/>
      <c r="E52" s="310"/>
      <c r="F52" s="310"/>
      <c r="G52" s="312"/>
    </row>
    <row r="55" spans="1:7" ht="15">
      <c r="B55" s="314" t="s">
        <v>66</v>
      </c>
      <c r="C55" s="315"/>
    </row>
    <row r="56" spans="1:7">
      <c r="B56" s="317" t="s">
        <v>67</v>
      </c>
      <c r="C56" s="318">
        <f ca="1">ROUND(C51/C52,3)</f>
        <v>0.23699999999999999</v>
      </c>
    </row>
    <row r="57" spans="1:7">
      <c r="B57" s="317" t="s">
        <v>68</v>
      </c>
      <c r="C57" s="319">
        <f ca="1">1-C56</f>
        <v>0.76300000000000001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868</v>
      </c>
      <c r="B1" s="329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43894</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D3:O92"/>
  <sheetViews>
    <sheetView workbookViewId="0">
      <selection activeCell="E4" sqref="E4"/>
    </sheetView>
  </sheetViews>
  <sheetFormatPr defaultRowHeight="13.5"/>
  <sheetData>
    <row r="3" spans="5:15">
      <c r="E3">
        <f ca="1">结果表!H118</f>
        <v>15918</v>
      </c>
    </row>
    <row r="13" spans="5:15" ht="40.5">
      <c r="G13" s="2950" t="s">
        <v>3093</v>
      </c>
      <c r="H13" s="2950" t="s">
        <v>3094</v>
      </c>
      <c r="I13" s="2950" t="s">
        <v>3095</v>
      </c>
      <c r="J13" s="2951" t="s">
        <v>3096</v>
      </c>
      <c r="K13" s="2951" t="s">
        <v>3097</v>
      </c>
    </row>
    <row r="14" spans="5:15">
      <c r="F14" s="3295" t="s">
        <v>3092</v>
      </c>
      <c r="G14" s="2950" t="s">
        <v>3089</v>
      </c>
      <c r="H14">
        <v>23014.799999999999</v>
      </c>
      <c r="I14">
        <v>57547.21</v>
      </c>
      <c r="J14">
        <v>15280</v>
      </c>
      <c r="K14">
        <f>ROUND(J14*10000/H14,0)</f>
        <v>6639</v>
      </c>
      <c r="M14">
        <v>7628</v>
      </c>
      <c r="O14">
        <v>7242</v>
      </c>
    </row>
    <row r="15" spans="5:15">
      <c r="F15" s="3296"/>
      <c r="G15" s="2950" t="s">
        <v>3090</v>
      </c>
      <c r="H15">
        <v>33813.64</v>
      </c>
      <c r="I15">
        <v>61612.73</v>
      </c>
      <c r="J15">
        <v>20200</v>
      </c>
      <c r="K15">
        <f>ROUND(J15*10000/H15,0)</f>
        <v>5974</v>
      </c>
      <c r="M15">
        <v>8807</v>
      </c>
      <c r="O15">
        <v>11393</v>
      </c>
    </row>
    <row r="16" spans="5:15">
      <c r="F16" s="3296"/>
      <c r="G16" s="2950" t="s">
        <v>3091</v>
      </c>
      <c r="H16">
        <v>32374.37</v>
      </c>
      <c r="I16">
        <v>47715.42</v>
      </c>
      <c r="J16">
        <v>18546</v>
      </c>
      <c r="K16">
        <f>ROUND(J16*10000/H16,0)</f>
        <v>5729</v>
      </c>
      <c r="M16">
        <v>7168</v>
      </c>
      <c r="O16">
        <v>11026</v>
      </c>
    </row>
    <row r="17" spans="6:15">
      <c r="F17" s="2950" t="s">
        <v>3098</v>
      </c>
    </row>
    <row r="18" spans="6:15">
      <c r="G18" s="2950" t="s">
        <v>3099</v>
      </c>
      <c r="H18" s="2952">
        <f>SUM(H14:H17)</f>
        <v>89202.81</v>
      </c>
      <c r="I18" s="2952">
        <f>SUM(I14:I17)</f>
        <v>166875.35999999999</v>
      </c>
      <c r="J18" s="2952">
        <f>SUM(J14:J17)</f>
        <v>54026</v>
      </c>
      <c r="M18">
        <f>SUM(M14:M16)</f>
        <v>23603</v>
      </c>
      <c r="O18">
        <f>SUM(O14:O16)</f>
        <v>29661</v>
      </c>
    </row>
    <row r="47" spans="6:8">
      <c r="F47">
        <v>1.5</v>
      </c>
      <c r="G47">
        <v>1</v>
      </c>
      <c r="H47">
        <v>1.2</v>
      </c>
    </row>
    <row r="48" spans="6:8">
      <c r="H48">
        <f>ROUND(AVERAGE(F47:H47),2)</f>
        <v>1.23</v>
      </c>
    </row>
    <row r="89" spans="4:11">
      <c r="D89">
        <v>1.5</v>
      </c>
      <c r="F89">
        <v>0.6</v>
      </c>
      <c r="G89">
        <v>1</v>
      </c>
      <c r="H89">
        <v>0.8</v>
      </c>
      <c r="I89">
        <v>1.2</v>
      </c>
      <c r="J89">
        <v>1.2</v>
      </c>
      <c r="K89">
        <v>1.2</v>
      </c>
    </row>
    <row r="92" spans="4:11">
      <c r="K92">
        <f>AVERAGE(D89:K89)</f>
        <v>1.0714285714285716</v>
      </c>
    </row>
  </sheetData>
  <mergeCells count="1">
    <mergeCell ref="F14:F16"/>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1636</v>
      </c>
      <c r="B2" s="2978" t="s">
        <v>1637</v>
      </c>
      <c r="C2" s="2978" t="s">
        <v>1638</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1044" t="s">
        <v>1633</v>
      </c>
      <c r="E3" s="1044" t="s">
        <v>1639</v>
      </c>
      <c r="F3" s="1044" t="s">
        <v>1633</v>
      </c>
      <c r="G3" s="1044" t="s">
        <v>1634</v>
      </c>
      <c r="H3" s="1044" t="s">
        <v>1633</v>
      </c>
      <c r="I3" s="1044" t="s">
        <v>1634</v>
      </c>
    </row>
    <row r="4" spans="1:9" ht="45">
      <c r="A4" s="1967" t="str">
        <f>项目基本情况!S2</f>
        <v>北京市顺义区坞里路68号6号楼1至2层101出让国有建设用地使用权及在建建筑物房地产</v>
      </c>
      <c r="B4" s="1044">
        <f>项目基本情况!C17</f>
        <v>23014.799999999999</v>
      </c>
      <c r="C4" s="1044">
        <f>项目基本情况!C18</f>
        <v>61612.73</v>
      </c>
      <c r="D4" s="1044">
        <f ca="1">结果表!D118</f>
        <v>8691</v>
      </c>
      <c r="E4" s="1044">
        <f ca="1">结果表!E118</f>
        <v>3776</v>
      </c>
      <c r="F4" s="1044">
        <f ca="1">结果表!F118</f>
        <v>7227</v>
      </c>
      <c r="G4" s="1044">
        <f ca="1">结果表!G118</f>
        <v>3140</v>
      </c>
      <c r="H4" s="1044">
        <f ca="1">结果表!H118</f>
        <v>15918</v>
      </c>
      <c r="I4" s="1044">
        <f ca="1">结果表!I118</f>
        <v>6916</v>
      </c>
    </row>
    <row r="5" spans="1:9" ht="30" customHeight="1">
      <c r="A5" s="2979" t="s">
        <v>1635</v>
      </c>
      <c r="B5" s="2979"/>
      <c r="C5" s="2979"/>
      <c r="D5" s="2980" t="str">
        <f ca="1">结果表!D119</f>
        <v>捌仟陆佰玖拾壹万元整</v>
      </c>
      <c r="E5" s="2980"/>
      <c r="F5" s="2980" t="str">
        <f ca="1">结果表!F119</f>
        <v>柒仟贰佰贰拾柒万元整</v>
      </c>
      <c r="G5" s="2980"/>
      <c r="H5" s="2980" t="str">
        <f ca="1">结果表!H119</f>
        <v>壹亿伍仟玖佰壹拾捌万元整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1635</v>
      </c>
      <c r="B7" s="2979"/>
      <c r="C7" s="2979"/>
      <c r="D7" s="2982" t="str">
        <f>结果表!D121</f>
        <v>零元整</v>
      </c>
      <c r="E7" s="2983"/>
      <c r="F7" s="2983"/>
      <c r="G7" s="2983"/>
      <c r="H7" s="2983"/>
      <c r="I7" s="2984"/>
    </row>
    <row r="8" spans="1:9" ht="15.75">
      <c r="A8" s="2981" t="str">
        <f>结果表!A122</f>
        <v>房地产抵押价值</v>
      </c>
      <c r="B8" s="2981"/>
      <c r="C8" s="2981"/>
      <c r="D8" s="2981">
        <f ca="1">结果表!D122</f>
        <v>15918</v>
      </c>
      <c r="E8" s="2981"/>
      <c r="F8" s="2981"/>
      <c r="G8" s="2981"/>
      <c r="H8" s="2981"/>
      <c r="I8" s="2981"/>
    </row>
    <row r="9" spans="1:9" ht="15">
      <c r="A9" s="2979" t="s">
        <v>1635</v>
      </c>
      <c r="B9" s="2979"/>
      <c r="C9" s="2979"/>
      <c r="D9" s="2980" t="str">
        <f ca="1">结果表!D123</f>
        <v>壹亿伍仟玖佰壹拾捌万元整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1635</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1635</v>
      </c>
      <c r="B13" s="2985"/>
      <c r="C13" s="2985"/>
      <c r="D13" s="2986" t="e">
        <f>结果表!D127</f>
        <v>#VALUE!</v>
      </c>
      <c r="E13" s="2986"/>
      <c r="F13" s="2986"/>
      <c r="G13" s="2986"/>
      <c r="H13" s="2986"/>
      <c r="I13" s="2986"/>
    </row>
    <row r="14" spans="1:9" ht="15" thickTop="1">
      <c r="A14" s="2987" t="s">
        <v>1640</v>
      </c>
      <c r="B14" s="2987"/>
      <c r="C14" s="2987"/>
      <c r="D14" s="2987"/>
      <c r="E14" s="2987"/>
      <c r="F14" s="2987"/>
      <c r="G14" s="2987"/>
      <c r="H14" s="2987"/>
      <c r="I14" s="2987"/>
    </row>
    <row r="16" spans="1:9" ht="18.75">
      <c r="A16" s="1968" t="s">
        <v>1623</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2988" t="s">
        <v>1657</v>
      </c>
      <c r="B1" s="2988"/>
      <c r="C1" s="2988"/>
      <c r="D1" s="2988"/>
    </row>
    <row r="2" spans="1:4" ht="18">
      <c r="A2" s="2989" t="s">
        <v>1641</v>
      </c>
      <c r="B2" s="2989"/>
      <c r="C2" s="2989"/>
      <c r="D2" s="2989"/>
    </row>
    <row r="3" spans="1:4" ht="18.75">
      <c r="A3" s="1971" t="s">
        <v>1642</v>
      </c>
      <c r="B3" s="1971" t="s">
        <v>1643</v>
      </c>
      <c r="C3" s="1971" t="s">
        <v>1644</v>
      </c>
      <c r="D3" s="1971" t="s">
        <v>1645</v>
      </c>
    </row>
    <row r="4" spans="1:4" ht="56.25" customHeight="1">
      <c r="A4" s="1972" t="str">
        <f>项目基本情况!B4</f>
        <v>郑燚</v>
      </c>
      <c r="B4" s="1973">
        <f ca="1">项目基本情况!C4</f>
        <v>0</v>
      </c>
      <c r="C4" s="1974"/>
      <c r="D4" s="1975" t="s">
        <v>1646</v>
      </c>
    </row>
    <row r="5" spans="1:4" ht="56.25" customHeight="1">
      <c r="A5" s="1972" t="str">
        <f>项目基本情况!D4</f>
        <v>崔锴</v>
      </c>
      <c r="B5" s="1973">
        <f ca="1">项目基本情况!E4</f>
        <v>1120100036</v>
      </c>
      <c r="C5" s="1976"/>
      <c r="D5" s="1975" t="s">
        <v>1646</v>
      </c>
    </row>
    <row r="6" spans="1:4" ht="18">
      <c r="A6" s="2989" t="s">
        <v>1647</v>
      </c>
      <c r="B6" s="2989"/>
      <c r="C6" s="2989"/>
      <c r="D6" s="2989"/>
    </row>
    <row r="7" spans="1:4" ht="18.75">
      <c r="A7" s="1971" t="s">
        <v>1642</v>
      </c>
      <c r="B7" s="1973" t="s">
        <v>1648</v>
      </c>
      <c r="C7" s="1971" t="s">
        <v>1644</v>
      </c>
      <c r="D7" s="1971" t="s">
        <v>1645</v>
      </c>
    </row>
    <row r="8" spans="1:4" ht="56.25" customHeight="1">
      <c r="A8" s="1977" t="s">
        <v>866</v>
      </c>
      <c r="B8" s="1977" t="s">
        <v>1</v>
      </c>
      <c r="C8" s="1974"/>
      <c r="D8" s="1975" t="s">
        <v>1646</v>
      </c>
    </row>
    <row r="9" spans="1:4">
      <c r="A9" s="728"/>
      <c r="B9" s="728"/>
      <c r="C9" s="728"/>
      <c r="D9" s="728"/>
    </row>
    <row r="10" spans="1:4" ht="18.75">
      <c r="A10" s="1978" t="s">
        <v>1649</v>
      </c>
      <c r="B10" s="728"/>
      <c r="C10" s="728"/>
      <c r="D10" s="728"/>
    </row>
    <row r="11" spans="1:4" ht="30" customHeight="1">
      <c r="A11" s="2990" t="s">
        <v>1650</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4" t="s">
        <v>1651</v>
      </c>
      <c r="B16" s="2994"/>
      <c r="C16" s="2994"/>
      <c r="D16" s="2994"/>
    </row>
    <row r="17" spans="1:4" ht="144" customHeight="1">
      <c r="A17" s="2994" t="s">
        <v>1652</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5"/>
      <c r="C21" s="2995"/>
      <c r="D21" s="2995"/>
    </row>
    <row r="22" spans="1:4" ht="18.75" customHeight="1">
      <c r="A22" s="2996" t="s">
        <v>1653</v>
      </c>
      <c r="B22" s="2996"/>
      <c r="C22" s="2996"/>
      <c r="D22" s="2996"/>
    </row>
    <row r="23" spans="1:4">
      <c r="A23" s="1979"/>
      <c r="B23" s="1951"/>
      <c r="C23" s="1951"/>
      <c r="D23" s="1951"/>
    </row>
    <row r="24" spans="1:4">
      <c r="A24" s="1979"/>
      <c r="B24" s="1951"/>
      <c r="C24" s="1951"/>
      <c r="D24" s="1951"/>
    </row>
    <row r="25" spans="1:4" ht="18.75">
      <c r="A25" s="1980" t="s">
        <v>1654</v>
      </c>
    </row>
    <row r="26" spans="1:4" ht="18">
      <c r="A26" s="1949"/>
    </row>
    <row r="27" spans="1:4" ht="18.75">
      <c r="A27" s="1949" t="s">
        <v>1655</v>
      </c>
    </row>
    <row r="30" spans="1:4" ht="18.75">
      <c r="D30" s="1980" t="s">
        <v>1656</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867</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7" customWidth="1"/>
    <col min="2" max="16384" width="14.5" style="1969"/>
  </cols>
  <sheetData>
    <row r="1" spans="1:7" s="1984" customFormat="1" ht="18.75">
      <c r="A1" s="1983" t="s">
        <v>1658</v>
      </c>
    </row>
    <row r="3" spans="1:7">
      <c r="A3" s="1985" t="s">
        <v>82</v>
      </c>
      <c r="B3" s="1969" t="s">
        <v>1659</v>
      </c>
      <c r="G3" s="1986"/>
    </row>
    <row r="4" spans="1:7">
      <c r="G4" s="1986"/>
    </row>
    <row r="5" spans="1:7">
      <c r="A5" s="1988" t="s">
        <v>73</v>
      </c>
      <c r="B5" s="1969" t="s">
        <v>1660</v>
      </c>
      <c r="G5" s="1986"/>
    </row>
    <row r="6" spans="1:7">
      <c r="G6" s="1986"/>
    </row>
    <row r="7" spans="1:7">
      <c r="A7" s="1989" t="s">
        <v>135</v>
      </c>
      <c r="B7" s="1969" t="s">
        <v>1661</v>
      </c>
      <c r="G7" s="1986"/>
    </row>
    <row r="8" spans="1:7">
      <c r="G8" s="1986"/>
    </row>
    <row r="9" spans="1:7">
      <c r="A9" s="1990" t="s">
        <v>74</v>
      </c>
      <c r="B9" s="1969" t="s">
        <v>1662</v>
      </c>
    </row>
    <row r="11" spans="1:7">
      <c r="A11" s="1991" t="s">
        <v>75</v>
      </c>
      <c r="B11" s="1992" t="s">
        <v>72</v>
      </c>
    </row>
    <row r="13" spans="1:7">
      <c r="A13" s="1993" t="s">
        <v>1663</v>
      </c>
    </row>
    <row r="15" spans="1:7" ht="13.5">
      <c r="A15" s="3002" t="s">
        <v>1664</v>
      </c>
      <c r="B15" s="2997" t="s">
        <v>136</v>
      </c>
      <c r="C15" s="2998"/>
    </row>
    <row r="16" spans="1:7" ht="13.5">
      <c r="A16" s="3003"/>
      <c r="B16" s="2997" t="s">
        <v>69</v>
      </c>
      <c r="C16" s="2998"/>
    </row>
    <row r="17" spans="1:3" ht="13.5">
      <c r="A17" s="3003"/>
      <c r="B17" s="3000" t="s">
        <v>1665</v>
      </c>
      <c r="C17" s="1994" t="s">
        <v>1664</v>
      </c>
    </row>
    <row r="18" spans="1:3" ht="13.5">
      <c r="A18" s="3003"/>
      <c r="B18" s="3000"/>
      <c r="C18" s="1994" t="s">
        <v>1666</v>
      </c>
    </row>
    <row r="19" spans="1:3" ht="13.5">
      <c r="A19" s="3003"/>
      <c r="B19" s="3000"/>
      <c r="C19" s="1994" t="s">
        <v>1667</v>
      </c>
    </row>
    <row r="20" spans="1:3" ht="13.5">
      <c r="A20" s="3004"/>
      <c r="B20" s="2999" t="s">
        <v>1668</v>
      </c>
      <c r="C20" s="2998"/>
    </row>
    <row r="21" spans="1:3" ht="13.5">
      <c r="A21" s="1995" t="s">
        <v>1669</v>
      </c>
      <c r="B21" s="1996"/>
      <c r="C21" s="1997"/>
    </row>
    <row r="22" spans="1:3" ht="13.5">
      <c r="A22" s="3001" t="s">
        <v>1670</v>
      </c>
      <c r="B22" s="2999" t="s">
        <v>1671</v>
      </c>
      <c r="C22" s="2998"/>
    </row>
    <row r="23" spans="1:3" ht="13.5">
      <c r="A23" s="3001"/>
      <c r="B23" s="2999" t="s">
        <v>1672</v>
      </c>
      <c r="C23" s="2998"/>
    </row>
    <row r="24" spans="1:3" ht="13.5">
      <c r="A24" s="3001"/>
      <c r="B24" s="2999" t="s">
        <v>1673</v>
      </c>
      <c r="C24" s="2998"/>
    </row>
    <row r="25" spans="1:3" ht="13.5">
      <c r="A25" s="3001"/>
      <c r="B25" s="3000" t="s">
        <v>1674</v>
      </c>
      <c r="C25" s="1994" t="s">
        <v>1675</v>
      </c>
    </row>
    <row r="26" spans="1:3" ht="13.5">
      <c r="A26" s="3001"/>
      <c r="B26" s="3000"/>
      <c r="C26" s="1994" t="s">
        <v>1676</v>
      </c>
    </row>
    <row r="27" spans="1:3" ht="13.5">
      <c r="A27" s="3001"/>
      <c r="B27" s="3000"/>
      <c r="C27" s="1994" t="s">
        <v>1677</v>
      </c>
    </row>
    <row r="28" spans="1:3" ht="13.5">
      <c r="A28" s="3001"/>
      <c r="B28" s="3000"/>
      <c r="C28" s="1994" t="s">
        <v>1678</v>
      </c>
    </row>
    <row r="29" spans="1:3" ht="13.5">
      <c r="A29" s="3001"/>
      <c r="B29" s="3000"/>
      <c r="C29" s="1994" t="s">
        <v>1679</v>
      </c>
    </row>
    <row r="30" spans="1:3" ht="13.5">
      <c r="A30" s="3001"/>
      <c r="B30" s="3000"/>
      <c r="C30" s="1994" t="s">
        <v>1680</v>
      </c>
    </row>
    <row r="31" spans="1:3" ht="13.5">
      <c r="A31" s="3001"/>
      <c r="B31" s="3000"/>
      <c r="C31" s="1994" t="s">
        <v>1681</v>
      </c>
    </row>
    <row r="32" spans="1:3" ht="13.5">
      <c r="A32" s="3001"/>
      <c r="B32" s="3000"/>
      <c r="C32" s="1994" t="s">
        <v>1682</v>
      </c>
    </row>
    <row r="33" spans="1:3" ht="13.5">
      <c r="A33" s="3001"/>
      <c r="B33" s="3000"/>
      <c r="C33" s="1994" t="s">
        <v>1683</v>
      </c>
    </row>
    <row r="34" spans="1:3">
      <c r="A34" s="1998" t="s">
        <v>76</v>
      </c>
    </row>
    <row r="37" spans="1:3">
      <c r="A37" s="1998" t="s">
        <v>1684</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43902</v>
      </c>
      <c r="C2" s="1019" t="s">
        <v>826</v>
      </c>
      <c r="D2" s="1019"/>
    </row>
    <row r="3" spans="1:6" ht="24" customHeight="1">
      <c r="A3" s="1020" t="s">
        <v>827</v>
      </c>
      <c r="B3" s="1021" t="s">
        <v>828</v>
      </c>
      <c r="C3" s="2339" t="s">
        <v>829</v>
      </c>
      <c r="D3" s="2342" t="s">
        <v>830</v>
      </c>
      <c r="E3" s="1022" t="s">
        <v>831</v>
      </c>
      <c r="F3" s="1021" t="s">
        <v>829</v>
      </c>
    </row>
    <row r="4" spans="1:6" ht="24" customHeight="1">
      <c r="A4" s="1697" t="s">
        <v>832</v>
      </c>
      <c r="B4" s="1022" t="str">
        <f ca="1">IF(C4&lt;B2,"已过期",1119970066)</f>
        <v>已过期</v>
      </c>
      <c r="C4" s="2340">
        <v>43849</v>
      </c>
      <c r="D4" s="2343" t="s">
        <v>832</v>
      </c>
      <c r="E4" s="1022">
        <f ca="1">IF(F4&lt;B2,"已过期",96010014)</f>
        <v>96010014</v>
      </c>
      <c r="F4" s="1030">
        <v>47118</v>
      </c>
    </row>
    <row r="5" spans="1:6" ht="24" customHeight="1">
      <c r="A5" s="1697" t="s">
        <v>833</v>
      </c>
      <c r="B5" s="1022" t="str">
        <f ca="1">IF(C5&lt;B2,"已过期",1119970074)</f>
        <v>已过期</v>
      </c>
      <c r="C5" s="2340">
        <v>43849</v>
      </c>
      <c r="D5" s="2343" t="s">
        <v>833</v>
      </c>
      <c r="E5" s="1022">
        <f ca="1">IF(F5&lt;B2,"已过期",2002110027)</f>
        <v>2002110027</v>
      </c>
      <c r="F5" s="1030">
        <v>46752</v>
      </c>
    </row>
    <row r="6" spans="1:6" ht="24" customHeight="1">
      <c r="A6" s="1697" t="s">
        <v>834</v>
      </c>
      <c r="B6" s="1022" t="str">
        <f ca="1">IF(C6&lt;B2,"已过期",1119970111)</f>
        <v>已过期</v>
      </c>
      <c r="C6" s="2340">
        <v>43849</v>
      </c>
      <c r="D6" s="2343" t="s">
        <v>834</v>
      </c>
      <c r="E6" s="1022">
        <f ca="1">IF(F6&lt;B2,"已过期",94010078)</f>
        <v>94010078</v>
      </c>
      <c r="F6" s="1030">
        <v>46387</v>
      </c>
    </row>
    <row r="7" spans="1:6" ht="24" customHeight="1">
      <c r="A7" s="1697" t="s">
        <v>835</v>
      </c>
      <c r="B7" s="1022">
        <f ca="1">IF(C7&lt;B2,"已过期",1120050019)</f>
        <v>1120050019</v>
      </c>
      <c r="C7" s="2340">
        <v>44395</v>
      </c>
      <c r="D7" s="2343" t="s">
        <v>835</v>
      </c>
      <c r="E7" s="1022">
        <f ca="1">IF(F7&lt;B2,"已过期",2002110030)</f>
        <v>2002110030</v>
      </c>
      <c r="F7" s="1030">
        <v>46387</v>
      </c>
    </row>
    <row r="8" spans="1:6" ht="24" customHeight="1">
      <c r="A8" s="1697" t="s">
        <v>836</v>
      </c>
      <c r="B8" s="1022" t="str">
        <f ca="1">IF(C8&lt;B2,"已过期",1120000080)</f>
        <v>已过期</v>
      </c>
      <c r="C8" s="2340">
        <v>43849</v>
      </c>
      <c r="D8" s="2343" t="s">
        <v>836</v>
      </c>
      <c r="E8" s="1022">
        <f ca="1">IF(F8&lt;B2,"已过期",2000110082)</f>
        <v>2000110082</v>
      </c>
      <c r="F8" s="1030">
        <v>46387</v>
      </c>
    </row>
    <row r="9" spans="1:6" ht="24" customHeight="1">
      <c r="A9" s="1697" t="s">
        <v>837</v>
      </c>
      <c r="B9" s="1022" t="str">
        <f ca="1">IF(C9&lt;B2,"已过期",1419970001)</f>
        <v>已过期</v>
      </c>
      <c r="C9" s="2340">
        <v>43867</v>
      </c>
      <c r="D9" s="2343" t="s">
        <v>837</v>
      </c>
      <c r="E9" s="1022">
        <f ca="1">IF(F9&lt;B2,"已过期",2002110125)</f>
        <v>2002110125</v>
      </c>
      <c r="F9" s="1030">
        <v>47118</v>
      </c>
    </row>
    <row r="10" spans="1:6" ht="24" customHeight="1">
      <c r="A10" s="1697" t="s">
        <v>838</v>
      </c>
      <c r="B10" s="1022">
        <f ca="1">IF(C10&lt;B2,"已过期",1120060040)</f>
        <v>1120060040</v>
      </c>
      <c r="C10" s="2340">
        <v>44554</v>
      </c>
      <c r="D10" s="2343" t="s">
        <v>838</v>
      </c>
      <c r="E10" s="1022">
        <f ca="1">IF(F10&lt;B2,"已过期",2004110096)</f>
        <v>2004110096</v>
      </c>
      <c r="F10" s="1030">
        <v>47118</v>
      </c>
    </row>
    <row r="11" spans="1:6" ht="24" customHeight="1">
      <c r="A11" s="1697" t="s">
        <v>839</v>
      </c>
      <c r="B11" s="1022">
        <f ca="1">IF(C11&lt;B2,"已过期",1120100036)</f>
        <v>1120100036</v>
      </c>
      <c r="C11" s="2340">
        <v>44675</v>
      </c>
      <c r="D11" s="2343" t="s">
        <v>839</v>
      </c>
      <c r="E11" s="1022">
        <f ca="1">IF(F11&lt;B2,"已过期",2010110070)</f>
        <v>2010110070</v>
      </c>
      <c r="F11" s="1030">
        <v>47907</v>
      </c>
    </row>
    <row r="12" spans="1:6" ht="24" customHeight="1">
      <c r="A12" s="1697"/>
      <c r="B12" s="1022"/>
      <c r="C12" s="2922"/>
      <c r="D12" s="1697"/>
      <c r="E12" s="1022"/>
      <c r="F12" s="1030"/>
    </row>
    <row r="13" spans="1:6" ht="24" customHeight="1">
      <c r="A13" s="1697" t="s">
        <v>840</v>
      </c>
      <c r="B13" s="1022" t="str">
        <f ca="1">IF(C13&lt;B2,"已过期",1120070131)</f>
        <v>已过期</v>
      </c>
      <c r="C13" s="2340">
        <v>43814</v>
      </c>
      <c r="D13" s="2343" t="s">
        <v>840</v>
      </c>
      <c r="E13" s="1022">
        <f ca="1">IF(F13&lt;B2,"已过期",2014110011)</f>
        <v>2014110011</v>
      </c>
      <c r="F13" s="1030">
        <v>49302</v>
      </c>
    </row>
    <row r="14" spans="1:6" ht="24" customHeight="1">
      <c r="A14" s="1697" t="s">
        <v>3046</v>
      </c>
      <c r="B14" s="1022" t="str">
        <f ca="1">IF(C14&lt;B2,"已过期",1120040230)</f>
        <v>已过期</v>
      </c>
      <c r="C14" s="2340">
        <v>43835</v>
      </c>
      <c r="D14" s="2343" t="s">
        <v>3046</v>
      </c>
      <c r="E14" s="1022">
        <f ca="1">IF(F14&lt;B2,"已过期",98030020)</f>
        <v>98030020</v>
      </c>
      <c r="F14" s="1030">
        <v>47118</v>
      </c>
    </row>
    <row r="15" spans="1:6" ht="24" customHeight="1">
      <c r="A15" s="1698" t="s">
        <v>3047</v>
      </c>
      <c r="B15" s="1022" t="str">
        <f ca="1">IF(C15&lt;B2,"已过期",1120070085)</f>
        <v>已过期</v>
      </c>
      <c r="C15" s="2340">
        <v>43814</v>
      </c>
      <c r="D15" s="2344" t="s">
        <v>3047</v>
      </c>
      <c r="E15" s="1022">
        <f ca="1">IF(F15&lt;B2,"已过期",2004110128)</f>
        <v>2004110128</v>
      </c>
      <c r="F15" s="1023">
        <v>47118</v>
      </c>
    </row>
    <row r="16" spans="1:6" ht="24" customHeight="1">
      <c r="A16" s="1697" t="s">
        <v>3048</v>
      </c>
      <c r="B16" s="1022">
        <f ca="1">IF(C16&lt;B2,"已过期",1120140022)</f>
        <v>1120140022</v>
      </c>
      <c r="C16" s="2922">
        <v>44029</v>
      </c>
      <c r="D16" s="2343" t="s">
        <v>3048</v>
      </c>
      <c r="E16" s="1022">
        <f ca="1">IF(F16&lt;B2,"已过期",2008110059)</f>
        <v>2008110059</v>
      </c>
      <c r="F16" s="1030">
        <v>47177</v>
      </c>
    </row>
    <row r="17" spans="1:7" ht="24" customHeight="1">
      <c r="A17" s="1697"/>
      <c r="B17" s="1022"/>
      <c r="C17" s="2340"/>
      <c r="D17" s="2343" t="s">
        <v>3049</v>
      </c>
      <c r="E17" s="1022">
        <f ca="1">IF(F17&lt;B2,"已过期",2014110076)</f>
        <v>2014110076</v>
      </c>
      <c r="F17" s="1030">
        <v>49302</v>
      </c>
    </row>
    <row r="18" spans="1:7" ht="24" customHeight="1">
      <c r="A18" s="1697"/>
      <c r="B18" s="1022"/>
      <c r="C18" s="2340"/>
      <c r="D18" s="2343"/>
      <c r="E18" s="1022"/>
      <c r="F18" s="1030"/>
    </row>
    <row r="19" spans="1:7" ht="24" customHeight="1">
      <c r="A19" s="1697"/>
      <c r="B19" s="1022"/>
      <c r="C19" s="2340"/>
      <c r="D19" s="2343"/>
      <c r="E19" s="1022"/>
      <c r="F19" s="1022"/>
    </row>
    <row r="20" spans="1:7" ht="24" customHeight="1">
      <c r="A20" s="1697"/>
      <c r="B20" s="1022"/>
      <c r="C20" s="2340"/>
      <c r="D20" s="2343"/>
      <c r="E20" s="1022"/>
      <c r="F20" s="1022"/>
    </row>
    <row r="21" spans="1:7" ht="24" customHeight="1">
      <c r="A21" s="1697"/>
      <c r="B21" s="1022"/>
      <c r="C21" s="2340"/>
      <c r="D21" s="2343" t="s">
        <v>841</v>
      </c>
      <c r="E21" s="1022">
        <f ca="1">IF(F21&lt;B2,"已过期",2011110090)</f>
        <v>2011110090</v>
      </c>
      <c r="F21" s="1030">
        <v>48302</v>
      </c>
    </row>
    <row r="22" spans="1:7" ht="24" customHeight="1">
      <c r="A22" s="1697" t="s">
        <v>842</v>
      </c>
      <c r="B22" s="1022">
        <f ca="1">IF(C22&lt;B2,"已过期",1120020033)</f>
        <v>1120020033</v>
      </c>
      <c r="C22" s="2922">
        <v>44339</v>
      </c>
      <c r="D22" s="2343" t="s">
        <v>842</v>
      </c>
      <c r="E22" s="1022">
        <f ca="1">IF(F22&lt;B2,"已过期",2000110137)</f>
        <v>2000110137</v>
      </c>
      <c r="F22" s="1030">
        <v>46387</v>
      </c>
    </row>
    <row r="23" spans="1:7" ht="24" customHeight="1">
      <c r="A23" s="1697"/>
      <c r="B23" s="1022"/>
      <c r="C23" s="2340"/>
      <c r="D23" s="2343"/>
      <c r="E23" s="1022"/>
      <c r="F23" s="1022"/>
    </row>
    <row r="24" spans="1:7" s="1024" customFormat="1" ht="24" customHeight="1">
      <c r="A24" s="1698" t="s">
        <v>1329</v>
      </c>
      <c r="B24" s="1698" t="s">
        <v>1329</v>
      </c>
      <c r="C24" s="2341" t="s">
        <v>1329</v>
      </c>
      <c r="D24" s="2344" t="s">
        <v>1329</v>
      </c>
      <c r="E24" s="1698" t="s">
        <v>1329</v>
      </c>
      <c r="F24" s="1698" t="s">
        <v>1329</v>
      </c>
    </row>
    <row r="25" spans="1:7" ht="24" customHeight="1">
      <c r="A25" s="3005" t="s">
        <v>843</v>
      </c>
      <c r="B25" s="3005"/>
      <c r="C25" s="3005"/>
      <c r="D25" s="3005"/>
      <c r="E25" s="3005"/>
      <c r="F25" s="3005"/>
      <c r="G25" s="3005"/>
    </row>
    <row r="26" spans="1:7" s="1025" customFormat="1" ht="24" customHeight="1">
      <c r="A26" s="3006" t="s">
        <v>844</v>
      </c>
      <c r="B26" s="3006"/>
      <c r="C26" s="3007"/>
      <c r="D26" s="3008" t="s">
        <v>845</v>
      </c>
      <c r="E26" s="3006"/>
      <c r="F26" s="3006"/>
    </row>
    <row r="27" spans="1:7" s="1027" customFormat="1" ht="24" customHeight="1">
      <c r="A27" s="1026" t="s">
        <v>846</v>
      </c>
      <c r="B27" s="1021" t="s">
        <v>847</v>
      </c>
      <c r="C27" s="2339" t="s">
        <v>848</v>
      </c>
      <c r="D27" s="2347" t="s">
        <v>846</v>
      </c>
      <c r="E27" s="1021" t="s">
        <v>847</v>
      </c>
      <c r="F27" s="1021" t="s">
        <v>848</v>
      </c>
    </row>
    <row r="28" spans="1:7" s="1027" customFormat="1" ht="24" customHeight="1">
      <c r="A28" s="1028" t="s">
        <v>849</v>
      </c>
      <c r="B28" s="1029" t="s">
        <v>850</v>
      </c>
      <c r="C28" s="2345">
        <v>43725</v>
      </c>
      <c r="D28" s="2348" t="s">
        <v>851</v>
      </c>
      <c r="E28" s="1028" t="s">
        <v>852</v>
      </c>
      <c r="F28" s="1058">
        <v>44377</v>
      </c>
    </row>
    <row r="29" spans="1:7" s="1027" customFormat="1" ht="24" customHeight="1">
      <c r="A29" s="1028"/>
      <c r="B29" s="1028"/>
      <c r="C29" s="2346"/>
      <c r="D29" s="2348" t="s">
        <v>853</v>
      </c>
      <c r="E29" s="1202" t="s">
        <v>3053</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8" priority="88">
      <formula>AND($C28-TODAY()&lt;30,TODAY()&lt;$C28)</formula>
    </cfRule>
  </conditionalFormatting>
  <conditionalFormatting sqref="C28 F4">
    <cfRule type="cellIs" dxfId="197" priority="90" stopIfTrue="1" operator="lessThan">
      <formula>$B$2</formula>
    </cfRule>
  </conditionalFormatting>
  <conditionalFormatting sqref="C5">
    <cfRule type="expression" dxfId="196" priority="85">
      <formula>AND($C5-TODAY()&lt;30,TODAY()&lt;$C5)</formula>
    </cfRule>
  </conditionalFormatting>
  <conditionalFormatting sqref="C5 F5">
    <cfRule type="cellIs" dxfId="195" priority="86" stopIfTrue="1" operator="lessThan">
      <formula>$B$2</formula>
    </cfRule>
  </conditionalFormatting>
  <conditionalFormatting sqref="F6 F8 F10">
    <cfRule type="cellIs" dxfId="194" priority="84" stopIfTrue="1" operator="lessThan">
      <formula>$B$2</formula>
    </cfRule>
  </conditionalFormatting>
  <conditionalFormatting sqref="C4:C11 C13 C23 C17:C21">
    <cfRule type="expression" dxfId="193" priority="82">
      <formula>AND($C4-TODAY()&lt;30,TODAY()&lt;$C4)</formula>
    </cfRule>
  </conditionalFormatting>
  <conditionalFormatting sqref="F7 F9 F11 C4:C11 C13 C23 C17:C21">
    <cfRule type="cellIs" dxfId="192" priority="83" stopIfTrue="1" operator="lessThan">
      <formula>$B$2</formula>
    </cfRule>
  </conditionalFormatting>
  <conditionalFormatting sqref="C18">
    <cfRule type="expression" dxfId="191" priority="72">
      <formula>AND($C18-TODAY()&lt;30,TODAY()&lt;$C18)</formula>
    </cfRule>
  </conditionalFormatting>
  <conditionalFormatting sqref="C18">
    <cfRule type="cellIs" dxfId="190" priority="73" stopIfTrue="1" operator="lessThan">
      <formula>$B$2</formula>
    </cfRule>
  </conditionalFormatting>
  <conditionalFormatting sqref="C20">
    <cfRule type="expression" dxfId="189" priority="70">
      <formula>AND($C20-TODAY()&lt;30,TODAY()&lt;$C20)</formula>
    </cfRule>
  </conditionalFormatting>
  <conditionalFormatting sqref="C20">
    <cfRule type="cellIs" dxfId="188" priority="71" stopIfTrue="1" operator="lessThan">
      <formula>$B$2</formula>
    </cfRule>
  </conditionalFormatting>
  <conditionalFormatting sqref="C17">
    <cfRule type="expression" dxfId="187" priority="64">
      <formula>AND($C17-TODAY()&lt;30,TODAY()&lt;$C17)</formula>
    </cfRule>
  </conditionalFormatting>
  <conditionalFormatting sqref="C17">
    <cfRule type="cellIs" dxfId="186" priority="65" stopIfTrue="1" operator="lessThan">
      <formula>$B$2</formula>
    </cfRule>
  </conditionalFormatting>
  <conditionalFormatting sqref="C19">
    <cfRule type="expression" dxfId="185" priority="62">
      <formula>AND($C19-TODAY()&lt;30,TODAY()&lt;$C19)</formula>
    </cfRule>
  </conditionalFormatting>
  <conditionalFormatting sqref="C19">
    <cfRule type="cellIs" dxfId="184" priority="63" stopIfTrue="1" operator="lessThan">
      <formula>$B$2</formula>
    </cfRule>
  </conditionalFormatting>
  <conditionalFormatting sqref="C21">
    <cfRule type="expression" dxfId="183" priority="60">
      <formula>AND($C21-TODAY()&lt;30,TODAY()&lt;$C21)</formula>
    </cfRule>
  </conditionalFormatting>
  <conditionalFormatting sqref="C21">
    <cfRule type="cellIs" dxfId="182" priority="61" stopIfTrue="1" operator="lessThan">
      <formula>$B$2</formula>
    </cfRule>
  </conditionalFormatting>
  <conditionalFormatting sqref="C23">
    <cfRule type="expression" dxfId="181" priority="58">
      <formula>AND($C23-TODAY()&lt;30,TODAY()&lt;$C23)</formula>
    </cfRule>
  </conditionalFormatting>
  <conditionalFormatting sqref="C23">
    <cfRule type="cellIs" dxfId="180" priority="59" stopIfTrue="1" operator="lessThan">
      <formula>$B$2</formula>
    </cfRule>
  </conditionalFormatting>
  <conditionalFormatting sqref="F18">
    <cfRule type="cellIs" dxfId="179" priority="55" stopIfTrue="1" operator="lessThan">
      <formula>$B$2</formula>
    </cfRule>
  </conditionalFormatting>
  <conditionalFormatting sqref="F22">
    <cfRule type="cellIs" dxfId="178" priority="54" stopIfTrue="1" operator="lessThan">
      <formula>$B$2</formula>
    </cfRule>
  </conditionalFormatting>
  <conditionalFormatting sqref="F21">
    <cfRule type="cellIs" dxfId="177" priority="53" stopIfTrue="1" operator="lessThan">
      <formula>$B$2</formula>
    </cfRule>
  </conditionalFormatting>
  <conditionalFormatting sqref="B4:B11 E4:E11 B17:B23 E18:E23 B13 E13">
    <cfRule type="cellIs" dxfId="176" priority="51" stopIfTrue="1" operator="equal">
      <formula>"已过期"</formula>
    </cfRule>
  </conditionalFormatting>
  <conditionalFormatting sqref="A24:F24">
    <cfRule type="cellIs" dxfId="175" priority="47" stopIfTrue="1" operator="equal">
      <formula>"已过期"</formula>
    </cfRule>
  </conditionalFormatting>
  <conditionalFormatting sqref="F28">
    <cfRule type="expression" dxfId="174" priority="45">
      <formula>AND($E28-TODAY()&lt;30,TODAY()&lt;$E28)</formula>
    </cfRule>
  </conditionalFormatting>
  <conditionalFormatting sqref="F28">
    <cfRule type="cellIs" dxfId="173" priority="46" stopIfTrue="1" operator="lessThan">
      <formula>$B$2</formula>
    </cfRule>
  </conditionalFormatting>
  <conditionalFormatting sqref="F29">
    <cfRule type="expression" dxfId="172" priority="41" stopIfTrue="1">
      <formula>AND($E29-TODAY()&lt;30,TODAY()&lt;$E29)</formula>
    </cfRule>
  </conditionalFormatting>
  <conditionalFormatting sqref="F29">
    <cfRule type="cellIs" dxfId="171" priority="42" stopIfTrue="1" operator="lessThan">
      <formula>$B$2</formula>
    </cfRule>
  </conditionalFormatting>
  <conditionalFormatting sqref="F13">
    <cfRule type="cellIs" dxfId="170" priority="34" stopIfTrue="1" operator="lessThan">
      <formula>$B$2</formula>
    </cfRule>
  </conditionalFormatting>
  <conditionalFormatting sqref="C12">
    <cfRule type="expression" dxfId="169" priority="32">
      <formula>AND($C12-TODAY()&lt;30,TODAY()&lt;$C12)</formula>
    </cfRule>
  </conditionalFormatting>
  <conditionalFormatting sqref="C12">
    <cfRule type="cellIs" dxfId="168" priority="33" stopIfTrue="1" operator="lessThan">
      <formula>$B$2</formula>
    </cfRule>
  </conditionalFormatting>
  <conditionalFormatting sqref="C12">
    <cfRule type="expression" dxfId="167" priority="30">
      <formula>AND($C12-TODAY()&lt;30,TODAY()&lt;$C12)</formula>
    </cfRule>
  </conditionalFormatting>
  <conditionalFormatting sqref="C12">
    <cfRule type="cellIs" dxfId="166" priority="31" stopIfTrue="1" operator="lessThan">
      <formula>$B$2</formula>
    </cfRule>
  </conditionalFormatting>
  <conditionalFormatting sqref="B12">
    <cfRule type="cellIs" dxfId="165" priority="29" stopIfTrue="1" operator="equal">
      <formula>"已过期"</formula>
    </cfRule>
  </conditionalFormatting>
  <conditionalFormatting sqref="E12">
    <cfRule type="cellIs" dxfId="164" priority="28" stopIfTrue="1" operator="equal">
      <formula>"已过期"</formula>
    </cfRule>
  </conditionalFormatting>
  <conditionalFormatting sqref="F12">
    <cfRule type="cellIs" dxfId="163" priority="27" stopIfTrue="1" operator="lessThan">
      <formula>$B$2</formula>
    </cfRule>
  </conditionalFormatting>
  <conditionalFormatting sqref="C22">
    <cfRule type="expression" dxfId="162" priority="25">
      <formula>AND($C22-TODAY()&lt;30,TODAY()&lt;$C22)</formula>
    </cfRule>
  </conditionalFormatting>
  <conditionalFormatting sqref="C22">
    <cfRule type="cellIs" dxfId="161" priority="26" stopIfTrue="1" operator="lessThan">
      <formula>$B$2</formula>
    </cfRule>
  </conditionalFormatting>
  <conditionalFormatting sqref="C22">
    <cfRule type="expression" dxfId="160" priority="23">
      <formula>AND($C22-TODAY()&lt;30,TODAY()&lt;$C22)</formula>
    </cfRule>
  </conditionalFormatting>
  <conditionalFormatting sqref="C22">
    <cfRule type="cellIs" dxfId="159" priority="24" stopIfTrue="1" operator="lessThan">
      <formula>$B$2</formula>
    </cfRule>
  </conditionalFormatting>
  <conditionalFormatting sqref="C16">
    <cfRule type="expression" dxfId="158" priority="21">
      <formula>AND($C16-TODAY()&lt;30,TODAY()&lt;$C16)</formula>
    </cfRule>
  </conditionalFormatting>
  <conditionalFormatting sqref="C16">
    <cfRule type="cellIs" dxfId="157" priority="22" stopIfTrue="1" operator="lessThan">
      <formula>$B$2</formula>
    </cfRule>
  </conditionalFormatting>
  <conditionalFormatting sqref="C16">
    <cfRule type="expression" dxfId="156" priority="19">
      <formula>AND($C16-TODAY()&lt;30,TODAY()&lt;$C16)</formula>
    </cfRule>
  </conditionalFormatting>
  <conditionalFormatting sqref="C16">
    <cfRule type="cellIs" dxfId="155" priority="20" stopIfTrue="1" operator="lessThan">
      <formula>$B$2</formula>
    </cfRule>
  </conditionalFormatting>
  <conditionalFormatting sqref="B16">
    <cfRule type="cellIs" dxfId="154" priority="18" stopIfTrue="1" operator="equal">
      <formula>"已过期"</formula>
    </cfRule>
  </conditionalFormatting>
  <conditionalFormatting sqref="C14:C15">
    <cfRule type="expression" dxfId="153" priority="16">
      <formula>AND($C14-TODAY()&lt;30,TODAY()&lt;$C14)</formula>
    </cfRule>
  </conditionalFormatting>
  <conditionalFormatting sqref="C14:C15">
    <cfRule type="cellIs" dxfId="152" priority="17" stopIfTrue="1" operator="lessThan">
      <formula>$B$2</formula>
    </cfRule>
  </conditionalFormatting>
  <conditionalFormatting sqref="C14">
    <cfRule type="expression" dxfId="151" priority="14">
      <formula>AND($C14-TODAY()&lt;30,TODAY()&lt;$C14)</formula>
    </cfRule>
  </conditionalFormatting>
  <conditionalFormatting sqref="C14">
    <cfRule type="cellIs" dxfId="150" priority="15" stopIfTrue="1" operator="lessThan">
      <formula>$B$2</formula>
    </cfRule>
  </conditionalFormatting>
  <conditionalFormatting sqref="C15">
    <cfRule type="expression" dxfId="149" priority="12">
      <formula>AND($C15-TODAY()&lt;30,TODAY()&lt;$C15)</formula>
    </cfRule>
  </conditionalFormatting>
  <conditionalFormatting sqref="C15">
    <cfRule type="cellIs" dxfId="148" priority="13" stopIfTrue="1" operator="lessThan">
      <formula>$B$2</formula>
    </cfRule>
  </conditionalFormatting>
  <conditionalFormatting sqref="B14">
    <cfRule type="cellIs" dxfId="147" priority="11" stopIfTrue="1" operator="equal">
      <formula>"已过期"</formula>
    </cfRule>
  </conditionalFormatting>
  <conditionalFormatting sqref="B15">
    <cfRule type="cellIs" dxfId="146" priority="10" stopIfTrue="1" operator="equal">
      <formula>"已过期"</formula>
    </cfRule>
  </conditionalFormatting>
  <conditionalFormatting sqref="A15">
    <cfRule type="cellIs" dxfId="145" priority="9" stopIfTrue="1" operator="equal">
      <formula>"已过期"</formula>
    </cfRule>
  </conditionalFormatting>
  <conditionalFormatting sqref="C15">
    <cfRule type="expression" dxfId="144" priority="8">
      <formula>AND($C15-TODAY()&lt;30,TODAY()&lt;$C15)</formula>
    </cfRule>
  </conditionalFormatting>
  <conditionalFormatting sqref="F16">
    <cfRule type="cellIs" dxfId="143" priority="7" stopIfTrue="1" operator="lessThan">
      <formula>$B$2</formula>
    </cfRule>
  </conditionalFormatting>
  <conditionalFormatting sqref="E16 E14">
    <cfRule type="cellIs" dxfId="142" priority="6" stopIfTrue="1" operator="equal">
      <formula>"已过期"</formula>
    </cfRule>
  </conditionalFormatting>
  <conditionalFormatting sqref="E15">
    <cfRule type="cellIs" dxfId="141" priority="5" stopIfTrue="1" operator="equal">
      <formula>"已过期"</formula>
    </cfRule>
  </conditionalFormatting>
  <conditionalFormatting sqref="D15">
    <cfRule type="cellIs" dxfId="140" priority="4" stopIfTrue="1" operator="equal">
      <formula>"已过期"</formula>
    </cfRule>
  </conditionalFormatting>
  <conditionalFormatting sqref="F17">
    <cfRule type="cellIs" dxfId="139" priority="3" stopIfTrue="1" operator="lessThan">
      <formula>$B$2</formula>
    </cfRule>
  </conditionalFormatting>
  <conditionalFormatting sqref="E17">
    <cfRule type="cellIs" dxfId="138" priority="2" stopIfTrue="1" operator="equal">
      <formula>"已过期"</formula>
    </cfRule>
  </conditionalFormatting>
  <conditionalFormatting sqref="F14">
    <cfRule type="cellIs" dxfId="13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2020-03-12T08:28:17Z</dcterms:modified>
</cp:coreProperties>
</file>