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930" yWindow="75" windowWidth="15780" windowHeight="1170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面积表"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租金案例" sheetId="78" r:id="rId46"/>
    <sheet name="租金表-旧" sheetId="80" r:id="rId47"/>
    <sheet name="租金表-新"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47" hidden="1">'租金表-新'!$A$1:$T$88</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09" i="79" l="1"/>
  <c r="J111" i="79"/>
  <c r="K111" i="79" l="1"/>
  <c r="M111" i="79"/>
  <c r="S88" i="81"/>
  <c r="I115" i="79" l="1"/>
  <c r="K115" i="79"/>
  <c r="R11" i="81" l="1"/>
  <c r="T11" i="81" s="1"/>
  <c r="R15" i="81"/>
  <c r="T15" i="81" s="1"/>
  <c r="L88" i="81"/>
  <c r="I88" i="81"/>
  <c r="H88" i="81"/>
  <c r="G88" i="81"/>
  <c r="M87" i="81"/>
  <c r="R87" i="81" s="1"/>
  <c r="T87" i="81" s="1"/>
  <c r="M86" i="81"/>
  <c r="R86" i="81" s="1"/>
  <c r="T86" i="81" s="1"/>
  <c r="M85" i="81"/>
  <c r="R85" i="81" s="1"/>
  <c r="T85" i="81" s="1"/>
  <c r="M84" i="81"/>
  <c r="R84" i="81" s="1"/>
  <c r="T84" i="81" s="1"/>
  <c r="M83" i="81"/>
  <c r="R83" i="81" s="1"/>
  <c r="T83" i="81" s="1"/>
  <c r="M82" i="81"/>
  <c r="R82" i="81" s="1"/>
  <c r="T82" i="81" s="1"/>
  <c r="M81" i="81"/>
  <c r="R81" i="81" s="1"/>
  <c r="T81" i="81" s="1"/>
  <c r="M80" i="81"/>
  <c r="R80" i="81" s="1"/>
  <c r="T80" i="81" s="1"/>
  <c r="M79" i="81"/>
  <c r="R79" i="81" s="1"/>
  <c r="T79" i="81" s="1"/>
  <c r="M78" i="81"/>
  <c r="R78" i="81" s="1"/>
  <c r="T78" i="81" s="1"/>
  <c r="M77" i="81"/>
  <c r="R77" i="81" s="1"/>
  <c r="T77" i="81" s="1"/>
  <c r="M76" i="81"/>
  <c r="R76" i="81" s="1"/>
  <c r="T76" i="81" s="1"/>
  <c r="M75" i="81"/>
  <c r="R75" i="81" s="1"/>
  <c r="T75" i="81" s="1"/>
  <c r="M74" i="81"/>
  <c r="R74" i="81" s="1"/>
  <c r="T74" i="81" s="1"/>
  <c r="M73" i="81"/>
  <c r="R73" i="81" s="1"/>
  <c r="T73" i="81" s="1"/>
  <c r="M72" i="81"/>
  <c r="R72" i="81" s="1"/>
  <c r="T72" i="81" s="1"/>
  <c r="M71" i="81"/>
  <c r="R71" i="81" s="1"/>
  <c r="T71" i="81" s="1"/>
  <c r="M70" i="81"/>
  <c r="R70" i="81" s="1"/>
  <c r="T70" i="81" s="1"/>
  <c r="M69" i="81"/>
  <c r="R69" i="81" s="1"/>
  <c r="T69" i="81" s="1"/>
  <c r="M68" i="81"/>
  <c r="R68" i="81" s="1"/>
  <c r="T68" i="81" s="1"/>
  <c r="M67" i="81"/>
  <c r="R67" i="81" s="1"/>
  <c r="T67" i="81" s="1"/>
  <c r="M66" i="81"/>
  <c r="R66" i="81" s="1"/>
  <c r="T66" i="81" s="1"/>
  <c r="M65" i="81"/>
  <c r="R65" i="81" s="1"/>
  <c r="T65" i="81" s="1"/>
  <c r="M64" i="81"/>
  <c r="R64" i="81" s="1"/>
  <c r="T64" i="81" s="1"/>
  <c r="M63" i="81"/>
  <c r="R63" i="81" s="1"/>
  <c r="T63" i="81" s="1"/>
  <c r="M62" i="81"/>
  <c r="R62" i="81" s="1"/>
  <c r="T62" i="81" s="1"/>
  <c r="M61" i="81"/>
  <c r="R61" i="81" s="1"/>
  <c r="T61" i="81" s="1"/>
  <c r="M60" i="81"/>
  <c r="R60" i="81" s="1"/>
  <c r="T60" i="81" s="1"/>
  <c r="M59" i="81"/>
  <c r="R59" i="81" s="1"/>
  <c r="T59" i="81" s="1"/>
  <c r="M58" i="81"/>
  <c r="R58" i="81" s="1"/>
  <c r="T58" i="81" s="1"/>
  <c r="M57" i="81"/>
  <c r="R57" i="81" s="1"/>
  <c r="T57" i="81" s="1"/>
  <c r="M56" i="81"/>
  <c r="R56" i="81" s="1"/>
  <c r="T56" i="81" s="1"/>
  <c r="M55" i="81"/>
  <c r="R55" i="81" s="1"/>
  <c r="T55" i="81" s="1"/>
  <c r="M54" i="81"/>
  <c r="R54" i="81" s="1"/>
  <c r="T54" i="81" s="1"/>
  <c r="M53" i="81"/>
  <c r="R53" i="81" s="1"/>
  <c r="T53" i="81" s="1"/>
  <c r="M52" i="81"/>
  <c r="R52" i="81" s="1"/>
  <c r="T52" i="81" s="1"/>
  <c r="M51" i="81"/>
  <c r="R51" i="81" s="1"/>
  <c r="T51" i="81" s="1"/>
  <c r="M50" i="81"/>
  <c r="R50" i="81" s="1"/>
  <c r="T50" i="81" s="1"/>
  <c r="M49" i="81"/>
  <c r="R49" i="81" s="1"/>
  <c r="T49" i="81" s="1"/>
  <c r="M48" i="81"/>
  <c r="M47" i="81"/>
  <c r="R47" i="81" s="1"/>
  <c r="I45" i="81"/>
  <c r="H45" i="81"/>
  <c r="G45" i="81"/>
  <c r="M44" i="81"/>
  <c r="R44" i="81" s="1"/>
  <c r="T44" i="81" s="1"/>
  <c r="M43" i="81"/>
  <c r="R43" i="81" s="1"/>
  <c r="T43" i="81" s="1"/>
  <c r="M42" i="81"/>
  <c r="R42" i="81" s="1"/>
  <c r="T42" i="81" s="1"/>
  <c r="M41" i="81"/>
  <c r="R41" i="81" s="1"/>
  <c r="T41" i="81" s="1"/>
  <c r="M40" i="81"/>
  <c r="R40" i="81" s="1"/>
  <c r="T40" i="81" s="1"/>
  <c r="M39" i="81"/>
  <c r="R39" i="81" s="1"/>
  <c r="T39" i="81" s="1"/>
  <c r="M38" i="81"/>
  <c r="R38" i="81" s="1"/>
  <c r="T38" i="81" s="1"/>
  <c r="M37" i="81"/>
  <c r="R37" i="81" s="1"/>
  <c r="T37" i="81" s="1"/>
  <c r="M36" i="81"/>
  <c r="R36" i="81" s="1"/>
  <c r="T36" i="81" s="1"/>
  <c r="M35" i="81"/>
  <c r="R35" i="81" s="1"/>
  <c r="T35" i="81" s="1"/>
  <c r="M34" i="81"/>
  <c r="R34" i="81" s="1"/>
  <c r="T34" i="81" s="1"/>
  <c r="M33" i="81"/>
  <c r="R33" i="81" s="1"/>
  <c r="T33" i="81" s="1"/>
  <c r="M32" i="81"/>
  <c r="R32" i="81" s="1"/>
  <c r="T32" i="81" s="1"/>
  <c r="M31" i="81"/>
  <c r="R31" i="81" s="1"/>
  <c r="T31" i="81" s="1"/>
  <c r="M30" i="81"/>
  <c r="R30" i="81" s="1"/>
  <c r="T30" i="81" s="1"/>
  <c r="M29" i="81"/>
  <c r="R29" i="81" s="1"/>
  <c r="T29" i="81" s="1"/>
  <c r="M28" i="81"/>
  <c r="R28" i="81" s="1"/>
  <c r="T28" i="81" s="1"/>
  <c r="M27" i="81"/>
  <c r="R27" i="81" s="1"/>
  <c r="T27" i="81" s="1"/>
  <c r="M26" i="81"/>
  <c r="R26" i="81" s="1"/>
  <c r="T26" i="81" s="1"/>
  <c r="M25" i="81"/>
  <c r="R25" i="81" s="1"/>
  <c r="T25" i="81" s="1"/>
  <c r="M24" i="81"/>
  <c r="R24" i="81" s="1"/>
  <c r="T24" i="81" s="1"/>
  <c r="M23" i="81"/>
  <c r="R23" i="81" s="1"/>
  <c r="T23" i="81" s="1"/>
  <c r="M22" i="81"/>
  <c r="R22" i="81" s="1"/>
  <c r="T22" i="81" s="1"/>
  <c r="M21" i="81"/>
  <c r="R21" i="81" s="1"/>
  <c r="T21" i="81" s="1"/>
  <c r="M20" i="81"/>
  <c r="R20" i="81" s="1"/>
  <c r="T20" i="81" s="1"/>
  <c r="M19" i="81"/>
  <c r="R19" i="81" s="1"/>
  <c r="T19" i="81" s="1"/>
  <c r="M18" i="81"/>
  <c r="R18" i="81" s="1"/>
  <c r="T18" i="81" s="1"/>
  <c r="M17" i="81"/>
  <c r="R17" i="81" s="1"/>
  <c r="T17" i="81" s="1"/>
  <c r="M16" i="81"/>
  <c r="R16" i="81" s="1"/>
  <c r="T16" i="81" s="1"/>
  <c r="M15" i="81"/>
  <c r="M14" i="81"/>
  <c r="R14" i="81" s="1"/>
  <c r="T14" i="81" s="1"/>
  <c r="M13" i="81"/>
  <c r="R13" i="81" s="1"/>
  <c r="T13" i="81" s="1"/>
  <c r="M12" i="81"/>
  <c r="R12" i="81" s="1"/>
  <c r="T12" i="81" s="1"/>
  <c r="M11" i="81"/>
  <c r="M10" i="81"/>
  <c r="R10" i="81" s="1"/>
  <c r="T10" i="81" s="1"/>
  <c r="M9" i="81"/>
  <c r="R9" i="81" s="1"/>
  <c r="T9" i="81" s="1"/>
  <c r="M8" i="81"/>
  <c r="R8" i="81" s="1"/>
  <c r="T8" i="81" s="1"/>
  <c r="M7" i="81"/>
  <c r="R7" i="81" s="1"/>
  <c r="T7" i="81" s="1"/>
  <c r="M6" i="81"/>
  <c r="R6" i="81" s="1"/>
  <c r="T6" i="81" s="1"/>
  <c r="M5" i="81"/>
  <c r="R5" i="81" s="1"/>
  <c r="T5" i="81" s="1"/>
  <c r="M4" i="81"/>
  <c r="R4" i="81" s="1"/>
  <c r="T4" i="81" s="1"/>
  <c r="M3" i="81"/>
  <c r="R3" i="81" s="1"/>
  <c r="T3" i="81" s="1"/>
  <c r="M2" i="81"/>
  <c r="R2" i="81" s="1"/>
  <c r="T2" i="81" s="1"/>
  <c r="R88" i="81" l="1"/>
  <c r="Y44" i="81" s="1"/>
  <c r="T47" i="81"/>
  <c r="M88" i="81"/>
  <c r="R48" i="81"/>
  <c r="T48" i="81" s="1"/>
  <c r="M45" i="81"/>
  <c r="T88" i="81" l="1"/>
  <c r="N6" i="1"/>
  <c r="N20" i="1" l="1"/>
  <c r="N22" i="1" s="1"/>
  <c r="Y6" i="1" l="1"/>
  <c r="N14" i="1"/>
  <c r="L14" i="1"/>
  <c r="I45" i="80"/>
  <c r="H45" i="80"/>
  <c r="G45" i="80"/>
  <c r="M44" i="80"/>
  <c r="O44" i="80" s="1"/>
  <c r="M43" i="80"/>
  <c r="O43" i="80" s="1"/>
  <c r="M42" i="80"/>
  <c r="O42" i="80" s="1"/>
  <c r="M41" i="80"/>
  <c r="O41" i="80" s="1"/>
  <c r="M40" i="80"/>
  <c r="O40" i="80" s="1"/>
  <c r="M39" i="80"/>
  <c r="O39" i="80" s="1"/>
  <c r="M38" i="80"/>
  <c r="O38" i="80" s="1"/>
  <c r="M37" i="80"/>
  <c r="O37" i="80" s="1"/>
  <c r="M36" i="80"/>
  <c r="O36" i="80" s="1"/>
  <c r="M35" i="80"/>
  <c r="O35" i="80" s="1"/>
  <c r="M34" i="80"/>
  <c r="O34" i="80" s="1"/>
  <c r="M33" i="80"/>
  <c r="O33" i="80" s="1"/>
  <c r="M32" i="80"/>
  <c r="O32" i="80" s="1"/>
  <c r="M31" i="80"/>
  <c r="O31" i="80" s="1"/>
  <c r="M30" i="80"/>
  <c r="O30" i="80" s="1"/>
  <c r="M29" i="80"/>
  <c r="O29" i="80" s="1"/>
  <c r="M28" i="80"/>
  <c r="O28" i="80" s="1"/>
  <c r="M27" i="80"/>
  <c r="O27" i="80" s="1"/>
  <c r="M26" i="80"/>
  <c r="O26" i="80" s="1"/>
  <c r="M25" i="80"/>
  <c r="O25" i="80" s="1"/>
  <c r="M24" i="80"/>
  <c r="O24" i="80" s="1"/>
  <c r="M23" i="80"/>
  <c r="O23" i="80" s="1"/>
  <c r="M22" i="80"/>
  <c r="O22" i="80" s="1"/>
  <c r="M21" i="80"/>
  <c r="O21" i="80" s="1"/>
  <c r="M20" i="80"/>
  <c r="O20" i="80" s="1"/>
  <c r="M19" i="80"/>
  <c r="O19" i="80" s="1"/>
  <c r="M18" i="80"/>
  <c r="O18" i="80" s="1"/>
  <c r="M17" i="80"/>
  <c r="O17" i="80" s="1"/>
  <c r="M16" i="80"/>
  <c r="O16" i="80" s="1"/>
  <c r="M15" i="80"/>
  <c r="O15" i="80" s="1"/>
  <c r="M14" i="80"/>
  <c r="O14" i="80" s="1"/>
  <c r="M13" i="80"/>
  <c r="O13" i="80" s="1"/>
  <c r="M12" i="80"/>
  <c r="O12" i="80" s="1"/>
  <c r="M11" i="80"/>
  <c r="O11" i="80" s="1"/>
  <c r="M10" i="80"/>
  <c r="O10" i="80" s="1"/>
  <c r="M9" i="80"/>
  <c r="O9" i="80" s="1"/>
  <c r="M8" i="80"/>
  <c r="O8" i="80" s="1"/>
  <c r="M7" i="80"/>
  <c r="O7" i="80" s="1"/>
  <c r="M6" i="80"/>
  <c r="O6" i="80" s="1"/>
  <c r="M5" i="80"/>
  <c r="O5" i="80" s="1"/>
  <c r="M4" i="80"/>
  <c r="O4" i="80" s="1"/>
  <c r="M3" i="80"/>
  <c r="O3" i="80" s="1"/>
  <c r="M2" i="80"/>
  <c r="D108" i="79"/>
  <c r="D109" i="79"/>
  <c r="E109" i="79" s="1"/>
  <c r="E108" i="79"/>
  <c r="K13" i="3" s="1"/>
  <c r="K91" i="79"/>
  <c r="G19" i="6" l="1"/>
  <c r="M45" i="80"/>
  <c r="O2" i="80"/>
  <c r="D110" i="79"/>
  <c r="E110" i="79" s="1"/>
  <c r="E111" i="79" s="1"/>
  <c r="I13" i="3" l="1"/>
  <c r="F19" i="6"/>
  <c r="D111" i="79"/>
  <c r="AL13" i="3"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R25" i="77"/>
  <c r="D29" i="77"/>
  <c r="D32" i="77"/>
  <c r="E23" i="77"/>
  <c r="D26" i="77"/>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E20" i="71" s="1"/>
  <c r="O21" i="71"/>
  <c r="Q22" i="71"/>
  <c r="F21" i="71"/>
  <c r="P22" i="71"/>
  <c r="O22" i="71"/>
  <c r="N22" i="71"/>
  <c r="V21" i="71"/>
  <c r="A2" i="53"/>
  <c r="B19" i="72" s="1"/>
  <c r="K59" i="67"/>
  <c r="P61" i="67"/>
  <c r="K59"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c r="AH9" i="43"/>
  <c r="AH12" i="43" s="1"/>
  <c r="AG9" i="43"/>
  <c r="AG12" i="43"/>
  <c r="AF9" i="43"/>
  <c r="AE9" i="43"/>
  <c r="AE12" i="43"/>
  <c r="AD9" i="43"/>
  <c r="AC9" i="43"/>
  <c r="AC12" i="43"/>
  <c r="AB9" i="43"/>
  <c r="AA9" i="43"/>
  <c r="AA12" i="43"/>
  <c r="Z9" i="43"/>
  <c r="AA10" i="43"/>
  <c r="AC10" i="43"/>
  <c r="AE10" i="43"/>
  <c r="AG10" i="43"/>
  <c r="AI10" i="43"/>
  <c r="AH10" i="43"/>
  <c r="K49" i="9"/>
  <c r="E107" i="9"/>
  <c r="A122" i="9" s="1"/>
  <c r="A8" i="52" s="1"/>
  <c r="B54" i="72" s="1"/>
  <c r="E111" i="9"/>
  <c r="A126" i="9" s="1"/>
  <c r="E109" i="9"/>
  <c r="A124" i="9" s="1"/>
  <c r="A10" i="52" s="1"/>
  <c r="B55" i="72" s="1"/>
  <c r="B44" i="72"/>
  <c r="B42" i="72"/>
  <c r="B69" i="72"/>
  <c r="B68" i="72"/>
  <c r="B63" i="72"/>
  <c r="B62" i="72"/>
  <c r="B16" i="72"/>
  <c r="B65" i="72"/>
  <c r="B67" i="72"/>
  <c r="B66" i="72"/>
  <c r="B10" i="72"/>
  <c r="C53" i="10"/>
  <c r="B51" i="10"/>
  <c r="A18" i="51"/>
  <c r="B13" i="72" s="1"/>
  <c r="B49" i="48"/>
  <c r="B5" i="72" s="1"/>
  <c r="I19" i="43"/>
  <c r="D86" i="71"/>
  <c r="F85" i="71"/>
  <c r="E85" i="71"/>
  <c r="E84" i="71"/>
  <c r="E83" i="71" s="1"/>
  <c r="C85" i="71"/>
  <c r="D85" i="71" s="1"/>
  <c r="B85" i="71"/>
  <c r="B84" i="71" s="1"/>
  <c r="F84" i="71"/>
  <c r="F83" i="71" s="1"/>
  <c r="B83" i="71"/>
  <c r="D82" i="71"/>
  <c r="F81" i="71"/>
  <c r="F80" i="71" s="1"/>
  <c r="F79" i="71" s="1"/>
  <c r="E81" i="71"/>
  <c r="E80" i="71"/>
  <c r="E79" i="71" s="1"/>
  <c r="C81" i="71"/>
  <c r="B81" i="71"/>
  <c r="B80" i="71" s="1"/>
  <c r="B79" i="71" s="1"/>
  <c r="D78" i="71"/>
  <c r="Q77" i="71"/>
  <c r="P77" i="71"/>
  <c r="O77" i="71"/>
  <c r="N77" i="71"/>
  <c r="F77" i="71"/>
  <c r="E77" i="71"/>
  <c r="U77" i="71"/>
  <c r="C77" i="71"/>
  <c r="B77" i="71"/>
  <c r="Q76" i="71"/>
  <c r="P76" i="71"/>
  <c r="O76" i="71"/>
  <c r="N76" i="71"/>
  <c r="Q75" i="71"/>
  <c r="P75" i="71"/>
  <c r="O75" i="71"/>
  <c r="N75" i="71"/>
  <c r="Q74" i="71"/>
  <c r="P74" i="71"/>
  <c r="O74" i="71"/>
  <c r="N74" i="71"/>
  <c r="D74" i="71"/>
  <c r="Q73" i="71"/>
  <c r="P73" i="71"/>
  <c r="O73" i="71"/>
  <c r="N73" i="71"/>
  <c r="F73" i="71"/>
  <c r="V73" i="71"/>
  <c r="E73" i="7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E69" i="71"/>
  <c r="U69" i="71" s="1"/>
  <c r="C69" i="71"/>
  <c r="T69" i="71"/>
  <c r="B69" i="71"/>
  <c r="Q68" i="71"/>
  <c r="P68" i="71"/>
  <c r="O68" i="71"/>
  <c r="N68" i="71"/>
  <c r="Q67" i="71"/>
  <c r="P67" i="71"/>
  <c r="O67" i="71"/>
  <c r="N67" i="71"/>
  <c r="Q66" i="71"/>
  <c r="P66" i="71"/>
  <c r="O66" i="71"/>
  <c r="N66" i="71"/>
  <c r="D66" i="71"/>
  <c r="F65" i="71"/>
  <c r="V65" i="71"/>
  <c r="E65" i="71"/>
  <c r="P65" i="71"/>
  <c r="C65" i="71"/>
  <c r="B65" i="71"/>
  <c r="F64" i="71"/>
  <c r="Q64" i="71" s="1"/>
  <c r="F63" i="71"/>
  <c r="D62" i="71"/>
  <c r="Q61" i="71"/>
  <c r="P61" i="71"/>
  <c r="O61" i="71"/>
  <c r="N61" i="71"/>
  <c r="Q60" i="71"/>
  <c r="P60" i="71"/>
  <c r="O60" i="71"/>
  <c r="N60" i="71"/>
  <c r="Q59" i="71"/>
  <c r="P59" i="71"/>
  <c r="O59" i="71"/>
  <c r="N59" i="71"/>
  <c r="B60" i="71" s="1"/>
  <c r="B61" i="71" s="1"/>
  <c r="S61" i="71" s="1"/>
  <c r="Q58" i="71"/>
  <c r="F59" i="71" s="1"/>
  <c r="F60" i="71" s="1"/>
  <c r="F61" i="71" s="1"/>
  <c r="V61" i="71" s="1"/>
  <c r="P58" i="71"/>
  <c r="E59" i="71" s="1"/>
  <c r="E60" i="71" s="1"/>
  <c r="O58" i="71"/>
  <c r="C59" i="71" s="1"/>
  <c r="C60" i="71" s="1"/>
  <c r="D60" i="71" s="1"/>
  <c r="N58" i="71"/>
  <c r="B59"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c r="N54" i="71"/>
  <c r="B55" i="71" s="1"/>
  <c r="B56" i="71" s="1"/>
  <c r="B57" i="71" s="1"/>
  <c r="S57" i="71"/>
  <c r="D54" i="71"/>
  <c r="Q53" i="71"/>
  <c r="P53" i="71"/>
  <c r="O53" i="71"/>
  <c r="N53" i="71"/>
  <c r="Q52" i="71"/>
  <c r="P52" i="71"/>
  <c r="O52" i="71"/>
  <c r="N52" i="71"/>
  <c r="Q51" i="71"/>
  <c r="P51" i="71"/>
  <c r="O51" i="71"/>
  <c r="N51" i="71"/>
  <c r="Q50" i="71"/>
  <c r="F51" i="71" s="1"/>
  <c r="F52" i="71" s="1"/>
  <c r="F53" i="71" s="1"/>
  <c r="V53" i="71" s="1"/>
  <c r="P50" i="71"/>
  <c r="E51" i="71" s="1"/>
  <c r="E52" i="71" s="1"/>
  <c r="E53" i="71" s="1"/>
  <c r="O50" i="71"/>
  <c r="C51" i="71" s="1"/>
  <c r="N50" i="71"/>
  <c r="B51" i="71"/>
  <c r="D50" i="71"/>
  <c r="Q49" i="71"/>
  <c r="P49" i="71"/>
  <c r="O49" i="71"/>
  <c r="N49" i="71"/>
  <c r="Q48" i="71"/>
  <c r="P48" i="71"/>
  <c r="O48" i="71"/>
  <c r="N48" i="71"/>
  <c r="Q47" i="71"/>
  <c r="P47" i="71"/>
  <c r="O47" i="71"/>
  <c r="N47" i="71"/>
  <c r="Q46" i="71"/>
  <c r="F47" i="71" s="1"/>
  <c r="P46" i="71"/>
  <c r="E47" i="71"/>
  <c r="E48" i="71" s="1"/>
  <c r="E49" i="71" s="1"/>
  <c r="U49" i="71" s="1"/>
  <c r="O46" i="71"/>
  <c r="C47" i="71"/>
  <c r="D47" i="71" s="1"/>
  <c r="N46" i="71"/>
  <c r="B47" i="71"/>
  <c r="D46" i="71"/>
  <c r="T45" i="71"/>
  <c r="Q45" i="71"/>
  <c r="P45" i="71"/>
  <c r="O45" i="71"/>
  <c r="N45" i="71"/>
  <c r="D45" i="71"/>
  <c r="Q44" i="71"/>
  <c r="P44" i="71"/>
  <c r="O44" i="71"/>
  <c r="N44" i="71"/>
  <c r="Q43" i="71"/>
  <c r="P43" i="71"/>
  <c r="O43" i="71"/>
  <c r="N43" i="71"/>
  <c r="F44" i="71"/>
  <c r="F45" i="71" s="1"/>
  <c r="V45" i="71" s="1"/>
  <c r="Q42" i="71"/>
  <c r="F43" i="71" s="1"/>
  <c r="P42" i="71"/>
  <c r="E43" i="71" s="1"/>
  <c r="E44" i="71" s="1"/>
  <c r="E45" i="71" s="1"/>
  <c r="U45" i="71" s="1"/>
  <c r="O42" i="71"/>
  <c r="C43" i="71"/>
  <c r="C44" i="71" s="1"/>
  <c r="D44" i="71" s="1"/>
  <c r="N42" i="71"/>
  <c r="B43" i="71"/>
  <c r="B44" i="7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c r="O38" i="71"/>
  <c r="C39" i="71"/>
  <c r="D39" i="71" s="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P34" i="71"/>
  <c r="E35" i="71" s="1"/>
  <c r="E36" i="71" s="1"/>
  <c r="E37" i="71" s="1"/>
  <c r="U37" i="71" s="1"/>
  <c r="O34" i="71"/>
  <c r="Y34" i="71" s="1"/>
  <c r="Z34" i="71" s="1"/>
  <c r="N34" i="71"/>
  <c r="D34" i="71"/>
  <c r="Q33" i="71"/>
  <c r="P33" i="71"/>
  <c r="O33" i="71"/>
  <c r="Y33" i="71"/>
  <c r="Z33" i="71" s="1"/>
  <c r="N33" i="71"/>
  <c r="Q32" i="71"/>
  <c r="P32" i="71"/>
  <c r="O32" i="71"/>
  <c r="N32" i="71"/>
  <c r="Q31" i="71"/>
  <c r="AB25" i="71" s="1"/>
  <c r="P31" i="71"/>
  <c r="O31" i="71"/>
  <c r="N31" i="71"/>
  <c r="F31" i="71"/>
  <c r="F32" i="71" s="1"/>
  <c r="F33" i="71" s="1"/>
  <c r="V33" i="71" s="1"/>
  <c r="Q30" i="71"/>
  <c r="P30" i="71"/>
  <c r="O30" i="71"/>
  <c r="N30" i="71"/>
  <c r="B31" i="71" s="1"/>
  <c r="D30" i="71"/>
  <c r="Q29" i="71"/>
  <c r="P29" i="71"/>
  <c r="O29" i="71"/>
  <c r="Y29" i="71" s="1"/>
  <c r="Z29" i="71" s="1"/>
  <c r="N29" i="71"/>
  <c r="Q28" i="71"/>
  <c r="P28" i="71"/>
  <c r="O28" i="71"/>
  <c r="N28" i="71"/>
  <c r="Q27" i="71"/>
  <c r="P27" i="71"/>
  <c r="O27" i="71"/>
  <c r="N27" i="71"/>
  <c r="F28" i="71"/>
  <c r="F29" i="71" s="1"/>
  <c r="V29" i="71" s="1"/>
  <c r="Q26" i="71"/>
  <c r="F27" i="71" s="1"/>
  <c r="P26" i="71"/>
  <c r="O26" i="71"/>
  <c r="N26" i="71"/>
  <c r="D26" i="71"/>
  <c r="O25" i="71"/>
  <c r="N25" i="71"/>
  <c r="B27" i="71"/>
  <c r="B35" i="71"/>
  <c r="B36" i="71" s="1"/>
  <c r="E31" i="71"/>
  <c r="E32" i="71" s="1"/>
  <c r="E33" i="71" s="1"/>
  <c r="U33" i="71" s="1"/>
  <c r="AA29" i="71"/>
  <c r="C31" i="71"/>
  <c r="C32" i="71"/>
  <c r="X31" i="71"/>
  <c r="AA35" i="71"/>
  <c r="F48" i="71"/>
  <c r="F49" i="71" s="1"/>
  <c r="V49" i="71" s="1"/>
  <c r="C25" i="71"/>
  <c r="D31" i="71"/>
  <c r="C40" i="71"/>
  <c r="D43" i="71"/>
  <c r="P25" i="71"/>
  <c r="AA25" i="71" s="1"/>
  <c r="U53" i="71"/>
  <c r="E61" i="71"/>
  <c r="U61" i="71"/>
  <c r="U65" i="71"/>
  <c r="E64" i="71"/>
  <c r="Q25" i="71"/>
  <c r="D51" i="71"/>
  <c r="D59" i="71"/>
  <c r="T65" i="71"/>
  <c r="O65" i="71"/>
  <c r="D65" i="71"/>
  <c r="C64" i="71"/>
  <c r="Q65" i="71"/>
  <c r="C68" i="71"/>
  <c r="E68" i="71"/>
  <c r="E67" i="71" s="1"/>
  <c r="D69" i="71"/>
  <c r="C72" i="71"/>
  <c r="D72" i="71" s="1"/>
  <c r="D73" i="71"/>
  <c r="E76" i="71"/>
  <c r="E75" i="71" s="1"/>
  <c r="D77" i="71"/>
  <c r="C84" i="71"/>
  <c r="F25" i="71"/>
  <c r="E25" i="71"/>
  <c r="E24" i="71" s="1"/>
  <c r="E23" i="71" s="1"/>
  <c r="AA22" i="71"/>
  <c r="D25" i="71"/>
  <c r="U25" i="71" s="1"/>
  <c r="C63" i="71"/>
  <c r="O64" i="71"/>
  <c r="D64" i="71"/>
  <c r="C61" i="71"/>
  <c r="D61" i="71" s="1"/>
  <c r="C71" i="71"/>
  <c r="D71" i="71" s="1"/>
  <c r="D84" i="71"/>
  <c r="C83" i="71"/>
  <c r="D83" i="71" s="1"/>
  <c r="P64" i="71"/>
  <c r="E63" i="71"/>
  <c r="C33" i="71"/>
  <c r="D32" i="71"/>
  <c r="V25" i="71"/>
  <c r="P62" i="71"/>
  <c r="P63" i="71"/>
  <c r="O63" i="71"/>
  <c r="D63" i="71"/>
  <c r="O62" i="71"/>
  <c r="T33" i="71"/>
  <c r="D33"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s="1"/>
  <c r="A12" i="70"/>
  <c r="E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c r="C18" i="36"/>
  <c r="Q18" i="35"/>
  <c r="Z18" i="35" s="1"/>
  <c r="D68" i="35"/>
  <c r="E68" i="35" s="1"/>
  <c r="F68" i="35" s="1"/>
  <c r="G68" i="35" s="1"/>
  <c r="F18" i="35"/>
  <c r="AA18" i="35"/>
  <c r="C18" i="35"/>
  <c r="Z21" i="37"/>
  <c r="Q21" i="37"/>
  <c r="D77" i="37"/>
  <c r="E77" i="37" s="1"/>
  <c r="C21" i="37"/>
  <c r="Q21" i="34"/>
  <c r="Z21" i="34" s="1"/>
  <c r="D84" i="34"/>
  <c r="E84" i="34" s="1"/>
  <c r="F84" i="34" s="1"/>
  <c r="G84" i="34" s="1"/>
  <c r="F21" i="34"/>
  <c r="AA21" i="34"/>
  <c r="C21" i="34"/>
  <c r="Z21" i="33"/>
  <c r="Q21" i="33"/>
  <c r="D83" i="33"/>
  <c r="E83" i="33"/>
  <c r="F83" i="33" s="1"/>
  <c r="G83" i="33" s="1"/>
  <c r="C21" i="33"/>
  <c r="C21" i="21"/>
  <c r="Q21" i="21"/>
  <c r="Z21" i="21"/>
  <c r="H19" i="21"/>
  <c r="D83" i="21"/>
  <c r="F21" i="21"/>
  <c r="AA21" i="21"/>
  <c r="D81" i="21"/>
  <c r="G20" i="20"/>
  <c r="B86" i="43"/>
  <c r="C22" i="20"/>
  <c r="B66" i="43"/>
  <c r="C25" i="40"/>
  <c r="S18" i="36"/>
  <c r="U18" i="36"/>
  <c r="S21" i="34"/>
  <c r="H25" i="40"/>
  <c r="U25" i="40" s="1"/>
  <c r="J25" i="40"/>
  <c r="AC25" i="40" s="1"/>
  <c r="H29" i="39"/>
  <c r="AB29" i="39" s="1"/>
  <c r="J29" i="39"/>
  <c r="AC29" i="39" s="1"/>
  <c r="J18" i="36"/>
  <c r="H18" i="35"/>
  <c r="U18" i="35" s="1"/>
  <c r="S18" i="35"/>
  <c r="J18" i="35"/>
  <c r="F77" i="37"/>
  <c r="G77" i="37" s="1"/>
  <c r="H21" i="37"/>
  <c r="AB21" i="37" s="1"/>
  <c r="F21" i="37"/>
  <c r="H21" i="34"/>
  <c r="AB21" i="34" s="1"/>
  <c r="H21" i="33"/>
  <c r="F21" i="33"/>
  <c r="E83" i="21"/>
  <c r="F83" i="21" s="1"/>
  <c r="S21" i="21"/>
  <c r="H1" i="69"/>
  <c r="W25" i="40"/>
  <c r="AB25" i="40"/>
  <c r="U29" i="39"/>
  <c r="W29" i="39"/>
  <c r="AC18" i="36"/>
  <c r="W18" i="36"/>
  <c r="AA21" i="37"/>
  <c r="S21" i="37"/>
  <c r="U21" i="34"/>
  <c r="U21" i="33"/>
  <c r="AB21" i="33"/>
  <c r="AA21" i="33"/>
  <c r="S21" i="33"/>
  <c r="AC18" i="35"/>
  <c r="W18" i="35"/>
  <c r="J21" i="37"/>
  <c r="J21" i="34"/>
  <c r="J21" i="33"/>
  <c r="H21" i="21"/>
  <c r="F38" i="69"/>
  <c r="E37" i="69"/>
  <c r="F36" i="69"/>
  <c r="F35" i="69"/>
  <c r="F21" i="69"/>
  <c r="F40" i="69" s="1"/>
  <c r="F20" i="69"/>
  <c r="F39" i="69" s="1"/>
  <c r="E10" i="69"/>
  <c r="E9" i="69"/>
  <c r="AC21" i="37"/>
  <c r="W21" i="37"/>
  <c r="AC21" i="33"/>
  <c r="W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c r="D77" i="43"/>
  <c r="M76" i="43"/>
  <c r="N76" i="43"/>
  <c r="K76" i="43"/>
  <c r="J76" i="43"/>
  <c r="D76" i="43"/>
  <c r="M75" i="43"/>
  <c r="N75" i="43"/>
  <c r="K75" i="43"/>
  <c r="J75" i="43" s="1"/>
  <c r="D75" i="43"/>
  <c r="M74" i="43"/>
  <c r="N74" i="43"/>
  <c r="K74" i="43"/>
  <c r="J74" i="43"/>
  <c r="D74" i="43"/>
  <c r="M73" i="43"/>
  <c r="N73" i="43" s="1"/>
  <c r="K73" i="43"/>
  <c r="J73" i="43" s="1"/>
  <c r="D73" i="43"/>
  <c r="M72" i="43"/>
  <c r="N72" i="43"/>
  <c r="K72" i="43"/>
  <c r="J72" i="43" s="1"/>
  <c r="D72" i="43"/>
  <c r="M71" i="43"/>
  <c r="N71" i="43" s="1"/>
  <c r="K71" i="43"/>
  <c r="J71" i="43" s="1"/>
  <c r="D71" i="43"/>
  <c r="M70" i="43"/>
  <c r="N70" i="43" s="1"/>
  <c r="K70" i="43"/>
  <c r="J70" i="43"/>
  <c r="D70" i="43"/>
  <c r="M67" i="43"/>
  <c r="N67" i="43" s="1"/>
  <c r="K67" i="43"/>
  <c r="J67" i="43"/>
  <c r="M66" i="43"/>
  <c r="N66" i="43" s="1"/>
  <c r="K66" i="43"/>
  <c r="J66" i="43" s="1"/>
  <c r="M65" i="43"/>
  <c r="N65" i="43" s="1"/>
  <c r="K65" i="43"/>
  <c r="J65" i="43" s="1"/>
  <c r="M64" i="43"/>
  <c r="N64" i="43" s="1"/>
  <c r="K64" i="43"/>
  <c r="J64" i="43" s="1"/>
  <c r="M63" i="43"/>
  <c r="N63" i="43" s="1"/>
  <c r="K63" i="43"/>
  <c r="J63" i="43"/>
  <c r="M62" i="43"/>
  <c r="N62" i="43" s="1"/>
  <c r="K62" i="43"/>
  <c r="J62" i="43" s="1"/>
  <c r="M61" i="43"/>
  <c r="N61" i="43" s="1"/>
  <c r="K61" i="43"/>
  <c r="J61" i="43" s="1"/>
  <c r="M60" i="43"/>
  <c r="N60" i="43" s="1"/>
  <c r="K60" i="43"/>
  <c r="J60" i="43"/>
  <c r="M59" i="43"/>
  <c r="N59" i="43" s="1"/>
  <c r="K59" i="43"/>
  <c r="J59" i="43"/>
  <c r="M56" i="43"/>
  <c r="N56" i="43" s="1"/>
  <c r="K56" i="43"/>
  <c r="J56" i="43" s="1"/>
  <c r="D56" i="43"/>
  <c r="M55" i="43"/>
  <c r="N55" i="43"/>
  <c r="K55" i="43"/>
  <c r="J55" i="43"/>
  <c r="D55" i="43"/>
  <c r="M54" i="43"/>
  <c r="N54" i="43" s="1"/>
  <c r="K54" i="43"/>
  <c r="J54" i="43" s="1"/>
  <c r="D54" i="43"/>
  <c r="M53" i="43"/>
  <c r="N53" i="43" s="1"/>
  <c r="K53" i="43"/>
  <c r="J53" i="43"/>
  <c r="D53" i="43"/>
  <c r="M52" i="43"/>
  <c r="N52" i="43" s="1"/>
  <c r="K52" i="43"/>
  <c r="J52" i="43"/>
  <c r="D52" i="43"/>
  <c r="M51" i="43"/>
  <c r="N51" i="43"/>
  <c r="K51" i="43"/>
  <c r="J51" i="43" s="1"/>
  <c r="D51" i="43"/>
  <c r="M50" i="43"/>
  <c r="N50" i="43"/>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c r="R12" i="31" s="1"/>
  <c r="S12" i="31" s="1"/>
  <c r="D10" i="31"/>
  <c r="E10" i="31" s="1"/>
  <c r="F10" i="31"/>
  <c r="G10" i="31" s="1"/>
  <c r="H10" i="31" s="1"/>
  <c r="I10" i="31" s="1"/>
  <c r="J10" i="31" s="1"/>
  <c r="K10" i="31" s="1"/>
  <c r="L10" i="31" s="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A7" i="1"/>
  <c r="A8" i="1"/>
  <c r="B8" i="1"/>
  <c r="E8" i="1" s="1"/>
  <c r="A9" i="1"/>
  <c r="A10" i="1"/>
  <c r="A11" i="1"/>
  <c r="B11" i="1" s="1"/>
  <c r="A12" i="1"/>
  <c r="A13" i="1"/>
  <c r="A6" i="1"/>
  <c r="F3" i="35" s="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A87" i="3" s="1"/>
  <c r="BC87" i="3"/>
  <c r="BB87" i="3"/>
  <c r="AZ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BT43" i="3"/>
  <c r="BS43" i="3"/>
  <c r="BR43" i="3"/>
  <c r="BQ43" i="3"/>
  <c r="BP43" i="3"/>
  <c r="BO43" i="3"/>
  <c r="BL43" i="3" s="1"/>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L36" i="3" s="1"/>
  <c r="BN36" i="3"/>
  <c r="BM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A134" i="3" s="1"/>
  <c r="AZ134" i="3" s="1"/>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L285" i="3" s="1"/>
  <c r="BN285" i="3"/>
  <c r="BM285" i="3"/>
  <c r="BK285" i="3"/>
  <c r="BJ285" i="3"/>
  <c r="BI285" i="3"/>
  <c r="BH285" i="3"/>
  <c r="BG285" i="3"/>
  <c r="BF285" i="3"/>
  <c r="BE285" i="3"/>
  <c r="BD285" i="3"/>
  <c r="BC285" i="3"/>
  <c r="BA285" i="3" s="1"/>
  <c r="BB285" i="3"/>
  <c r="AZ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L274" i="3" s="1"/>
  <c r="AZ274" i="3" s="1"/>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A247" i="3" s="1"/>
  <c r="BB247" i="3"/>
  <c r="AZ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A210" i="3" s="1"/>
  <c r="BB210" i="3"/>
  <c r="AZ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BB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F5" i="3" s="1"/>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R33" i="31"/>
  <c r="S33" i="31" s="1"/>
  <c r="R34" i="31"/>
  <c r="S34" i="31" s="1"/>
  <c r="R35" i="31"/>
  <c r="R36" i="31"/>
  <c r="R37" i="31"/>
  <c r="R38" i="31"/>
  <c r="S38" i="31" s="1"/>
  <c r="R39" i="31"/>
  <c r="R40" i="31"/>
  <c r="R41" i="31"/>
  <c r="R42" i="31"/>
  <c r="S42" i="31" s="1"/>
  <c r="R43" i="31"/>
  <c r="R44" i="31"/>
  <c r="R45" i="31"/>
  <c r="R46" i="31"/>
  <c r="S46" i="31" s="1"/>
  <c r="R47" i="31"/>
  <c r="R48" i="31"/>
  <c r="R49" i="31"/>
  <c r="S49" i="31" s="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R226" i="31"/>
  <c r="S226" i="31" s="1"/>
  <c r="R227" i="31"/>
  <c r="R228" i="31"/>
  <c r="R229" i="31"/>
  <c r="R230" i="31"/>
  <c r="S230" i="31" s="1"/>
  <c r="R231" i="31"/>
  <c r="R232" i="31"/>
  <c r="R233" i="31"/>
  <c r="R234" i="31"/>
  <c r="S234" i="31" s="1"/>
  <c r="R235" i="31"/>
  <c r="R236" i="31"/>
  <c r="R237" i="31"/>
  <c r="S237" i="31" s="1"/>
  <c r="R238" i="31"/>
  <c r="S238" i="31" s="1"/>
  <c r="R239" i="31"/>
  <c r="R240" i="31"/>
  <c r="R241" i="31"/>
  <c r="R242" i="31"/>
  <c r="S242" i="31" s="1"/>
  <c r="R243" i="31"/>
  <c r="R244" i="31"/>
  <c r="R245" i="31"/>
  <c r="R246" i="31"/>
  <c r="S246" i="31" s="1"/>
  <c r="R247" i="31"/>
  <c r="R248" i="31"/>
  <c r="R249" i="31"/>
  <c r="R250" i="31"/>
  <c r="S250" i="31" s="1"/>
  <c r="R251" i="31"/>
  <c r="R252" i="31"/>
  <c r="R253" i="31"/>
  <c r="S253" i="31" s="1"/>
  <c r="R254" i="31"/>
  <c r="S254" i="31" s="1"/>
  <c r="R255" i="31"/>
  <c r="S255" i="31" s="1"/>
  <c r="R256" i="31"/>
  <c r="R257" i="31"/>
  <c r="S257" i="31" s="1"/>
  <c r="R258" i="31"/>
  <c r="R259" i="31"/>
  <c r="S259" i="31" s="1"/>
  <c r="R260" i="31"/>
  <c r="R261" i="31"/>
  <c r="S261" i="31"/>
  <c r="R262" i="31"/>
  <c r="S262" i="31" s="1"/>
  <c r="R263" i="31"/>
  <c r="S263" i="31" s="1"/>
  <c r="R264" i="31"/>
  <c r="R265" i="31"/>
  <c r="S265" i="31" s="1"/>
  <c r="R266" i="31"/>
  <c r="R267" i="31"/>
  <c r="S267" i="31" s="1"/>
  <c r="R268" i="31"/>
  <c r="R269" i="31"/>
  <c r="S269" i="31"/>
  <c r="R270" i="31"/>
  <c r="S270" i="31" s="1"/>
  <c r="R271" i="31"/>
  <c r="S271" i="31" s="1"/>
  <c r="R272" i="31"/>
  <c r="R273" i="31"/>
  <c r="S273" i="31" s="1"/>
  <c r="R274" i="31"/>
  <c r="R275" i="31"/>
  <c r="S275" i="31" s="1"/>
  <c r="R276" i="31"/>
  <c r="R277" i="31"/>
  <c r="S277" i="31"/>
  <c r="R278" i="31"/>
  <c r="S278" i="31" s="1"/>
  <c r="R279" i="31"/>
  <c r="S279" i="31" s="1"/>
  <c r="R280" i="31"/>
  <c r="R281" i="31"/>
  <c r="S281" i="31" s="1"/>
  <c r="R282" i="31"/>
  <c r="R283" i="31"/>
  <c r="S283" i="31" s="1"/>
  <c r="R284" i="31"/>
  <c r="R285" i="31"/>
  <c r="S285" i="31"/>
  <c r="R286" i="31"/>
  <c r="S286" i="31" s="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c r="R302" i="31"/>
  <c r="S302" i="31" s="1"/>
  <c r="R303" i="31"/>
  <c r="S303" i="31" s="1"/>
  <c r="R304" i="31"/>
  <c r="R305" i="31"/>
  <c r="S305" i="31" s="1"/>
  <c r="R306" i="31"/>
  <c r="R307" i="31"/>
  <c r="S307" i="31" s="1"/>
  <c r="R308" i="31"/>
  <c r="R309" i="31"/>
  <c r="S309" i="31"/>
  <c r="R310" i="31"/>
  <c r="S310" i="31" s="1"/>
  <c r="R311" i="31"/>
  <c r="S311" i="31" s="1"/>
  <c r="R312" i="31"/>
  <c r="R313" i="31"/>
  <c r="S313" i="31" s="1"/>
  <c r="R314" i="31"/>
  <c r="R315" i="31"/>
  <c r="S315" i="31" s="1"/>
  <c r="R316" i="31"/>
  <c r="R317" i="31"/>
  <c r="S317" i="31"/>
  <c r="R318" i="31"/>
  <c r="S318" i="31" s="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S425" i="31" s="1"/>
  <c r="R426" i="31"/>
  <c r="R427" i="31"/>
  <c r="R428" i="31"/>
  <c r="R429" i="31"/>
  <c r="S429" i="31" s="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S500" i="31" s="1"/>
  <c r="R501" i="31"/>
  <c r="R502" i="31"/>
  <c r="R503" i="31"/>
  <c r="R504" i="31"/>
  <c r="R505" i="31"/>
  <c r="S505" i="31" s="1"/>
  <c r="R506" i="31"/>
  <c r="R507" i="31"/>
  <c r="R508" i="31"/>
  <c r="R509" i="31"/>
  <c r="R510" i="31"/>
  <c r="R511" i="31"/>
  <c r="R512" i="31"/>
  <c r="R513" i="31"/>
  <c r="R514" i="31"/>
  <c r="R515" i="31"/>
  <c r="R516" i="31"/>
  <c r="S516" i="31" s="1"/>
  <c r="R517" i="31"/>
  <c r="S517" i="31" s="1"/>
  <c r="R518" i="31"/>
  <c r="R519" i="31"/>
  <c r="R520" i="31"/>
  <c r="S520" i="31" s="1"/>
  <c r="R521" i="31"/>
  <c r="S521" i="31" s="1"/>
  <c r="R522" i="31"/>
  <c r="R523" i="31"/>
  <c r="R524" i="31"/>
  <c r="S524" i="31" s="1"/>
  <c r="R25" i="31"/>
  <c r="S25" i="31" s="1"/>
  <c r="S22" i="31" s="1"/>
  <c r="R22"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5" i="3" s="1"/>
  <c r="G29" i="6" s="1"/>
  <c r="BN15" i="3"/>
  <c r="BN16" i="3"/>
  <c r="BN17" i="3"/>
  <c r="BP13" i="3"/>
  <c r="BP14" i="3"/>
  <c r="BP15" i="3"/>
  <c r="BP16" i="3"/>
  <c r="BP17" i="3"/>
  <c r="E19" i="6"/>
  <c r="E20" i="6"/>
  <c r="E21" i="6"/>
  <c r="K8" i="1"/>
  <c r="M8" i="1" s="1"/>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I4" i="6" s="1"/>
  <c r="G3" i="43" s="1"/>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2" i="31"/>
  <c r="S251" i="31"/>
  <c r="S249" i="31"/>
  <c r="S248" i="31"/>
  <c r="S247" i="31"/>
  <c r="S245" i="31"/>
  <c r="S244" i="31"/>
  <c r="S243" i="31"/>
  <c r="S241" i="31"/>
  <c r="S240" i="31"/>
  <c r="S239" i="31"/>
  <c r="S236" i="31"/>
  <c r="S235" i="31"/>
  <c r="S233" i="31"/>
  <c r="S232" i="31"/>
  <c r="S231" i="31"/>
  <c r="S229" i="31"/>
  <c r="S228" i="31"/>
  <c r="S227" i="31"/>
  <c r="S225" i="31"/>
  <c r="S224" i="31"/>
  <c r="S223" i="31"/>
  <c r="S428" i="31"/>
  <c r="S427" i="31"/>
  <c r="S426"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0" i="31"/>
  <c r="S439" i="31"/>
  <c r="S438" i="31"/>
  <c r="S436" i="31"/>
  <c r="S435" i="31"/>
  <c r="S434" i="31"/>
  <c r="S432" i="31"/>
  <c r="S431" i="31"/>
  <c r="S430" i="31"/>
  <c r="S122" i="31"/>
  <c r="S121" i="31"/>
  <c r="S120" i="31"/>
  <c r="S119" i="31"/>
  <c r="S118" i="31"/>
  <c r="S117" i="31"/>
  <c r="S116" i="31"/>
  <c r="S115" i="31"/>
  <c r="S114" i="31"/>
  <c r="S113" i="31"/>
  <c r="S112" i="31"/>
  <c r="S506" i="31"/>
  <c r="S504" i="31"/>
  <c r="S502" i="31"/>
  <c r="S498" i="31"/>
  <c r="S467" i="31"/>
  <c r="S466" i="31"/>
  <c r="S464" i="31"/>
  <c r="S463" i="31"/>
  <c r="S462" i="31"/>
  <c r="S460" i="31"/>
  <c r="S459" i="31"/>
  <c r="S458" i="31"/>
  <c r="S456" i="31"/>
  <c r="S455" i="31"/>
  <c r="S454" i="31"/>
  <c r="S452" i="31"/>
  <c r="S451" i="31"/>
  <c r="S450" i="31"/>
  <c r="S53" i="31"/>
  <c r="S52" i="31"/>
  <c r="S51" i="31"/>
  <c r="S48" i="31"/>
  <c r="S47" i="31"/>
  <c r="S45" i="31"/>
  <c r="S44" i="31"/>
  <c r="S43" i="31"/>
  <c r="S41" i="31"/>
  <c r="S40" i="31"/>
  <c r="S39" i="31"/>
  <c r="S37" i="31"/>
  <c r="S36" i="31"/>
  <c r="S35"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6" i="31"/>
  <c r="S447"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K5" i="3" s="1"/>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D5" i="3" s="1"/>
  <c r="BE498" i="3"/>
  <c r="BF498" i="3"/>
  <c r="BG498" i="3"/>
  <c r="BH498" i="3"/>
  <c r="BI498" i="3"/>
  <c r="BJ498" i="3"/>
  <c r="BK498" i="3"/>
  <c r="BM498" i="3"/>
  <c r="BL498" i="3" s="1"/>
  <c r="BN498" i="3"/>
  <c r="BO498" i="3"/>
  <c r="BP498" i="3"/>
  <c r="BQ498" i="3"/>
  <c r="BR498" i="3"/>
  <c r="BS498" i="3"/>
  <c r="BT498" i="3"/>
  <c r="H499" i="3"/>
  <c r="G499" i="3" s="1"/>
  <c r="AC499" i="3"/>
  <c r="BB499" i="3"/>
  <c r="BC499" i="3"/>
  <c r="BD499" i="3"/>
  <c r="BA499" i="3" s="1"/>
  <c r="BE499" i="3"/>
  <c r="BF499" i="3"/>
  <c r="BG499" i="3"/>
  <c r="BH499" i="3"/>
  <c r="BI499" i="3"/>
  <c r="BJ499" i="3"/>
  <c r="BK499" i="3"/>
  <c r="BM499" i="3"/>
  <c r="BL499" i="3" s="1"/>
  <c r="BN499" i="3"/>
  <c r="BO499" i="3"/>
  <c r="BP499" i="3"/>
  <c r="BR499" i="3"/>
  <c r="BS499" i="3"/>
  <c r="BT499" i="3"/>
  <c r="H500" i="3"/>
  <c r="AC500" i="3"/>
  <c r="BB500" i="3"/>
  <c r="BC500" i="3"/>
  <c r="BD500" i="3"/>
  <c r="BE500" i="3"/>
  <c r="BA500" i="3" s="1"/>
  <c r="BF500" i="3"/>
  <c r="BG500" i="3"/>
  <c r="BH500" i="3"/>
  <c r="BI500" i="3"/>
  <c r="BJ500" i="3"/>
  <c r="BK500" i="3"/>
  <c r="BM500" i="3"/>
  <c r="BN500" i="3"/>
  <c r="BL500" i="3" s="1"/>
  <c r="BO500" i="3"/>
  <c r="BP500" i="3"/>
  <c r="BQ500" i="3"/>
  <c r="BR500" i="3"/>
  <c r="BS500" i="3"/>
  <c r="BT500" i="3"/>
  <c r="H501" i="3"/>
  <c r="AC501" i="3"/>
  <c r="G501" i="3" s="1"/>
  <c r="BB501" i="3"/>
  <c r="BC501" i="3"/>
  <c r="BD501" i="3"/>
  <c r="BE501" i="3"/>
  <c r="BA501" i="3" s="1"/>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G503" i="3"/>
  <c r="BH503" i="3"/>
  <c r="BI503" i="3"/>
  <c r="BJ503" i="3"/>
  <c r="BK503" i="3"/>
  <c r="BM503" i="3"/>
  <c r="BN503" i="3"/>
  <c r="BO503" i="3"/>
  <c r="BL503" i="3" s="1"/>
  <c r="BP503" i="3"/>
  <c r="BR503" i="3"/>
  <c r="BS503" i="3"/>
  <c r="BT503" i="3"/>
  <c r="H504" i="3"/>
  <c r="G504" i="3" s="1"/>
  <c r="AC504" i="3"/>
  <c r="BB504" i="3"/>
  <c r="BC504" i="3"/>
  <c r="BA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G518" i="3" s="1"/>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AZ519" i="3" s="1"/>
  <c r="BD519" i="3"/>
  <c r="BE519" i="3"/>
  <c r="BF519" i="3"/>
  <c r="BG519" i="3"/>
  <c r="BH519" i="3"/>
  <c r="BI519" i="3"/>
  <c r="BJ519" i="3"/>
  <c r="BK519" i="3"/>
  <c r="BM519" i="3"/>
  <c r="BN519" i="3"/>
  <c r="BO519" i="3"/>
  <c r="BP519" i="3"/>
  <c r="BL519" i="3" s="1"/>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A521" i="3" s="1"/>
  <c r="AZ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A527" i="3" s="1"/>
  <c r="AZ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L529" i="3" s="1"/>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A537" i="3" s="1"/>
  <c r="AZ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A545" i="3" s="1"/>
  <c r="BE545" i="3"/>
  <c r="BF545" i="3"/>
  <c r="BG545" i="3"/>
  <c r="BH545" i="3"/>
  <c r="BI545" i="3"/>
  <c r="BJ545" i="3"/>
  <c r="BK545" i="3"/>
  <c r="BM545" i="3"/>
  <c r="BL545" i="3" s="1"/>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L548" i="3" s="1"/>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AC555" i="3"/>
  <c r="BB555" i="3"/>
  <c r="BC555" i="3"/>
  <c r="BD555" i="3"/>
  <c r="BA555" i="3" s="1"/>
  <c r="AZ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AZ559" i="3" s="1"/>
  <c r="BF559" i="3"/>
  <c r="BG559" i="3"/>
  <c r="BH559" i="3"/>
  <c r="BI559" i="3"/>
  <c r="BJ559" i="3"/>
  <c r="BK559" i="3"/>
  <c r="BM559" i="3"/>
  <c r="BN559" i="3"/>
  <c r="BL559" i="3" s="1"/>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L562" i="3" s="1"/>
  <c r="BQ562" i="3"/>
  <c r="BR562" i="3"/>
  <c r="BS562" i="3"/>
  <c r="BT562" i="3"/>
  <c r="H563" i="3"/>
  <c r="AC563" i="3"/>
  <c r="BB563" i="3"/>
  <c r="BC563" i="3"/>
  <c r="BA563" i="3" s="1"/>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L565" i="3" s="1"/>
  <c r="AZ565" i="3" s="1"/>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AZ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AZ579" i="3" s="1"/>
  <c r="BC579" i="3"/>
  <c r="BD579" i="3"/>
  <c r="BE579" i="3"/>
  <c r="BF579" i="3"/>
  <c r="BG579" i="3"/>
  <c r="BH579" i="3"/>
  <c r="BI579" i="3"/>
  <c r="BJ579" i="3"/>
  <c r="BK579" i="3"/>
  <c r="BM579" i="3"/>
  <c r="BN579" i="3"/>
  <c r="BO579" i="3"/>
  <c r="BL579" i="3" s="1"/>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AZ582" i="3" s="1"/>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C26" i="35"/>
  <c r="C79" i="35"/>
  <c r="J31" i="35"/>
  <c r="W31" i="35" s="1"/>
  <c r="H31" i="35"/>
  <c r="F31" i="35"/>
  <c r="AA31" i="35" s="1"/>
  <c r="D87" i="35"/>
  <c r="E87" i="35" s="1"/>
  <c r="F87" i="35" s="1"/>
  <c r="G87" i="35" s="1"/>
  <c r="H87" i="35"/>
  <c r="I87" i="35"/>
  <c r="J87" i="35" s="1"/>
  <c r="K87" i="35" s="1"/>
  <c r="L87" i="35" s="1"/>
  <c r="M87" i="35" s="1"/>
  <c r="H34" i="37"/>
  <c r="D101" i="37"/>
  <c r="F34" i="37"/>
  <c r="D99" i="37"/>
  <c r="E99" i="37" s="1"/>
  <c r="F99" i="37"/>
  <c r="G99" i="37"/>
  <c r="H99" i="37" s="1"/>
  <c r="I99" i="37" s="1"/>
  <c r="J99" i="37"/>
  <c r="K99" i="37" s="1"/>
  <c r="L99" i="37" s="1"/>
  <c r="M99" i="37" s="1"/>
  <c r="H42" i="34"/>
  <c r="J42" i="34"/>
  <c r="W42" i="34" s="1"/>
  <c r="F42" i="34"/>
  <c r="J38" i="34"/>
  <c r="W38" i="34"/>
  <c r="D114" i="34"/>
  <c r="F38" i="34"/>
  <c r="S38" i="34"/>
  <c r="D112" i="34"/>
  <c r="E112" i="34" s="1"/>
  <c r="F112" i="34" s="1"/>
  <c r="G112" i="34"/>
  <c r="H112" i="34" s="1"/>
  <c r="I112" i="34"/>
  <c r="J112" i="34" s="1"/>
  <c r="K112" i="34" s="1"/>
  <c r="L112" i="34" s="1"/>
  <c r="M112" i="34" s="1"/>
  <c r="F40" i="33"/>
  <c r="J41" i="33"/>
  <c r="W41" i="33" s="1"/>
  <c r="D113" i="33"/>
  <c r="F37" i="33"/>
  <c r="D111" i="33"/>
  <c r="E111" i="33"/>
  <c r="F111" i="33"/>
  <c r="S515" i="31"/>
  <c r="S518" i="31"/>
  <c r="S519" i="31"/>
  <c r="S522" i="31"/>
  <c r="S523" i="31"/>
  <c r="F41" i="21"/>
  <c r="J41" i="21"/>
  <c r="AC41" i="21"/>
  <c r="H41" i="21"/>
  <c r="U41" i="21"/>
  <c r="D80" i="39"/>
  <c r="E80" i="39" s="1"/>
  <c r="F80" i="39" s="1"/>
  <c r="G80" i="39" s="1"/>
  <c r="H80" i="39" s="1"/>
  <c r="I80" i="39" s="1"/>
  <c r="J80" i="39" s="1"/>
  <c r="K80" i="39" s="1"/>
  <c r="L80" i="39" s="1"/>
  <c r="M80" i="39" s="1"/>
  <c r="D76" i="40"/>
  <c r="E76" i="40" s="1"/>
  <c r="F76" i="40"/>
  <c r="G76" i="40"/>
  <c r="H76" i="40" s="1"/>
  <c r="I76" i="40" s="1"/>
  <c r="J76" i="40"/>
  <c r="K76" i="40" s="1"/>
  <c r="L76" i="40" s="1"/>
  <c r="M76" i="40" s="1"/>
  <c r="B120" i="40"/>
  <c r="B118" i="40"/>
  <c r="J39" i="40" s="1"/>
  <c r="B116" i="40"/>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s="1"/>
  <c r="F84" i="40" s="1"/>
  <c r="G84" i="40"/>
  <c r="B81" i="40"/>
  <c r="F14" i="40" s="1"/>
  <c r="AA14" i="40" s="1"/>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H39" i="40"/>
  <c r="AB39" i="40" s="1"/>
  <c r="U39" i="40"/>
  <c r="Q38" i="40"/>
  <c r="Z38" i="40" s="1"/>
  <c r="J38" i="40"/>
  <c r="AC38" i="40"/>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c r="Q11" i="40"/>
  <c r="Z11" i="40" s="1"/>
  <c r="Q10" i="40"/>
  <c r="Z10" i="40" s="1"/>
  <c r="Q9" i="40"/>
  <c r="Z9" i="40" s="1"/>
  <c r="J9" i="40"/>
  <c r="W9" i="40"/>
  <c r="H9" i="40"/>
  <c r="F9" i="40"/>
  <c r="S9" i="40" s="1"/>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c r="D106" i="39"/>
  <c r="E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U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c r="B82" i="37"/>
  <c r="D79" i="37"/>
  <c r="E79" i="37" s="1"/>
  <c r="D75" i="37"/>
  <c r="E75" i="37"/>
  <c r="F75" i="37" s="1"/>
  <c r="D73" i="37"/>
  <c r="E73" i="37" s="1"/>
  <c r="F73" i="37" s="1"/>
  <c r="G73" i="37" s="1"/>
  <c r="D71" i="37"/>
  <c r="H15" i="37"/>
  <c r="AB15" i="37" s="1"/>
  <c r="B68" i="37"/>
  <c r="F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U30" i="37" s="1"/>
  <c r="AB30" i="37"/>
  <c r="F30" i="37"/>
  <c r="AA30" i="37"/>
  <c r="Q29" i="37"/>
  <c r="Z29" i="37"/>
  <c r="H29" i="37"/>
  <c r="AB29" i="37"/>
  <c r="Q28" i="37"/>
  <c r="Z28" i="37"/>
  <c r="Q27" i="37"/>
  <c r="Z27" i="37"/>
  <c r="Q26" i="37"/>
  <c r="Z26" i="37"/>
  <c r="H26" i="37"/>
  <c r="U26" i="37" s="1"/>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c r="F78" i="36"/>
  <c r="G78" i="36" s="1"/>
  <c r="H78" i="36" s="1"/>
  <c r="I78" i="36" s="1"/>
  <c r="J78" i="36"/>
  <c r="K78" i="36" s="1"/>
  <c r="L78" i="36" s="1"/>
  <c r="M78" i="36" s="1"/>
  <c r="B75" i="36"/>
  <c r="H25" i="36" s="1"/>
  <c r="AB25" i="36" s="1"/>
  <c r="B73" i="36"/>
  <c r="B71" i="36"/>
  <c r="H23" i="36" s="1"/>
  <c r="D70" i="36"/>
  <c r="H22" i="36"/>
  <c r="AB22" i="36"/>
  <c r="D68" i="36"/>
  <c r="E68" i="36"/>
  <c r="F68" i="36" s="1"/>
  <c r="G68" i="36" s="1"/>
  <c r="D64" i="36"/>
  <c r="E64" i="36" s="1"/>
  <c r="F64" i="36" s="1"/>
  <c r="G64" i="36"/>
  <c r="J16" i="36"/>
  <c r="W16" i="36" s="1"/>
  <c r="D62" i="36"/>
  <c r="E62" i="36"/>
  <c r="F62" i="36"/>
  <c r="G62" i="36" s="1"/>
  <c r="B59" i="36"/>
  <c r="B57" i="36"/>
  <c r="H12" i="36" s="1"/>
  <c r="J12" i="36"/>
  <c r="W12" i="36" s="1"/>
  <c r="B55" i="36"/>
  <c r="F54" i="36"/>
  <c r="G54" i="36"/>
  <c r="H54" i="36"/>
  <c r="I54"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c r="Q26" i="36"/>
  <c r="Z26" i="36" s="1"/>
  <c r="H26" i="36"/>
  <c r="AB26" i="36"/>
  <c r="Q25" i="36"/>
  <c r="Z25" i="36" s="1"/>
  <c r="Q24" i="36"/>
  <c r="Z24" i="36"/>
  <c r="H24" i="36"/>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c r="Q9" i="36"/>
  <c r="Z9" i="36"/>
  <c r="J9" i="36"/>
  <c r="AC9" i="36"/>
  <c r="H9" i="36"/>
  <c r="U9" i="36" s="1"/>
  <c r="AB9" i="36"/>
  <c r="F9" i="36"/>
  <c r="AA9" i="36"/>
  <c r="J8" i="36"/>
  <c r="W8" i="36" s="1"/>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W25" i="35" s="1"/>
  <c r="B75" i="35"/>
  <c r="J24" i="35"/>
  <c r="AC24" i="35" s="1"/>
  <c r="B73" i="35"/>
  <c r="J23" i="35" s="1"/>
  <c r="H23" i="35"/>
  <c r="B57" i="35"/>
  <c r="B61" i="35"/>
  <c r="B59" i="35"/>
  <c r="H12" i="35" s="1"/>
  <c r="AB12" i="35" s="1"/>
  <c r="B131" i="34"/>
  <c r="B129" i="34"/>
  <c r="B127" i="34"/>
  <c r="B99" i="34"/>
  <c r="B97" i="34"/>
  <c r="B95" i="34"/>
  <c r="B93" i="34"/>
  <c r="B75" i="34"/>
  <c r="B73" i="34"/>
  <c r="B71" i="34"/>
  <c r="B130" i="33"/>
  <c r="B128" i="33"/>
  <c r="J45" i="33" s="1"/>
  <c r="B126" i="33"/>
  <c r="F44" i="33" s="1"/>
  <c r="B98" i="33"/>
  <c r="B96" i="33"/>
  <c r="B94" i="33"/>
  <c r="B74" i="33"/>
  <c r="B72" i="33"/>
  <c r="B70" i="33"/>
  <c r="J12" i="33"/>
  <c r="AC12" i="33" s="1"/>
  <c r="D96" i="35"/>
  <c r="E96" i="35" s="1"/>
  <c r="F96" i="35"/>
  <c r="G96" i="35" s="1"/>
  <c r="D94" i="35"/>
  <c r="E94" i="35" s="1"/>
  <c r="F94" i="35"/>
  <c r="G94" i="35" s="1"/>
  <c r="H94" i="35" s="1"/>
  <c r="I94" i="35" s="1"/>
  <c r="J94" i="35"/>
  <c r="K94" i="35" s="1"/>
  <c r="L94" i="35" s="1"/>
  <c r="M94" i="35" s="1"/>
  <c r="D84" i="35"/>
  <c r="E84" i="35"/>
  <c r="F84" i="35" s="1"/>
  <c r="G84" i="35" s="1"/>
  <c r="H84" i="35" s="1"/>
  <c r="I84" i="35" s="1"/>
  <c r="J84" i="35" s="1"/>
  <c r="K84" i="35" s="1"/>
  <c r="L84" i="35" s="1"/>
  <c r="M84" i="35" s="1"/>
  <c r="D80" i="35"/>
  <c r="E80" i="35" s="1"/>
  <c r="F80" i="35"/>
  <c r="G80" i="35"/>
  <c r="H80" i="35"/>
  <c r="I80" i="35" s="1"/>
  <c r="J80" i="35" s="1"/>
  <c r="K80" i="35" s="1"/>
  <c r="L80" i="35" s="1"/>
  <c r="M80" i="35" s="1"/>
  <c r="D72" i="35"/>
  <c r="E72" i="35" s="1"/>
  <c r="F72" i="35"/>
  <c r="G72" i="35" s="1"/>
  <c r="D70" i="35"/>
  <c r="E70" i="35" s="1"/>
  <c r="F70" i="35" s="1"/>
  <c r="G70" i="35" s="1"/>
  <c r="D66" i="35"/>
  <c r="E66" i="35" s="1"/>
  <c r="F66" i="35" s="1"/>
  <c r="G66" i="35" s="1"/>
  <c r="D64" i="35"/>
  <c r="E64" i="35"/>
  <c r="F64" i="35" s="1"/>
  <c r="G64" i="35" s="1"/>
  <c r="J14" i="35"/>
  <c r="W14" i="35" s="1"/>
  <c r="F56" i="35"/>
  <c r="G56" i="35" s="1"/>
  <c r="H56" i="35"/>
  <c r="I56" i="35" s="1"/>
  <c r="C53" i="35"/>
  <c r="J9" i="35" s="1"/>
  <c r="P39" i="35"/>
  <c r="P38" i="35"/>
  <c r="V37" i="35"/>
  <c r="T37" i="35"/>
  <c r="R37" i="35"/>
  <c r="P37" i="35"/>
  <c r="Q36" i="35"/>
  <c r="Z36" i="35" s="1"/>
  <c r="J36" i="35"/>
  <c r="AC36" i="35"/>
  <c r="Q35" i="35"/>
  <c r="Z35" i="35" s="1"/>
  <c r="Q34" i="35"/>
  <c r="Z34" i="35" s="1"/>
  <c r="J34" i="35"/>
  <c r="H34" i="35"/>
  <c r="U34" i="35" s="1"/>
  <c r="AB34" i="35"/>
  <c r="F34" i="35"/>
  <c r="AA34" i="35" s="1"/>
  <c r="Q33" i="35"/>
  <c r="Z33" i="35" s="1"/>
  <c r="Q32" i="35"/>
  <c r="Z32" i="35" s="1"/>
  <c r="H32" i="35"/>
  <c r="AB32" i="35"/>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U12" i="35"/>
  <c r="F12" i="35"/>
  <c r="S12" i="35" s="1"/>
  <c r="Q11" i="35"/>
  <c r="Z11" i="35"/>
  <c r="Q10" i="35"/>
  <c r="Z10" i="35" s="1"/>
  <c r="Q9" i="35"/>
  <c r="Z9" i="35"/>
  <c r="J8" i="35"/>
  <c r="W8" i="35" s="1"/>
  <c r="H8" i="35"/>
  <c r="AB8" i="35"/>
  <c r="F8" i="35"/>
  <c r="D120" i="34"/>
  <c r="E120" i="34"/>
  <c r="F120" i="34" s="1"/>
  <c r="G120" i="34" s="1"/>
  <c r="H120" i="34" s="1"/>
  <c r="I120" i="34" s="1"/>
  <c r="J120" i="34" s="1"/>
  <c r="K120" i="34" s="1"/>
  <c r="L120" i="34" s="1"/>
  <c r="M120" i="34" s="1"/>
  <c r="D90" i="34"/>
  <c r="E90" i="34"/>
  <c r="F90" i="34" s="1"/>
  <c r="G90" i="34"/>
  <c r="H90" i="34"/>
  <c r="I90" i="34" s="1"/>
  <c r="J90" i="34" s="1"/>
  <c r="K90" i="34" s="1"/>
  <c r="L90" i="34" s="1"/>
  <c r="M90" i="34" s="1"/>
  <c r="C15" i="34"/>
  <c r="F67" i="34"/>
  <c r="G67" i="34"/>
  <c r="D126" i="34"/>
  <c r="E126" i="34" s="1"/>
  <c r="F126" i="34" s="1"/>
  <c r="G126" i="34"/>
  <c r="D124" i="34"/>
  <c r="E124" i="34" s="1"/>
  <c r="F124" i="34"/>
  <c r="G124" i="34" s="1"/>
  <c r="H124" i="34" s="1"/>
  <c r="I124" i="34" s="1"/>
  <c r="J124" i="34" s="1"/>
  <c r="K124" i="34" s="1"/>
  <c r="L124" i="34" s="1"/>
  <c r="M124" i="34" s="1"/>
  <c r="H43" i="34"/>
  <c r="U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c r="H102" i="34" s="1"/>
  <c r="I102" i="34"/>
  <c r="J102" i="34" s="1"/>
  <c r="K102" i="34" s="1"/>
  <c r="L102" i="34" s="1"/>
  <c r="M102" i="34" s="1"/>
  <c r="D92" i="34"/>
  <c r="E92" i="34"/>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c r="H34" i="34"/>
  <c r="AB34" i="34" s="1"/>
  <c r="F34" i="34"/>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J12" i="34"/>
  <c r="W12" i="34"/>
  <c r="H12" i="34"/>
  <c r="U12" i="34" s="1"/>
  <c r="F12" i="34"/>
  <c r="S12" i="34" s="1"/>
  <c r="Q11" i="34"/>
  <c r="Z11" i="34"/>
  <c r="Q10" i="34"/>
  <c r="Z10" i="34" s="1"/>
  <c r="F10" i="34"/>
  <c r="AA10" i="34"/>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c r="F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F81" i="33" s="1"/>
  <c r="G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G18" i="20"/>
  <c r="B88" i="43"/>
  <c r="G19" i="20"/>
  <c r="G16" i="20"/>
  <c r="B82" i="43"/>
  <c r="G15" i="20"/>
  <c r="B81" i="43" s="1"/>
  <c r="C24" i="20"/>
  <c r="B73" i="43"/>
  <c r="C21" i="20"/>
  <c r="C20" i="20"/>
  <c r="B77" i="43"/>
  <c r="C18" i="20"/>
  <c r="C17" i="20"/>
  <c r="B59" i="43"/>
  <c r="C16" i="20"/>
  <c r="C17" i="39" s="1"/>
  <c r="C15" i="20"/>
  <c r="B70" i="43"/>
  <c r="E54" i="21"/>
  <c r="F54" i="21" s="1"/>
  <c r="I54" i="21"/>
  <c r="J54" i="21"/>
  <c r="G54" i="21"/>
  <c r="H54" i="21" s="1"/>
  <c r="D125" i="21"/>
  <c r="E125" i="21"/>
  <c r="F125" i="21" s="1"/>
  <c r="G125" i="21" s="1"/>
  <c r="D123" i="21"/>
  <c r="E123" i="21"/>
  <c r="F123" i="21"/>
  <c r="G123" i="21" s="1"/>
  <c r="H123" i="21" s="1"/>
  <c r="F42" i="21"/>
  <c r="AA42" i="21" s="1"/>
  <c r="D119" i="21"/>
  <c r="E119" i="21" s="1"/>
  <c r="F119" i="21" s="1"/>
  <c r="F40" i="21"/>
  <c r="S40" i="21" s="1"/>
  <c r="AA40" i="21"/>
  <c r="D117" i="21"/>
  <c r="E117" i="21"/>
  <c r="F117" i="21" s="1"/>
  <c r="G117" i="21"/>
  <c r="D115" i="21"/>
  <c r="E115" i="21"/>
  <c r="F115" i="21" s="1"/>
  <c r="G115" i="21"/>
  <c r="H115" i="21" s="1"/>
  <c r="I115" i="21" s="1"/>
  <c r="J115" i="21"/>
  <c r="K115" i="21" s="1"/>
  <c r="L115" i="21" s="1"/>
  <c r="M115" i="21" s="1"/>
  <c r="D113" i="21"/>
  <c r="E113" i="21"/>
  <c r="F113" i="21" s="1"/>
  <c r="G113" i="21"/>
  <c r="H113" i="21" s="1"/>
  <c r="D110" i="21"/>
  <c r="E110" i="21" s="1"/>
  <c r="F110" i="21"/>
  <c r="G110" i="21"/>
  <c r="H110" i="21" s="1"/>
  <c r="I110" i="21" s="1"/>
  <c r="J110" i="21" s="1"/>
  <c r="K110" i="2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c r="G81" i="21" s="1"/>
  <c r="D77" i="21"/>
  <c r="E77" i="21" s="1"/>
  <c r="B130" i="21"/>
  <c r="B128" i="21"/>
  <c r="J45" i="21" s="1"/>
  <c r="B126" i="21"/>
  <c r="B98" i="21"/>
  <c r="H31" i="21"/>
  <c r="AB31" i="21" s="1"/>
  <c r="B96" i="21"/>
  <c r="B94" i="21"/>
  <c r="J29" i="21"/>
  <c r="AC29" i="21"/>
  <c r="B92" i="21"/>
  <c r="B90" i="21"/>
  <c r="J27" i="21"/>
  <c r="W27" i="21"/>
  <c r="B74" i="21"/>
  <c r="B72" i="21"/>
  <c r="H13" i="21"/>
  <c r="B70" i="21"/>
  <c r="F12" i="21" s="1"/>
  <c r="S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AC35" i="21" s="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AA26" i="21" s="1"/>
  <c r="AB41" i="21"/>
  <c r="J44" i="39"/>
  <c r="AC44" i="39"/>
  <c r="H36" i="39"/>
  <c r="AB36" i="39" s="1"/>
  <c r="U9" i="39"/>
  <c r="W40" i="39"/>
  <c r="W25" i="37"/>
  <c r="W31" i="37"/>
  <c r="E103" i="37"/>
  <c r="F103" i="37" s="1"/>
  <c r="G103" i="37" s="1"/>
  <c r="H103" i="37" s="1"/>
  <c r="I103" i="37" s="1"/>
  <c r="J103" i="37" s="1"/>
  <c r="K103" i="37" s="1"/>
  <c r="L103" i="37" s="1"/>
  <c r="M103" i="37" s="1"/>
  <c r="F29" i="36"/>
  <c r="AA29" i="36" s="1"/>
  <c r="F16" i="36"/>
  <c r="AA16" i="36"/>
  <c r="AA31" i="36"/>
  <c r="AC31" i="36"/>
  <c r="W31" i="36"/>
  <c r="J33" i="36"/>
  <c r="W33" i="36" s="1"/>
  <c r="H22" i="35"/>
  <c r="U22" i="35" s="1"/>
  <c r="AC27" i="35"/>
  <c r="W28" i="35"/>
  <c r="U31" i="35"/>
  <c r="S34" i="35"/>
  <c r="W36" i="35"/>
  <c r="W22" i="35"/>
  <c r="S31" i="35"/>
  <c r="F36" i="34"/>
  <c r="J35" i="34"/>
  <c r="H39" i="33"/>
  <c r="AB39" i="33" s="1"/>
  <c r="F26" i="33"/>
  <c r="AA26" i="33"/>
  <c r="U33" i="33"/>
  <c r="U35" i="33"/>
  <c r="S40" i="33"/>
  <c r="W33" i="33"/>
  <c r="W39" i="33"/>
  <c r="S27" i="35"/>
  <c r="F11" i="40"/>
  <c r="AA11" i="40" s="1"/>
  <c r="H11" i="40"/>
  <c r="W8" i="40"/>
  <c r="AC40" i="40"/>
  <c r="AA9" i="40"/>
  <c r="AC9"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F17" i="39"/>
  <c r="AA17" i="39" s="1"/>
  <c r="J23" i="40"/>
  <c r="W23" i="40" s="1"/>
  <c r="F21" i="40"/>
  <c r="AA21" i="40" s="1"/>
  <c r="J21" i="40"/>
  <c r="W21" i="40"/>
  <c r="H42" i="39"/>
  <c r="AB42" i="39" s="1"/>
  <c r="J34" i="39"/>
  <c r="AC34" i="39" s="1"/>
  <c r="J31" i="39"/>
  <c r="AC31" i="39" s="1"/>
  <c r="F100" i="39"/>
  <c r="G100" i="39" s="1"/>
  <c r="H27" i="39"/>
  <c r="U27" i="39" s="1"/>
  <c r="J19" i="39"/>
  <c r="AC19" i="39" s="1"/>
  <c r="J17" i="39"/>
  <c r="AC17" i="39" s="1"/>
  <c r="J27" i="39"/>
  <c r="AC27" i="39" s="1"/>
  <c r="F27" i="39"/>
  <c r="S27" i="39" s="1"/>
  <c r="F11" i="21"/>
  <c r="S11" i="21"/>
  <c r="U34" i="21"/>
  <c r="S34" i="21"/>
  <c r="C25" i="39"/>
  <c r="C21" i="39"/>
  <c r="H11" i="39"/>
  <c r="AB11" i="39" s="1"/>
  <c r="S40" i="39"/>
  <c r="C15" i="39"/>
  <c r="H32" i="33"/>
  <c r="U32" i="33" s="1"/>
  <c r="AB32" i="33"/>
  <c r="H11" i="21"/>
  <c r="U11" i="21" s="1"/>
  <c r="J11" i="21"/>
  <c r="W11" i="21"/>
  <c r="H37" i="40"/>
  <c r="U37" i="40" s="1"/>
  <c r="H36" i="40"/>
  <c r="AB36" i="40" s="1"/>
  <c r="F35" i="40"/>
  <c r="H23" i="40"/>
  <c r="AB23" i="40"/>
  <c r="H17" i="40"/>
  <c r="U17" i="40" s="1"/>
  <c r="J15" i="40"/>
  <c r="AC15" i="40" s="1"/>
  <c r="W15" i="40"/>
  <c r="J11" i="40"/>
  <c r="AB8" i="39"/>
  <c r="AC12" i="34"/>
  <c r="AA12" i="34"/>
  <c r="AB12" i="36"/>
  <c r="W32" i="40"/>
  <c r="F37" i="39"/>
  <c r="AA37" i="39" s="1"/>
  <c r="J34" i="36"/>
  <c r="U30" i="36"/>
  <c r="J30" i="35"/>
  <c r="W30" i="35" s="1"/>
  <c r="H30" i="35"/>
  <c r="AB30" i="35"/>
  <c r="F22" i="35"/>
  <c r="AA22" i="35" s="1"/>
  <c r="H10" i="35"/>
  <c r="U10" i="35"/>
  <c r="AC16" i="36"/>
  <c r="F33" i="36"/>
  <c r="AA33" i="36" s="1"/>
  <c r="W30" i="36"/>
  <c r="H16" i="36"/>
  <c r="AB16" i="36"/>
  <c r="E85" i="36"/>
  <c r="F85" i="36"/>
  <c r="G85" i="36"/>
  <c r="H85" i="36"/>
  <c r="I85" i="36" s="1"/>
  <c r="J85" i="36" s="1"/>
  <c r="K85" i="36" s="1"/>
  <c r="L85" i="36" s="1"/>
  <c r="M85" i="36" s="1"/>
  <c r="J29" i="36"/>
  <c r="AC29" i="36" s="1"/>
  <c r="F12" i="36"/>
  <c r="S12" i="36" s="1"/>
  <c r="F34" i="36"/>
  <c r="S34" i="36" s="1"/>
  <c r="S10" i="36"/>
  <c r="AB8" i="36"/>
  <c r="S8" i="36"/>
  <c r="U8" i="35"/>
  <c r="F14" i="35"/>
  <c r="AA14" i="35"/>
  <c r="F23" i="35"/>
  <c r="J32" i="35"/>
  <c r="AC32" i="35"/>
  <c r="J16" i="35"/>
  <c r="AC16" i="35" s="1"/>
  <c r="H16" i="35"/>
  <c r="U16" i="35"/>
  <c r="F16" i="35"/>
  <c r="S16" i="35" s="1"/>
  <c r="H14" i="35"/>
  <c r="AB14" i="35"/>
  <c r="J29" i="35"/>
  <c r="W29" i="35" s="1"/>
  <c r="H33" i="35"/>
  <c r="AB33" i="35" s="1"/>
  <c r="AC8" i="35"/>
  <c r="J20" i="35"/>
  <c r="W20" i="35" s="1"/>
  <c r="F35" i="37"/>
  <c r="S35" i="37"/>
  <c r="E101" i="37"/>
  <c r="F101" i="37" s="1"/>
  <c r="G101" i="37" s="1"/>
  <c r="H101" i="37" s="1"/>
  <c r="I101" i="37" s="1"/>
  <c r="J101" i="37" s="1"/>
  <c r="K101" i="37" s="1"/>
  <c r="L101" i="37" s="1"/>
  <c r="M101" i="37" s="1"/>
  <c r="J34" i="37"/>
  <c r="S10" i="37"/>
  <c r="AB34" i="37"/>
  <c r="J33" i="37"/>
  <c r="AC33" i="37"/>
  <c r="U42" i="34"/>
  <c r="H40" i="34"/>
  <c r="U40" i="34" s="1"/>
  <c r="E114" i="34"/>
  <c r="F114" i="34" s="1"/>
  <c r="H36" i="34"/>
  <c r="U36" i="34"/>
  <c r="F37" i="34"/>
  <c r="AA37" i="34"/>
  <c r="S35" i="34"/>
  <c r="F28" i="34"/>
  <c r="AA28" i="34" s="1"/>
  <c r="F27" i="34"/>
  <c r="AA27" i="34"/>
  <c r="F25" i="34"/>
  <c r="H23" i="34"/>
  <c r="J23" i="34"/>
  <c r="W23" i="34" s="1"/>
  <c r="F19" i="34"/>
  <c r="H17" i="34"/>
  <c r="U17" i="34" s="1"/>
  <c r="F15" i="34"/>
  <c r="S15" i="34" s="1"/>
  <c r="J15" i="34"/>
  <c r="H15" i="34"/>
  <c r="AB15" i="34" s="1"/>
  <c r="S9" i="34"/>
  <c r="W8" i="34"/>
  <c r="J28" i="34"/>
  <c r="F41" i="33"/>
  <c r="S38" i="33"/>
  <c r="E113" i="33"/>
  <c r="F32" i="33"/>
  <c r="AA32" i="33" s="1"/>
  <c r="J19" i="33"/>
  <c r="W19" i="33" s="1"/>
  <c r="AC19" i="33"/>
  <c r="J15" i="33"/>
  <c r="F11" i="33"/>
  <c r="AA11" i="33"/>
  <c r="S26" i="33"/>
  <c r="W40" i="33"/>
  <c r="U8" i="33"/>
  <c r="F37" i="40"/>
  <c r="AA37" i="40"/>
  <c r="F36" i="40"/>
  <c r="AA36" i="40"/>
  <c r="H28" i="40"/>
  <c r="U28" i="40"/>
  <c r="F23" i="40"/>
  <c r="AA23" i="40"/>
  <c r="F17" i="40"/>
  <c r="AA17" i="40"/>
  <c r="J17" i="40"/>
  <c r="W17" i="40"/>
  <c r="F15" i="40"/>
  <c r="S15" i="40"/>
  <c r="H15" i="40"/>
  <c r="AB15" i="40"/>
  <c r="AA12" i="36"/>
  <c r="U30" i="35"/>
  <c r="U33" i="35"/>
  <c r="F29" i="35"/>
  <c r="S29" i="35" s="1"/>
  <c r="H29" i="35"/>
  <c r="AB29" i="35"/>
  <c r="H33" i="37"/>
  <c r="AB33" i="37" s="1"/>
  <c r="F33" i="37"/>
  <c r="AA33" i="37" s="1"/>
  <c r="U34" i="37"/>
  <c r="W33" i="37"/>
  <c r="S34" i="37"/>
  <c r="AA34" i="37"/>
  <c r="J43" i="34"/>
  <c r="AC43" i="34" s="1"/>
  <c r="AB42" i="34"/>
  <c r="J40" i="34"/>
  <c r="G114" i="34"/>
  <c r="H114" i="34" s="1"/>
  <c r="I114" i="34"/>
  <c r="J114" i="34" s="1"/>
  <c r="K114" i="34" s="1"/>
  <c r="L114" i="34" s="1"/>
  <c r="M114" i="34" s="1"/>
  <c r="H38" i="34"/>
  <c r="U38" i="34" s="1"/>
  <c r="AB38" i="34"/>
  <c r="J36" i="34"/>
  <c r="W36" i="34"/>
  <c r="H37" i="34"/>
  <c r="U37" i="34"/>
  <c r="H25" i="34"/>
  <c r="AB25" i="34"/>
  <c r="J25" i="34"/>
  <c r="W25" i="34" s="1"/>
  <c r="AC25" i="34"/>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U11" i="33" s="1"/>
  <c r="AB11" i="33"/>
  <c r="F28" i="40"/>
  <c r="AA28" i="40" s="1"/>
  <c r="AA42" i="34"/>
  <c r="S42" i="34"/>
  <c r="AC38" i="34"/>
  <c r="AA38" i="34"/>
  <c r="J37" i="34"/>
  <c r="W37" i="34" s="1"/>
  <c r="AC37" i="34"/>
  <c r="J11" i="33"/>
  <c r="W11" i="33"/>
  <c r="U23" i="40"/>
  <c r="I123" i="21"/>
  <c r="J123" i="21" s="1"/>
  <c r="K123" i="21" s="1"/>
  <c r="L123" i="21" s="1"/>
  <c r="M123" i="21" s="1"/>
  <c r="J42" i="21"/>
  <c r="AC42" i="21" s="1"/>
  <c r="H42" i="21"/>
  <c r="U42" i="21" s="1"/>
  <c r="J44" i="34"/>
  <c r="F44" i="34"/>
  <c r="AA44" i="34"/>
  <c r="J10" i="35"/>
  <c r="J14" i="21"/>
  <c r="AC14" i="21" s="1"/>
  <c r="W14" i="21"/>
  <c r="F14" i="21"/>
  <c r="S14" i="21" s="1"/>
  <c r="H14" i="21"/>
  <c r="U14" i="21"/>
  <c r="H28" i="21"/>
  <c r="AB28" i="21" s="1"/>
  <c r="F28" i="21"/>
  <c r="AA28" i="21" s="1"/>
  <c r="J28" i="21"/>
  <c r="W28" i="21" s="1"/>
  <c r="H30" i="21"/>
  <c r="AB30" i="21" s="1"/>
  <c r="U30" i="21"/>
  <c r="F30" i="21"/>
  <c r="S30" i="21" s="1"/>
  <c r="J30" i="21"/>
  <c r="AC30" i="21"/>
  <c r="J44" i="21"/>
  <c r="AC44" i="21" s="1"/>
  <c r="H44" i="21"/>
  <c r="U44" i="21"/>
  <c r="F44" i="21"/>
  <c r="H46" i="21"/>
  <c r="U46" i="21" s="1"/>
  <c r="J46" i="21"/>
  <c r="W46" i="21" s="1"/>
  <c r="F46" i="21"/>
  <c r="AA46" i="21"/>
  <c r="G119" i="21"/>
  <c r="H119" i="21" s="1"/>
  <c r="I119" i="21" s="1"/>
  <c r="J119" i="21" s="1"/>
  <c r="K119" i="21" s="1"/>
  <c r="L119" i="21" s="1"/>
  <c r="M119" i="21" s="1"/>
  <c r="H26" i="33"/>
  <c r="U26" i="33"/>
  <c r="H28" i="33"/>
  <c r="AB28" i="33" s="1"/>
  <c r="U28" i="33"/>
  <c r="F28" i="33"/>
  <c r="AA28" i="33"/>
  <c r="J28" i="33"/>
  <c r="AC28" i="33" s="1"/>
  <c r="W28" i="33"/>
  <c r="F33" i="35"/>
  <c r="S33" i="35"/>
  <c r="J33" i="35"/>
  <c r="W33" i="35" s="1"/>
  <c r="AC33" i="35"/>
  <c r="F30" i="35"/>
  <c r="S30" i="35"/>
  <c r="E89" i="35"/>
  <c r="F89" i="35"/>
  <c r="G89" i="35" s="1"/>
  <c r="H89" i="35" s="1"/>
  <c r="I89" i="35" s="1"/>
  <c r="J89" i="35" s="1"/>
  <c r="K89" i="35" s="1"/>
  <c r="L89" i="35" s="1"/>
  <c r="M89" i="35" s="1"/>
  <c r="H10" i="36"/>
  <c r="AB10" i="36" s="1"/>
  <c r="J14" i="36"/>
  <c r="AC14" i="36"/>
  <c r="H14" i="36"/>
  <c r="U14" i="36" s="1"/>
  <c r="F28" i="36"/>
  <c r="AA28" i="36"/>
  <c r="J13" i="21"/>
  <c r="H27" i="21"/>
  <c r="F27" i="21"/>
  <c r="AA27" i="21" s="1"/>
  <c r="H29" i="21"/>
  <c r="U29" i="21"/>
  <c r="J31" i="21"/>
  <c r="AC31" i="21" s="1"/>
  <c r="F31" i="21"/>
  <c r="S31" i="21" s="1"/>
  <c r="J13" i="33"/>
  <c r="AC13" i="33" s="1"/>
  <c r="H13" i="33"/>
  <c r="AB13" i="33"/>
  <c r="F13" i="33"/>
  <c r="AA13" i="33" s="1"/>
  <c r="J31" i="33"/>
  <c r="H31" i="33"/>
  <c r="F31" i="33"/>
  <c r="H45" i="33"/>
  <c r="W45" i="33"/>
  <c r="F14" i="34"/>
  <c r="AA14" i="34" s="1"/>
  <c r="H30" i="34"/>
  <c r="F30" i="34"/>
  <c r="S30" i="34"/>
  <c r="J30" i="34"/>
  <c r="W30" i="34"/>
  <c r="F32" i="34"/>
  <c r="AA32" i="34" s="1"/>
  <c r="H46" i="34"/>
  <c r="F46" i="34"/>
  <c r="J46" i="34"/>
  <c r="W46" i="34" s="1"/>
  <c r="H11" i="35"/>
  <c r="J11" i="35"/>
  <c r="AC11" i="35"/>
  <c r="F11" i="35"/>
  <c r="S11" i="35" s="1"/>
  <c r="J26" i="36"/>
  <c r="W26" i="36"/>
  <c r="H28" i="36"/>
  <c r="U28" i="36" s="1"/>
  <c r="J32" i="36"/>
  <c r="W32" i="36" s="1"/>
  <c r="H11" i="36"/>
  <c r="AB11" i="36" s="1"/>
  <c r="U11" i="36"/>
  <c r="H13" i="36"/>
  <c r="AB13" i="36"/>
  <c r="J13" i="36"/>
  <c r="F13" i="36"/>
  <c r="S13" i="36" s="1"/>
  <c r="J29" i="37"/>
  <c r="W29" i="37"/>
  <c r="F29" i="37"/>
  <c r="S29" i="37" s="1"/>
  <c r="H36" i="37"/>
  <c r="AB36" i="37"/>
  <c r="F107" i="37"/>
  <c r="G107" i="37" s="1"/>
  <c r="H107" i="37" s="1"/>
  <c r="I107" i="37" s="1"/>
  <c r="J107" i="37" s="1"/>
  <c r="K107" i="37" s="1"/>
  <c r="L107" i="37" s="1"/>
  <c r="M107" i="37" s="1"/>
  <c r="J37" i="37"/>
  <c r="AC37" i="37"/>
  <c r="H37" i="37"/>
  <c r="U37" i="37" s="1"/>
  <c r="AC12" i="40"/>
  <c r="F14" i="33"/>
  <c r="AA14" i="33" s="1"/>
  <c r="S14" i="33"/>
  <c r="H30" i="33"/>
  <c r="AB30" i="33"/>
  <c r="F30" i="33"/>
  <c r="AA30" i="33" s="1"/>
  <c r="J30" i="33"/>
  <c r="H44" i="33"/>
  <c r="J44" i="33"/>
  <c r="AC44" i="33"/>
  <c r="S44" i="33"/>
  <c r="J46" i="33"/>
  <c r="AC46" i="33"/>
  <c r="F46" i="33"/>
  <c r="AA46" i="33"/>
  <c r="H46" i="33"/>
  <c r="AB46" i="33"/>
  <c r="J13" i="34"/>
  <c r="J29" i="34"/>
  <c r="W29" i="34" s="1"/>
  <c r="F29" i="34"/>
  <c r="S29" i="34" s="1"/>
  <c r="H29" i="34"/>
  <c r="AB29" i="34"/>
  <c r="J31" i="34"/>
  <c r="AC31" i="34" s="1"/>
  <c r="H31" i="34"/>
  <c r="AB31" i="34" s="1"/>
  <c r="F31" i="34"/>
  <c r="S31" i="34" s="1"/>
  <c r="H45" i="34"/>
  <c r="AB45" i="34" s="1"/>
  <c r="J45" i="34"/>
  <c r="W45" i="34" s="1"/>
  <c r="F45" i="34"/>
  <c r="S45" i="34" s="1"/>
  <c r="H47" i="34"/>
  <c r="U47" i="34" s="1"/>
  <c r="F47" i="34"/>
  <c r="S47" i="34"/>
  <c r="J47" i="34"/>
  <c r="AC47" i="34" s="1"/>
  <c r="F13" i="35"/>
  <c r="J13" i="35"/>
  <c r="H13" i="35"/>
  <c r="U13" i="35" s="1"/>
  <c r="H25" i="35"/>
  <c r="AB25" i="35" s="1"/>
  <c r="AC35" i="35"/>
  <c r="F35" i="35"/>
  <c r="AA35" i="35" s="1"/>
  <c r="H35" i="35"/>
  <c r="J25" i="36"/>
  <c r="F25" i="36"/>
  <c r="S25" i="36" s="1"/>
  <c r="H13" i="37"/>
  <c r="U13" i="37" s="1"/>
  <c r="AB13" i="37"/>
  <c r="F13" i="37"/>
  <c r="S13" i="37" s="1"/>
  <c r="J13" i="37"/>
  <c r="W13" i="37"/>
  <c r="F28" i="37"/>
  <c r="AA28" i="37" s="1"/>
  <c r="J28" i="37"/>
  <c r="AC28" i="37" s="1"/>
  <c r="H38" i="37"/>
  <c r="AB38" i="37"/>
  <c r="J38" i="37"/>
  <c r="AC38" i="37" s="1"/>
  <c r="F38" i="37"/>
  <c r="S38" i="37"/>
  <c r="F43" i="39"/>
  <c r="AA43" i="39" s="1"/>
  <c r="H43" i="39"/>
  <c r="J14" i="39"/>
  <c r="AC14" i="39" s="1"/>
  <c r="F14" i="39"/>
  <c r="S14" i="39" s="1"/>
  <c r="H14" i="39"/>
  <c r="AB14" i="39"/>
  <c r="F12" i="40"/>
  <c r="S12" i="40"/>
  <c r="H12" i="40"/>
  <c r="AB12" i="40"/>
  <c r="H30" i="40"/>
  <c r="AB30" i="40"/>
  <c r="F33" i="40"/>
  <c r="AA33" i="40"/>
  <c r="H33" i="40"/>
  <c r="AB33" i="40" s="1"/>
  <c r="U33" i="40"/>
  <c r="J35" i="40"/>
  <c r="AC35" i="40"/>
  <c r="J37" i="40"/>
  <c r="AC37" i="40"/>
  <c r="F27" i="37"/>
  <c r="AA27" i="37"/>
  <c r="F13" i="39"/>
  <c r="S13" i="39" s="1"/>
  <c r="J27" i="37"/>
  <c r="AC27" i="37" s="1"/>
  <c r="AA44" i="33"/>
  <c r="U46" i="33"/>
  <c r="J36" i="37"/>
  <c r="AC36" i="37"/>
  <c r="J10" i="36"/>
  <c r="W10" i="36" s="1"/>
  <c r="AC10" i="36"/>
  <c r="AB26" i="33"/>
  <c r="W31" i="34"/>
  <c r="AC13" i="36"/>
  <c r="W13" i="36"/>
  <c r="W11" i="35"/>
  <c r="AC30" i="34"/>
  <c r="AB31" i="33"/>
  <c r="U31" i="33"/>
  <c r="U13" i="33"/>
  <c r="AC28" i="21"/>
  <c r="S44" i="34"/>
  <c r="F17" i="21"/>
  <c r="AA17" i="21"/>
  <c r="H17" i="21"/>
  <c r="F15" i="21"/>
  <c r="S15" i="21"/>
  <c r="J41" i="39"/>
  <c r="W41" i="39" s="1"/>
  <c r="W44" i="39"/>
  <c r="G544" i="3"/>
  <c r="G527" i="3"/>
  <c r="G523" i="3"/>
  <c r="G510" i="3"/>
  <c r="G500" i="3"/>
  <c r="G496" i="3"/>
  <c r="G576" i="3"/>
  <c r="G572" i="3"/>
  <c r="G560" i="3"/>
  <c r="G550" i="3"/>
  <c r="BL576" i="3"/>
  <c r="BL572" i="3"/>
  <c r="BL542" i="3"/>
  <c r="BL516" i="3"/>
  <c r="BL574" i="3"/>
  <c r="BL566" i="3"/>
  <c r="BL540" i="3"/>
  <c r="BL524" i="3"/>
  <c r="BA584" i="3"/>
  <c r="BA570" i="3"/>
  <c r="BA568" i="3"/>
  <c r="BA566" i="3"/>
  <c r="BA564" i="3"/>
  <c r="BA558" i="3"/>
  <c r="BA538" i="3"/>
  <c r="AZ538" i="3" s="1"/>
  <c r="BA526" i="3"/>
  <c r="BA520" i="3"/>
  <c r="BA514" i="3"/>
  <c r="AZ514" i="3" s="1"/>
  <c r="BA506" i="3"/>
  <c r="BA498" i="3"/>
  <c r="AZ498" i="3" s="1"/>
  <c r="BA587" i="3"/>
  <c r="BA575" i="3"/>
  <c r="BA573" i="3"/>
  <c r="AZ573" i="3" s="1"/>
  <c r="BA567" i="3"/>
  <c r="BA565" i="3"/>
  <c r="BA553" i="3"/>
  <c r="AZ553" i="3" s="1"/>
  <c r="BA539" i="3"/>
  <c r="BA529" i="3"/>
  <c r="BA517" i="3"/>
  <c r="BA503" i="3"/>
  <c r="AZ503" i="3" s="1"/>
  <c r="BA493" i="3"/>
  <c r="G579" i="3"/>
  <c r="G577" i="3"/>
  <c r="G573" i="3"/>
  <c r="G569" i="3"/>
  <c r="G567" i="3"/>
  <c r="G563" i="3"/>
  <c r="G561" i="3"/>
  <c r="BA557" i="3"/>
  <c r="AZ557" i="3" s="1"/>
  <c r="AC557" i="3"/>
  <c r="BQ557" i="3"/>
  <c r="BL557" i="3"/>
  <c r="BQ583" i="3"/>
  <c r="BQ581" i="3"/>
  <c r="BL581" i="3"/>
  <c r="BQ579" i="3"/>
  <c r="BQ577" i="3"/>
  <c r="BQ575" i="3"/>
  <c r="BQ573" i="3"/>
  <c r="BL573" i="3" s="1"/>
  <c r="BQ571" i="3"/>
  <c r="BL571" i="3"/>
  <c r="BQ569" i="3"/>
  <c r="BQ567" i="3"/>
  <c r="BL567" i="3" s="1"/>
  <c r="BQ565" i="3"/>
  <c r="BQ563" i="3"/>
  <c r="BQ561" i="3"/>
  <c r="BL561" i="3"/>
  <c r="BQ559" i="3"/>
  <c r="G555" i="3"/>
  <c r="G553" i="3"/>
  <c r="G543" i="3"/>
  <c r="G541" i="3"/>
  <c r="BQ555" i="3"/>
  <c r="BL555" i="3"/>
  <c r="BQ553" i="3"/>
  <c r="BQ551" i="3"/>
  <c r="BL551" i="3"/>
  <c r="BQ549" i="3"/>
  <c r="BQ547" i="3"/>
  <c r="BQ545" i="3"/>
  <c r="BQ543" i="3"/>
  <c r="BL543" i="3"/>
  <c r="BQ541" i="3"/>
  <c r="BQ539" i="3"/>
  <c r="BQ537" i="3"/>
  <c r="BL537" i="3"/>
  <c r="BQ535" i="3"/>
  <c r="BQ533" i="3"/>
  <c r="BQ531" i="3"/>
  <c r="BQ529" i="3"/>
  <c r="BQ527" i="3"/>
  <c r="BL527" i="3"/>
  <c r="BQ525" i="3"/>
  <c r="BQ523" i="3"/>
  <c r="AC521" i="3"/>
  <c r="BQ521" i="3"/>
  <c r="BL521" i="3"/>
  <c r="G519" i="3"/>
  <c r="G517" i="3"/>
  <c r="G513" i="3"/>
  <c r="G511" i="3"/>
  <c r="BQ519" i="3"/>
  <c r="BQ517" i="3"/>
  <c r="BQ515" i="3"/>
  <c r="BQ513" i="3"/>
  <c r="BQ511" i="3"/>
  <c r="AC509" i="3"/>
  <c r="G509" i="3" s="1"/>
  <c r="BQ509" i="3"/>
  <c r="G505" i="3"/>
  <c r="G503" i="3"/>
  <c r="G497" i="3"/>
  <c r="G495" i="3"/>
  <c r="BQ507" i="3"/>
  <c r="BQ505" i="3"/>
  <c r="BL505" i="3"/>
  <c r="BQ503" i="3"/>
  <c r="BQ501" i="3"/>
  <c r="BQ499" i="3"/>
  <c r="BQ497" i="3"/>
  <c r="BQ495" i="3"/>
  <c r="BQ493" i="3"/>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c r="J25" i="21"/>
  <c r="AC25" i="21" s="1"/>
  <c r="E125" i="33"/>
  <c r="F125" i="33" s="1"/>
  <c r="G125" i="33" s="1"/>
  <c r="H43" i="33"/>
  <c r="AB43" i="33" s="1"/>
  <c r="H17" i="37"/>
  <c r="AB17" i="37" s="1"/>
  <c r="AB27" i="37"/>
  <c r="F39" i="33"/>
  <c r="S39" i="33" s="1"/>
  <c r="F42" i="33"/>
  <c r="AA42" i="33"/>
  <c r="H28" i="34"/>
  <c r="AB28" i="34" s="1"/>
  <c r="F14" i="36"/>
  <c r="S14" i="36" s="1"/>
  <c r="F22" i="36"/>
  <c r="S22" i="36" s="1"/>
  <c r="F26" i="36"/>
  <c r="AA26" i="36" s="1"/>
  <c r="H27" i="34"/>
  <c r="H35" i="34"/>
  <c r="U35" i="34"/>
  <c r="F41" i="34"/>
  <c r="S41" i="34" s="1"/>
  <c r="H41" i="34"/>
  <c r="U41" i="34"/>
  <c r="J41" i="34"/>
  <c r="F10" i="35"/>
  <c r="S10" i="35" s="1"/>
  <c r="F24" i="35"/>
  <c r="AA24" i="35" s="1"/>
  <c r="H24" i="35"/>
  <c r="U24" i="35" s="1"/>
  <c r="H23" i="37"/>
  <c r="AB23" i="37" s="1"/>
  <c r="J32" i="37"/>
  <c r="AC32" i="37"/>
  <c r="F36" i="37"/>
  <c r="AA36" i="37" s="1"/>
  <c r="F37" i="37"/>
  <c r="S37" i="37" s="1"/>
  <c r="AA37" i="37"/>
  <c r="F31" i="40"/>
  <c r="AA31" i="40" s="1"/>
  <c r="H31" i="40"/>
  <c r="U31" i="40" s="1"/>
  <c r="F32" i="40"/>
  <c r="H32" i="40"/>
  <c r="U32" i="40" s="1"/>
  <c r="J36" i="40"/>
  <c r="W36" i="40" s="1"/>
  <c r="H19" i="37"/>
  <c r="U19" i="37" s="1"/>
  <c r="H42" i="33"/>
  <c r="AB42" i="33"/>
  <c r="J43" i="33"/>
  <c r="AC43" i="33" s="1"/>
  <c r="U43" i="33"/>
  <c r="S28" i="31"/>
  <c r="S27" i="31"/>
  <c r="S26" i="31"/>
  <c r="AC33" i="36"/>
  <c r="W23" i="35"/>
  <c r="U33" i="37"/>
  <c r="AC8" i="37"/>
  <c r="AB37" i="34"/>
  <c r="AC36" i="34"/>
  <c r="AC45" i="33"/>
  <c r="W44" i="33"/>
  <c r="U19" i="21"/>
  <c r="W44" i="21"/>
  <c r="U26" i="21"/>
  <c r="AB38" i="21"/>
  <c r="F43" i="33"/>
  <c r="S43" i="33" s="1"/>
  <c r="W15" i="34"/>
  <c r="AC15" i="34"/>
  <c r="W16" i="35"/>
  <c r="H37" i="21"/>
  <c r="U37" i="21" s="1"/>
  <c r="S42" i="21"/>
  <c r="H19" i="34"/>
  <c r="AB19" i="34" s="1"/>
  <c r="F36" i="35"/>
  <c r="S36" i="35"/>
  <c r="J9" i="37"/>
  <c r="W9" i="37" s="1"/>
  <c r="F9" i="37"/>
  <c r="S9" i="37" s="1"/>
  <c r="H12" i="37"/>
  <c r="U12" i="37" s="1"/>
  <c r="AB12" i="37"/>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AC15" i="37" s="1"/>
  <c r="AT6" i="3"/>
  <c r="H5" i="3"/>
  <c r="AA25" i="21"/>
  <c r="C12" i="43"/>
  <c r="H19" i="40"/>
  <c r="U19" i="40"/>
  <c r="F88" i="40"/>
  <c r="G88" i="40" s="1"/>
  <c r="F19" i="40"/>
  <c r="S19" i="40"/>
  <c r="S14" i="40"/>
  <c r="W23" i="39"/>
  <c r="AC43" i="39"/>
  <c r="W43" i="39"/>
  <c r="AB44" i="39"/>
  <c r="U44" i="39"/>
  <c r="H37" i="39"/>
  <c r="U37" i="39" s="1"/>
  <c r="AC37" i="39"/>
  <c r="H25" i="39"/>
  <c r="AB25" i="39" s="1"/>
  <c r="J25" i="39"/>
  <c r="AC25" i="39" s="1"/>
  <c r="F25" i="39"/>
  <c r="AA25" i="39" s="1"/>
  <c r="F15" i="39"/>
  <c r="H15" i="39"/>
  <c r="U15" i="39" s="1"/>
  <c r="J15" i="39"/>
  <c r="W15" i="39" s="1"/>
  <c r="H41" i="39"/>
  <c r="AB41" i="39" s="1"/>
  <c r="W27" i="39"/>
  <c r="AB34"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AA11" i="39"/>
  <c r="A12" i="52"/>
  <c r="B56" i="72" s="1"/>
  <c r="S11" i="39"/>
  <c r="G4" i="4"/>
  <c r="I4" i="4"/>
  <c r="A2" i="9"/>
  <c r="F59" i="43"/>
  <c r="H62" i="43" s="1"/>
  <c r="AZ24" i="3"/>
  <c r="BL549"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AZ360" i="3" s="1"/>
  <c r="BL360" i="3"/>
  <c r="G361" i="3"/>
  <c r="BA362" i="3"/>
  <c r="AZ362" i="3"/>
  <c r="G370" i="3"/>
  <c r="BL371" i="3"/>
  <c r="G372" i="3"/>
  <c r="BL373" i="3"/>
  <c r="BA375" i="3"/>
  <c r="BA376" i="3"/>
  <c r="BL376" i="3"/>
  <c r="AZ376" i="3" s="1"/>
  <c r="G377" i="3"/>
  <c r="BA378" i="3"/>
  <c r="BL378" i="3"/>
  <c r="AZ378" i="3" s="1"/>
  <c r="G379" i="3"/>
  <c r="BA380" i="3"/>
  <c r="G388" i="3"/>
  <c r="BL389" i="3"/>
  <c r="G390" i="3"/>
  <c r="BL391" i="3"/>
  <c r="BA393" i="3"/>
  <c r="AZ393" i="3"/>
  <c r="BA394" i="3"/>
  <c r="AZ394" i="3" s="1"/>
  <c r="BL394" i="3"/>
  <c r="G113" i="3"/>
  <c r="BA115" i="3"/>
  <c r="AZ115" i="3"/>
  <c r="BL116" i="3"/>
  <c r="G117" i="3"/>
  <c r="BA119" i="3"/>
  <c r="AZ119" i="3" s="1"/>
  <c r="BL120" i="3"/>
  <c r="G121" i="3"/>
  <c r="BA123" i="3"/>
  <c r="BL124" i="3"/>
  <c r="AZ124" i="3" s="1"/>
  <c r="G125" i="3"/>
  <c r="BA127" i="3"/>
  <c r="AZ127" i="3"/>
  <c r="BL128" i="3"/>
  <c r="AZ128" i="3" s="1"/>
  <c r="G129" i="3"/>
  <c r="BA131" i="3"/>
  <c r="AZ131" i="3"/>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BL156" i="3"/>
  <c r="AZ156" i="3" s="1"/>
  <c r="G157" i="3"/>
  <c r="BA159" i="3"/>
  <c r="AZ159" i="3"/>
  <c r="BL160" i="3"/>
  <c r="G161" i="3"/>
  <c r="BA163" i="3"/>
  <c r="AZ163" i="3"/>
  <c r="BL164" i="3"/>
  <c r="AZ164" i="3"/>
  <c r="G165" i="3"/>
  <c r="BA167" i="3"/>
  <c r="AZ167" i="3" s="1"/>
  <c r="BL168" i="3"/>
  <c r="G169" i="3"/>
  <c r="BA171" i="3"/>
  <c r="BL172" i="3"/>
  <c r="AZ172" i="3" s="1"/>
  <c r="G173" i="3"/>
  <c r="BA175" i="3"/>
  <c r="AZ175" i="3" s="1"/>
  <c r="BL176" i="3"/>
  <c r="G177" i="3"/>
  <c r="BA179" i="3"/>
  <c r="AZ179" i="3" s="1"/>
  <c r="BL180" i="3"/>
  <c r="AZ180" i="3"/>
  <c r="G181" i="3"/>
  <c r="BA183" i="3"/>
  <c r="AZ183" i="3" s="1"/>
  <c r="BL184" i="3"/>
  <c r="G185" i="3"/>
  <c r="BA187" i="3"/>
  <c r="AZ187" i="3" s="1"/>
  <c r="BL188" i="3"/>
  <c r="AZ188" i="3"/>
  <c r="G189" i="3"/>
  <c r="BA191" i="3"/>
  <c r="AZ191" i="3"/>
  <c r="BL192" i="3"/>
  <c r="AZ192" i="3" s="1"/>
  <c r="G193" i="3"/>
  <c r="BA195" i="3"/>
  <c r="AZ195" i="3"/>
  <c r="BL196" i="3"/>
  <c r="G197" i="3"/>
  <c r="BA199" i="3"/>
  <c r="AZ199" i="3"/>
  <c r="BL200" i="3"/>
  <c r="G201" i="3"/>
  <c r="BA203" i="3"/>
  <c r="BL204" i="3"/>
  <c r="AZ204" i="3" s="1"/>
  <c r="AZ39" i="3"/>
  <c r="AZ43" i="3"/>
  <c r="AZ59" i="3"/>
  <c r="AZ67" i="3"/>
  <c r="AZ75" i="3"/>
  <c r="AZ79" i="3"/>
  <c r="AZ83" i="3"/>
  <c r="AZ144" i="3"/>
  <c r="AZ152" i="3"/>
  <c r="AZ168" i="3"/>
  <c r="AZ184" i="3"/>
  <c r="AZ93" i="3"/>
  <c r="AZ97" i="3"/>
  <c r="AZ109" i="3"/>
  <c r="G534" i="3"/>
  <c r="G522" i="3"/>
  <c r="G516" i="3"/>
  <c r="G498" i="3"/>
  <c r="G494" i="3"/>
  <c r="G16" i="3"/>
  <c r="G15" i="3"/>
  <c r="BA304" i="3"/>
  <c r="AZ304" i="3" s="1"/>
  <c r="BA305" i="3"/>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AZ382" i="3" s="1"/>
  <c r="BL382" i="3"/>
  <c r="G383" i="3"/>
  <c r="G386" i="3"/>
  <c r="BL387" i="3"/>
  <c r="BA389" i="3"/>
  <c r="BA390" i="3"/>
  <c r="BL390" i="3"/>
  <c r="G391" i="3"/>
  <c r="G394" i="3"/>
  <c r="AZ142" i="3"/>
  <c r="AZ150" i="3"/>
  <c r="AZ154" i="3"/>
  <c r="AZ162" i="3"/>
  <c r="AZ178" i="3"/>
  <c r="AZ190" i="3"/>
  <c r="AZ198" i="3"/>
  <c r="AZ206" i="3"/>
  <c r="BL303" i="3"/>
  <c r="AZ303" i="3" s="1"/>
  <c r="G304" i="3"/>
  <c r="BA306" i="3"/>
  <c r="AZ306" i="3"/>
  <c r="BL307" i="3"/>
  <c r="AZ307" i="3" s="1"/>
  <c r="G308" i="3"/>
  <c r="BA310" i="3"/>
  <c r="AZ310" i="3" s="1"/>
  <c r="BL311" i="3"/>
  <c r="AZ311" i="3" s="1"/>
  <c r="G312" i="3"/>
  <c r="BA314" i="3"/>
  <c r="AZ314" i="3" s="1"/>
  <c r="BL315" i="3"/>
  <c r="AZ315" i="3"/>
  <c r="G316" i="3"/>
  <c r="BA318" i="3"/>
  <c r="AZ318" i="3" s="1"/>
  <c r="BL319" i="3"/>
  <c r="AZ319" i="3" s="1"/>
  <c r="G320" i="3"/>
  <c r="BA322" i="3"/>
  <c r="AZ322" i="3" s="1"/>
  <c r="BL323" i="3"/>
  <c r="AZ323" i="3" s="1"/>
  <c r="G324" i="3"/>
  <c r="BA326" i="3"/>
  <c r="AZ326" i="3"/>
  <c r="BL327" i="3"/>
  <c r="G328" i="3"/>
  <c r="BA330" i="3"/>
  <c r="BL331" i="3"/>
  <c r="AZ331" i="3" s="1"/>
  <c r="G332" i="3"/>
  <c r="BA334" i="3"/>
  <c r="AZ334" i="3" s="1"/>
  <c r="BL335" i="3"/>
  <c r="G336" i="3"/>
  <c r="BA338" i="3"/>
  <c r="AZ338" i="3" s="1"/>
  <c r="BL339" i="3"/>
  <c r="AZ339" i="3"/>
  <c r="G340" i="3"/>
  <c r="BL343" i="3"/>
  <c r="G344" i="3"/>
  <c r="G348" i="3"/>
  <c r="G355" i="3"/>
  <c r="AZ214" i="3"/>
  <c r="AZ222" i="3"/>
  <c r="AZ335" i="3"/>
  <c r="G342" i="3"/>
  <c r="BL345" i="3"/>
  <c r="AZ345" i="3" s="1"/>
  <c r="G346" i="3"/>
  <c r="BL349" i="3"/>
  <c r="AZ349" i="3" s="1"/>
  <c r="BL352" i="3"/>
  <c r="AZ352" i="3" s="1"/>
  <c r="G353" i="3"/>
  <c r="BA357" i="3"/>
  <c r="BL358" i="3"/>
  <c r="G359" i="3"/>
  <c r="BA361" i="3"/>
  <c r="AZ361" i="3"/>
  <c r="BL362" i="3"/>
  <c r="G363" i="3"/>
  <c r="BA365" i="3"/>
  <c r="BL366" i="3"/>
  <c r="AZ366" i="3" s="1"/>
  <c r="G367" i="3"/>
  <c r="BA369" i="3"/>
  <c r="AZ369" i="3" s="1"/>
  <c r="BL370" i="3"/>
  <c r="G371" i="3"/>
  <c r="BA373" i="3"/>
  <c r="AZ373" i="3" s="1"/>
  <c r="BL374" i="3"/>
  <c r="AZ374" i="3" s="1"/>
  <c r="G375" i="3"/>
  <c r="BA377" i="3"/>
  <c r="AZ377" i="3" s="1"/>
  <c r="AZ229" i="3"/>
  <c r="AZ233" i="3"/>
  <c r="AZ237" i="3"/>
  <c r="AZ241" i="3"/>
  <c r="AZ261" i="3"/>
  <c r="AZ269" i="3"/>
  <c r="BA379" i="3"/>
  <c r="AZ379" i="3" s="1"/>
  <c r="BL380" i="3"/>
  <c r="AZ380" i="3" s="1"/>
  <c r="G381" i="3"/>
  <c r="BA383" i="3"/>
  <c r="AZ383" i="3" s="1"/>
  <c r="BL384" i="3"/>
  <c r="G385" i="3"/>
  <c r="BA387" i="3"/>
  <c r="AZ387" i="3" s="1"/>
  <c r="BL388" i="3"/>
  <c r="G389" i="3"/>
  <c r="BA391" i="3"/>
  <c r="AZ391" i="3" s="1"/>
  <c r="BL392" i="3"/>
  <c r="G393" i="3"/>
  <c r="AZ275" i="3"/>
  <c r="AZ287" i="3"/>
  <c r="AZ291" i="3"/>
  <c r="BM5" i="3"/>
  <c r="BJ5" i="3"/>
  <c r="AZ309" i="3"/>
  <c r="AZ317" i="3"/>
  <c r="AZ325" i="3"/>
  <c r="AZ341" i="3"/>
  <c r="AC5" i="3"/>
  <c r="G548" i="3"/>
  <c r="G538" i="3"/>
  <c r="G502" i="3"/>
  <c r="BS5" i="3"/>
  <c r="BP5" i="3"/>
  <c r="BI5" i="3"/>
  <c r="BG5" i="3"/>
  <c r="G17" i="3"/>
  <c r="BA17" i="3"/>
  <c r="AZ17" i="3" s="1"/>
  <c r="AZ350" i="3"/>
  <c r="AZ356" i="3"/>
  <c r="AZ364" i="3"/>
  <c r="BR5" i="3"/>
  <c r="AZ388" i="3"/>
  <c r="AZ392" i="3"/>
  <c r="BL493" i="3"/>
  <c r="AZ493" i="3"/>
  <c r="U36" i="40"/>
  <c r="F36" i="43"/>
  <c r="F81" i="43"/>
  <c r="H113" i="43"/>
  <c r="F48" i="43"/>
  <c r="F70" i="43"/>
  <c r="H73" i="43" s="1"/>
  <c r="M11" i="43"/>
  <c r="D17" i="43"/>
  <c r="F39" i="43"/>
  <c r="I17" i="43"/>
  <c r="F35" i="43"/>
  <c r="J17" i="43"/>
  <c r="F6" i="1"/>
  <c r="S14" i="35"/>
  <c r="U43" i="21"/>
  <c r="U35" i="21"/>
  <c r="U10" i="21"/>
  <c r="G8" i="1"/>
  <c r="G9" i="1"/>
  <c r="G10" i="1"/>
  <c r="AC11" i="39"/>
  <c r="W37" i="37"/>
  <c r="W44" i="34"/>
  <c r="AC44" i="34"/>
  <c r="S15" i="37"/>
  <c r="U12" i="40"/>
  <c r="AA12" i="40"/>
  <c r="J37" i="33"/>
  <c r="W37" i="33" s="1"/>
  <c r="F106" i="33"/>
  <c r="G106" i="33" s="1"/>
  <c r="H106" i="33" s="1"/>
  <c r="I106" i="33" s="1"/>
  <c r="J106" i="33" s="1"/>
  <c r="K106" i="33" s="1"/>
  <c r="L106" i="33" s="1"/>
  <c r="M106" i="33" s="1"/>
  <c r="J34" i="33"/>
  <c r="W34" i="33"/>
  <c r="F33" i="34"/>
  <c r="S33" i="34"/>
  <c r="AC12" i="36"/>
  <c r="H20" i="36"/>
  <c r="U20" i="36"/>
  <c r="J20" i="36"/>
  <c r="AC20" i="36" s="1"/>
  <c r="W20" i="36"/>
  <c r="J27" i="36"/>
  <c r="AC27" i="36" s="1"/>
  <c r="AB25" i="37"/>
  <c r="AC33" i="40"/>
  <c r="F111" i="40"/>
  <c r="G111" i="40" s="1"/>
  <c r="H111" i="40" s="1"/>
  <c r="I111" i="40" s="1"/>
  <c r="J111" i="40" s="1"/>
  <c r="K111" i="40" s="1"/>
  <c r="L111" i="40" s="1"/>
  <c r="M111" i="40" s="1"/>
  <c r="H35" i="40"/>
  <c r="AB35" i="40"/>
  <c r="AC29" i="35"/>
  <c r="H35" i="37"/>
  <c r="U35" i="37" s="1"/>
  <c r="AC14" i="35"/>
  <c r="H20" i="35"/>
  <c r="U20" i="35"/>
  <c r="F20" i="35"/>
  <c r="S20" i="35" s="1"/>
  <c r="AA20" i="35"/>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S43" i="34" s="1"/>
  <c r="AA43" i="34"/>
  <c r="H44" i="34"/>
  <c r="AB44" i="34"/>
  <c r="AC38" i="39"/>
  <c r="F39" i="39"/>
  <c r="S39" i="39" s="1"/>
  <c r="J39" i="39"/>
  <c r="AC39" i="39" s="1"/>
  <c r="E96" i="39"/>
  <c r="F96" i="39" s="1"/>
  <c r="G96" i="39" s="1"/>
  <c r="AZ353" i="3"/>
  <c r="AZ354" i="3"/>
  <c r="AZ386" i="3"/>
  <c r="C40" i="11"/>
  <c r="AZ227" i="3"/>
  <c r="AZ232" i="3"/>
  <c r="AZ248" i="3"/>
  <c r="AZ251" i="3"/>
  <c r="AZ259" i="3"/>
  <c r="AZ280" i="3"/>
  <c r="AZ114" i="3"/>
  <c r="AZ130" i="3"/>
  <c r="AZ21" i="3"/>
  <c r="AZ29" i="3"/>
  <c r="AZ31" i="3"/>
  <c r="AZ33" i="3"/>
  <c r="AZ50" i="3"/>
  <c r="AZ72" i="3"/>
  <c r="AZ74" i="3"/>
  <c r="AZ77" i="3"/>
  <c r="AZ82" i="3"/>
  <c r="I20" i="43"/>
  <c r="F23" i="39"/>
  <c r="AA23" i="39" s="1"/>
  <c r="H27" i="36"/>
  <c r="U27" i="36" s="1"/>
  <c r="F27" i="36"/>
  <c r="S27" i="36" s="1"/>
  <c r="AA27" i="36"/>
  <c r="H33" i="34"/>
  <c r="F32" i="37"/>
  <c r="AA32" i="37"/>
  <c r="G96" i="37"/>
  <c r="H96" i="37" s="1"/>
  <c r="I96" i="37" s="1"/>
  <c r="J96" i="37" s="1"/>
  <c r="K96" i="37" s="1"/>
  <c r="L96" i="37" s="1"/>
  <c r="M96" i="37" s="1"/>
  <c r="F20" i="36"/>
  <c r="AA20" i="36" s="1"/>
  <c r="J33" i="34"/>
  <c r="AC33" i="34"/>
  <c r="H23" i="39"/>
  <c r="U23" i="39" s="1"/>
  <c r="D48" i="9"/>
  <c r="M52" i="9" s="1"/>
  <c r="H82" i="43"/>
  <c r="H87" i="43"/>
  <c r="K9" i="1"/>
  <c r="M9" i="1" s="1"/>
  <c r="AE9" i="1"/>
  <c r="D93" i="9"/>
  <c r="K6" i="1"/>
  <c r="AC26" i="33"/>
  <c r="W26" i="33"/>
  <c r="W27" i="34"/>
  <c r="AC27" i="34"/>
  <c r="AB34" i="36"/>
  <c r="U34" i="36"/>
  <c r="AB33" i="36"/>
  <c r="U33" i="36"/>
  <c r="AC12" i="39"/>
  <c r="W12" i="39"/>
  <c r="AC39" i="40"/>
  <c r="W39" i="40"/>
  <c r="W12" i="33"/>
  <c r="AZ437" i="3"/>
  <c r="AZ473" i="3"/>
  <c r="AZ490" i="3"/>
  <c r="AA39" i="34"/>
  <c r="BL14" i="3"/>
  <c r="AZ266" i="3"/>
  <c r="U30" i="33"/>
  <c r="AA47" i="34"/>
  <c r="W28" i="37"/>
  <c r="F12" i="33"/>
  <c r="H12" i="39"/>
  <c r="AB12" i="39"/>
  <c r="AZ367" i="3"/>
  <c r="AZ213" i="3"/>
  <c r="AZ224" i="3"/>
  <c r="AZ254" i="3"/>
  <c r="AZ297" i="3"/>
  <c r="AZ157" i="3"/>
  <c r="AZ165" i="3"/>
  <c r="AZ173" i="3"/>
  <c r="AZ181" i="3"/>
  <c r="AZ19" i="3"/>
  <c r="S12" i="1"/>
  <c r="AQ12" i="1" s="1"/>
  <c r="R12" i="1"/>
  <c r="B12" i="1"/>
  <c r="E12" i="1" s="1"/>
  <c r="S10" i="1"/>
  <c r="AQ10" i="1" s="1"/>
  <c r="R10" i="1"/>
  <c r="B10" i="1"/>
  <c r="E10" i="1" s="1"/>
  <c r="AZ80" i="3"/>
  <c r="AZ111" i="3"/>
  <c r="K12" i="1"/>
  <c r="M12" i="1" s="1"/>
  <c r="S13" i="1"/>
  <c r="AR13" i="1" s="1"/>
  <c r="R13" i="1"/>
  <c r="S11" i="1"/>
  <c r="AQ11" i="1" s="1"/>
  <c r="R11" i="1"/>
  <c r="S9" i="1"/>
  <c r="AR9" i="1" s="1"/>
  <c r="R9" i="1"/>
  <c r="J51" i="67"/>
  <c r="C42" i="1"/>
  <c r="H100" i="43"/>
  <c r="AC34" i="33"/>
  <c r="AA34" i="33"/>
  <c r="B41" i="1"/>
  <c r="F48" i="9" s="1"/>
  <c r="O52" i="9" s="1"/>
  <c r="J100" i="43"/>
  <c r="U35" i="40"/>
  <c r="AC36" i="40"/>
  <c r="W38" i="40"/>
  <c r="S17" i="40"/>
  <c r="S23" i="40"/>
  <c r="AC17" i="40"/>
  <c r="AB27" i="40"/>
  <c r="AA19" i="40"/>
  <c r="S28" i="40"/>
  <c r="AA27" i="40"/>
  <c r="AB19" i="40"/>
  <c r="S43" i="39"/>
  <c r="S37" i="39"/>
  <c r="F32" i="39"/>
  <c r="F106" i="39"/>
  <c r="G106" i="39" s="1"/>
  <c r="H106" i="39" s="1"/>
  <c r="I106" i="39" s="1"/>
  <c r="J106" i="39" s="1"/>
  <c r="K106" i="39" s="1"/>
  <c r="L106" i="39" s="1"/>
  <c r="M106" i="39" s="1"/>
  <c r="U25" i="39"/>
  <c r="AB27" i="39"/>
  <c r="J21" i="39"/>
  <c r="W21" i="39" s="1"/>
  <c r="F21" i="39"/>
  <c r="S21" i="39" s="1"/>
  <c r="G94" i="39"/>
  <c r="H21" i="39"/>
  <c r="W19" i="39"/>
  <c r="U19" i="39"/>
  <c r="S17" i="39"/>
  <c r="AA12" i="39"/>
  <c r="U14" i="39"/>
  <c r="U12" i="39"/>
  <c r="S23" i="36"/>
  <c r="U13" i="36"/>
  <c r="AB27" i="36"/>
  <c r="U26" i="36"/>
  <c r="S33" i="36"/>
  <c r="AA34" i="36"/>
  <c r="S29" i="36"/>
  <c r="AC26" i="36"/>
  <c r="AA22" i="36"/>
  <c r="W14" i="36"/>
  <c r="AB14" i="36"/>
  <c r="U22" i="36"/>
  <c r="S16" i="36"/>
  <c r="AA25" i="36"/>
  <c r="U23" i="36"/>
  <c r="AB20" i="36"/>
  <c r="U16" i="36"/>
  <c r="U10" i="36"/>
  <c r="W24" i="35"/>
  <c r="AB13" i="35"/>
  <c r="U29" i="35"/>
  <c r="U28" i="35"/>
  <c r="AB27" i="35"/>
  <c r="U36" i="35"/>
  <c r="U32" i="35"/>
  <c r="AA33" i="35"/>
  <c r="AC30" i="35"/>
  <c r="S32" i="35"/>
  <c r="AA36" i="35"/>
  <c r="W32" i="35"/>
  <c r="S28" i="35"/>
  <c r="AB16" i="35"/>
  <c r="S22" i="35"/>
  <c r="U14" i="35"/>
  <c r="AB10" i="35"/>
  <c r="AA11" i="35"/>
  <c r="AC9" i="35"/>
  <c r="W9" i="35"/>
  <c r="AC12" i="35"/>
  <c r="F9" i="35"/>
  <c r="AA9" i="35" s="1"/>
  <c r="H9" i="35"/>
  <c r="AB9" i="35" s="1"/>
  <c r="F26" i="35"/>
  <c r="AA26" i="35" s="1"/>
  <c r="J26" i="35"/>
  <c r="AC26" i="35" s="1"/>
  <c r="H26" i="35"/>
  <c r="AB26" i="35" s="1"/>
  <c r="S25" i="37"/>
  <c r="AC9" i="37"/>
  <c r="AC29" i="37"/>
  <c r="U29" i="37"/>
  <c r="S32" i="37"/>
  <c r="AB31" i="37"/>
  <c r="W30" i="37"/>
  <c r="AA38" i="37"/>
  <c r="U32" i="37"/>
  <c r="W38" i="37"/>
  <c r="AC35" i="37"/>
  <c r="S30" i="37"/>
  <c r="J17" i="37"/>
  <c r="W17" i="37"/>
  <c r="F17" i="37"/>
  <c r="AA17" i="37" s="1"/>
  <c r="F19" i="37"/>
  <c r="AA19" i="37" s="1"/>
  <c r="F79" i="37"/>
  <c r="G79" i="37" s="1"/>
  <c r="F23" i="37"/>
  <c r="U23" i="37"/>
  <c r="U15" i="37"/>
  <c r="AC13" i="37"/>
  <c r="AA9" i="37"/>
  <c r="H10" i="37"/>
  <c r="H60" i="37"/>
  <c r="I60" i="37" s="1"/>
  <c r="F11" i="37"/>
  <c r="S11" i="37" s="1"/>
  <c r="S27" i="34"/>
  <c r="AB8" i="34"/>
  <c r="AA33" i="34"/>
  <c r="U44" i="34"/>
  <c r="AC39" i="34"/>
  <c r="AC42" i="34"/>
  <c r="AB35" i="34"/>
  <c r="U39" i="34"/>
  <c r="AB41" i="34"/>
  <c r="AA45" i="34"/>
  <c r="W34" i="34"/>
  <c r="AA29" i="34"/>
  <c r="S23" i="34"/>
  <c r="U15" i="34"/>
  <c r="S10" i="34"/>
  <c r="H67" i="34"/>
  <c r="I67" i="34" s="1"/>
  <c r="H10" i="34"/>
  <c r="F11" i="34"/>
  <c r="S11" i="34" s="1"/>
  <c r="W42" i="33"/>
  <c r="AA35" i="33"/>
  <c r="S32" i="33"/>
  <c r="W38" i="33"/>
  <c r="H41" i="33"/>
  <c r="U41" i="33" s="1"/>
  <c r="U42" i="33"/>
  <c r="S42" i="33"/>
  <c r="F36" i="33"/>
  <c r="G111" i="33"/>
  <c r="H111" i="33" s="1"/>
  <c r="I111" i="33" s="1"/>
  <c r="J111" i="33" s="1"/>
  <c r="K111" i="33" s="1"/>
  <c r="G108" i="33"/>
  <c r="H108" i="33" s="1"/>
  <c r="I108" i="33" s="1"/>
  <c r="J108" i="33" s="1"/>
  <c r="K108" i="33" s="1"/>
  <c r="L108" i="33"/>
  <c r="M108" i="33" s="1"/>
  <c r="J35" i="33"/>
  <c r="S37" i="33"/>
  <c r="AA37" i="33"/>
  <c r="F101" i="33"/>
  <c r="G101" i="33" s="1"/>
  <c r="H101" i="33" s="1"/>
  <c r="I101" i="33" s="1"/>
  <c r="J101" i="33" s="1"/>
  <c r="K101" i="33"/>
  <c r="L101" i="33" s="1"/>
  <c r="M101" i="33" s="1"/>
  <c r="J32" i="33"/>
  <c r="AC32" i="33" s="1"/>
  <c r="S46" i="33"/>
  <c r="W43" i="33"/>
  <c r="F87" i="33"/>
  <c r="G87" i="33" s="1"/>
  <c r="H87" i="33" s="1"/>
  <c r="I87" i="33" s="1"/>
  <c r="J87" i="33" s="1"/>
  <c r="K87" i="33" s="1"/>
  <c r="L87" i="33" s="1"/>
  <c r="M87" i="33" s="1"/>
  <c r="H25" i="33"/>
  <c r="F25" i="33"/>
  <c r="AA25" i="33" s="1"/>
  <c r="J23" i="33"/>
  <c r="F85" i="33"/>
  <c r="G85" i="33" s="1"/>
  <c r="H23" i="33"/>
  <c r="F19" i="33"/>
  <c r="AA19" i="33" s="1"/>
  <c r="S19" i="33"/>
  <c r="J17" i="33"/>
  <c r="W17" i="33" s="1"/>
  <c r="F79" i="33"/>
  <c r="S15" i="33"/>
  <c r="I66" i="33"/>
  <c r="J10" i="33"/>
  <c r="H10" i="33"/>
  <c r="AA10" i="33"/>
  <c r="AC11" i="33"/>
  <c r="W36" i="21"/>
  <c r="W41" i="21"/>
  <c r="AB39" i="21"/>
  <c r="AA43" i="21"/>
  <c r="S39" i="21"/>
  <c r="AA38" i="21"/>
  <c r="AA36" i="21"/>
  <c r="AC40" i="21"/>
  <c r="J15" i="21"/>
  <c r="AC15" i="21" s="1"/>
  <c r="W15" i="21"/>
  <c r="F77" i="21"/>
  <c r="G77" i="21" s="1"/>
  <c r="F23" i="21"/>
  <c r="S23" i="21"/>
  <c r="E85" i="2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5" i="6"/>
  <c r="E32" i="6"/>
  <c r="L19" i="6"/>
  <c r="G1" i="68"/>
  <c r="K1" i="12"/>
  <c r="AR12" i="1"/>
  <c r="AR10" i="1"/>
  <c r="T10" i="1"/>
  <c r="E19" i="69"/>
  <c r="E19" i="68"/>
  <c r="E19" i="11"/>
  <c r="E1" i="73"/>
  <c r="G22" i="69"/>
  <c r="G22" i="68"/>
  <c r="G26" i="12"/>
  <c r="G22" i="11"/>
  <c r="C100" i="43"/>
  <c r="E81" i="43"/>
  <c r="B79" i="43"/>
  <c r="E48" i="43"/>
  <c r="B46" i="43" s="1"/>
  <c r="E70" i="43"/>
  <c r="B68" i="43" s="1"/>
  <c r="F100" i="43"/>
  <c r="H17" i="43"/>
  <c r="G6" i="1"/>
  <c r="H81" i="43"/>
  <c r="H88" i="43"/>
  <c r="H53" i="43"/>
  <c r="H78" i="43"/>
  <c r="H71" i="43"/>
  <c r="C17" i="43"/>
  <c r="F33" i="43"/>
  <c r="K17" i="43"/>
  <c r="F34" i="43"/>
  <c r="N6" i="43"/>
  <c r="C6" i="43"/>
  <c r="N3" i="43"/>
  <c r="F38" i="43"/>
  <c r="F37" i="43"/>
  <c r="M9" i="43"/>
  <c r="N5" i="43"/>
  <c r="M12" i="43"/>
  <c r="B19" i="53"/>
  <c r="B37" i="72" s="1"/>
  <c r="C7" i="39"/>
  <c r="C67" i="39" s="1"/>
  <c r="C7" i="35"/>
  <c r="C7" i="21"/>
  <c r="C58" i="21" s="1"/>
  <c r="M47" i="9"/>
  <c r="T35" i="4"/>
  <c r="A19" i="51" s="1"/>
  <c r="B14" i="72" s="1"/>
  <c r="A4" i="51"/>
  <c r="B6" i="72" s="1"/>
  <c r="C48" i="35"/>
  <c r="D48" i="35" s="1"/>
  <c r="C4" i="12"/>
  <c r="H66" i="43"/>
  <c r="H65" i="43"/>
  <c r="H64" i="43"/>
  <c r="H63" i="43"/>
  <c r="H72" i="43"/>
  <c r="L20" i="6"/>
  <c r="B6" i="1"/>
  <c r="E6" i="1" s="1"/>
  <c r="S8" i="1"/>
  <c r="AR8" i="1" s="1"/>
  <c r="K11" i="1"/>
  <c r="M11" i="1" s="1"/>
  <c r="AP6" i="1"/>
  <c r="B9" i="1"/>
  <c r="E9" i="1" s="1"/>
  <c r="K7" i="1"/>
  <c r="G1" i="15"/>
  <c r="G1" i="69"/>
  <c r="G1" i="67"/>
  <c r="AB31" i="40"/>
  <c r="S37" i="40"/>
  <c r="AB28" i="40"/>
  <c r="W28" i="40"/>
  <c r="W34" i="40"/>
  <c r="W19" i="40"/>
  <c r="W27" i="40"/>
  <c r="S36" i="40"/>
  <c r="W37" i="40"/>
  <c r="S33" i="40"/>
  <c r="AA15" i="40"/>
  <c r="S31" i="40"/>
  <c r="U15" i="40"/>
  <c r="AB17" i="40"/>
  <c r="U8" i="40"/>
  <c r="S8" i="40"/>
  <c r="AC41" i="39"/>
  <c r="U42" i="39"/>
  <c r="U41" i="39"/>
  <c r="W25" i="39"/>
  <c r="AA13" i="39"/>
  <c r="AA14" i="39"/>
  <c r="U43" i="39"/>
  <c r="AB43" i="39"/>
  <c r="AA27" i="39"/>
  <c r="W17" i="39"/>
  <c r="W31" i="39"/>
  <c r="S23" i="39"/>
  <c r="AB39" i="39"/>
  <c r="W34" i="39"/>
  <c r="U38" i="39"/>
  <c r="S8" i="39"/>
  <c r="S28" i="36"/>
  <c r="W29" i="36"/>
  <c r="U25" i="36"/>
  <c r="AB28" i="36"/>
  <c r="AA13" i="36"/>
  <c r="W9" i="36"/>
  <c r="W22" i="36"/>
  <c r="S9" i="36"/>
  <c r="AB20" i="35"/>
  <c r="S24" i="35"/>
  <c r="AA30" i="35"/>
  <c r="S35" i="35"/>
  <c r="AA16" i="35"/>
  <c r="AA35" i="37"/>
  <c r="W36" i="37"/>
  <c r="S27" i="37"/>
  <c r="S28" i="37"/>
  <c r="W32" i="37"/>
  <c r="U36" i="37"/>
  <c r="U38" i="37"/>
  <c r="AB37" i="37"/>
  <c r="S33" i="37"/>
  <c r="AA31" i="37"/>
  <c r="AA29" i="37"/>
  <c r="AA8" i="37"/>
  <c r="U8" i="37"/>
  <c r="AA40" i="34"/>
  <c r="AB40" i="34"/>
  <c r="W19" i="34"/>
  <c r="AC45" i="34"/>
  <c r="AA31" i="34"/>
  <c r="AA30" i="34"/>
  <c r="AB47" i="34"/>
  <c r="U25" i="34"/>
  <c r="AB36" i="34"/>
  <c r="W33" i="34"/>
  <c r="AC29" i="34"/>
  <c r="AC46" i="34"/>
  <c r="S32" i="34"/>
  <c r="U30" i="34"/>
  <c r="AB30" i="34"/>
  <c r="S37" i="34"/>
  <c r="AC40" i="34"/>
  <c r="W40" i="34"/>
  <c r="AA19" i="34"/>
  <c r="S19" i="34"/>
  <c r="AA36" i="34"/>
  <c r="S36" i="34"/>
  <c r="AA8" i="34"/>
  <c r="S8" i="34"/>
  <c r="AB9" i="34"/>
  <c r="U9" i="34"/>
  <c r="S46" i="34"/>
  <c r="AA46" i="34"/>
  <c r="W43" i="34"/>
  <c r="AA11" i="34"/>
  <c r="AC35" i="34"/>
  <c r="W35" i="34"/>
  <c r="AB12" i="34"/>
  <c r="AC37" i="33"/>
  <c r="W46" i="33"/>
  <c r="U39" i="33"/>
  <c r="U38" i="33"/>
  <c r="S33" i="33"/>
  <c r="AB34" i="33"/>
  <c r="U44" i="33"/>
  <c r="AB44" i="33"/>
  <c r="S30" i="33"/>
  <c r="AC30" i="33"/>
  <c r="W30" i="33"/>
  <c r="S31" i="33"/>
  <c r="AA31" i="33"/>
  <c r="U15" i="33"/>
  <c r="S11" i="33"/>
  <c r="U37" i="33"/>
  <c r="S28" i="33"/>
  <c r="W8" i="33"/>
  <c r="AB42" i="21"/>
  <c r="AA11" i="21"/>
  <c r="I101" i="21"/>
  <c r="J101" i="21"/>
  <c r="K101" i="21" s="1"/>
  <c r="L101" i="21" s="1"/>
  <c r="M101" i="21" s="1"/>
  <c r="F33" i="21"/>
  <c r="S33" i="21" s="1"/>
  <c r="J33" i="21"/>
  <c r="H33" i="21"/>
  <c r="AB33" i="21"/>
  <c r="F37" i="21"/>
  <c r="AA37" i="21"/>
  <c r="AB14" i="21"/>
  <c r="U40" i="21"/>
  <c r="U31" i="21"/>
  <c r="U13" i="21"/>
  <c r="AB13" i="21"/>
  <c r="W8" i="21"/>
  <c r="S35" i="21"/>
  <c r="AB37" i="21"/>
  <c r="J37" i="21"/>
  <c r="W37" i="21"/>
  <c r="H15" i="21"/>
  <c r="U15" i="21"/>
  <c r="J17" i="21"/>
  <c r="AC17" i="21"/>
  <c r="AC19" i="21"/>
  <c r="W39" i="21"/>
  <c r="W30" i="21"/>
  <c r="S46" i="21"/>
  <c r="F29" i="21"/>
  <c r="S29" i="21"/>
  <c r="F13" i="21"/>
  <c r="H32" i="21"/>
  <c r="AB32" i="21" s="1"/>
  <c r="H9" i="21"/>
  <c r="AB9" i="21" s="1"/>
  <c r="J32" i="21"/>
  <c r="W32" i="21" s="1"/>
  <c r="F32" i="21"/>
  <c r="AA32" i="21" s="1"/>
  <c r="W29" i="21"/>
  <c r="S19" i="21"/>
  <c r="K141" i="21"/>
  <c r="K144" i="21"/>
  <c r="K143" i="21"/>
  <c r="AB44" i="21"/>
  <c r="AA30" i="21"/>
  <c r="W42" i="21"/>
  <c r="F10" i="21"/>
  <c r="K145" i="21"/>
  <c r="W17" i="21"/>
  <c r="AA29" i="21"/>
  <c r="W31" i="21"/>
  <c r="S27" i="21"/>
  <c r="S17" i="21"/>
  <c r="AA15" i="21"/>
  <c r="AC27" i="21"/>
  <c r="AC26" i="21"/>
  <c r="AB29" i="21"/>
  <c r="AC34" i="21"/>
  <c r="W10" i="21"/>
  <c r="AB36" i="21"/>
  <c r="W30" i="40"/>
  <c r="C19" i="39"/>
  <c r="C15" i="40"/>
  <c r="C17" i="40"/>
  <c r="C21" i="40"/>
  <c r="U30" i="40"/>
  <c r="B49" i="43"/>
  <c r="B52" i="43"/>
  <c r="B56" i="43"/>
  <c r="B63" i="43"/>
  <c r="B67" i="43"/>
  <c r="D23" i="15"/>
  <c r="D22" i="15"/>
  <c r="E4" i="4"/>
  <c r="B5" i="62" s="1"/>
  <c r="B73" i="72" s="1"/>
  <c r="C4" i="4"/>
  <c r="AQ13" i="1"/>
  <c r="M6" i="1"/>
  <c r="O6" i="1" s="1"/>
  <c r="P6" i="1" s="1"/>
  <c r="F30" i="11"/>
  <c r="C48" i="11" s="1"/>
  <c r="T11" i="1"/>
  <c r="AR11" i="1"/>
  <c r="S12" i="33"/>
  <c r="AA12" i="33"/>
  <c r="J32" i="39"/>
  <c r="W32" i="39" s="1"/>
  <c r="H32" i="39"/>
  <c r="AA32" i="39"/>
  <c r="S32" i="39"/>
  <c r="AB21" i="39"/>
  <c r="U21" i="39"/>
  <c r="AA21" i="39"/>
  <c r="S26" i="35"/>
  <c r="S9" i="35"/>
  <c r="W26" i="35"/>
  <c r="U26" i="35"/>
  <c r="AC17" i="37"/>
  <c r="J19" i="37"/>
  <c r="G75" i="37"/>
  <c r="S19" i="37"/>
  <c r="J23" i="37"/>
  <c r="AC23" i="37" s="1"/>
  <c r="J10" i="37"/>
  <c r="H11" i="37"/>
  <c r="U11" i="37" s="1"/>
  <c r="AB10" i="37"/>
  <c r="U10" i="37"/>
  <c r="H11" i="34"/>
  <c r="J10" i="34"/>
  <c r="AC10" i="34" s="1"/>
  <c r="AB41" i="33"/>
  <c r="W35" i="33"/>
  <c r="AC35" i="33"/>
  <c r="L111" i="33"/>
  <c r="M111" i="33" s="1"/>
  <c r="J36" i="33"/>
  <c r="H36" i="33"/>
  <c r="AB36" i="33" s="1"/>
  <c r="S36" i="33"/>
  <c r="AA36" i="33"/>
  <c r="W32" i="33"/>
  <c r="G91" i="33"/>
  <c r="H91" i="33" s="1"/>
  <c r="I91" i="33" s="1"/>
  <c r="J91" i="33" s="1"/>
  <c r="K91" i="33" s="1"/>
  <c r="L91" i="33"/>
  <c r="M91" i="33" s="1"/>
  <c r="U25" i="33"/>
  <c r="AB25" i="33"/>
  <c r="S25" i="33"/>
  <c r="J25" i="33"/>
  <c r="AB23" i="33"/>
  <c r="U23" i="33"/>
  <c r="F23" i="33"/>
  <c r="AC23" i="33"/>
  <c r="W23" i="33"/>
  <c r="H19" i="33"/>
  <c r="G79" i="33"/>
  <c r="H17" i="33"/>
  <c r="AB17" i="33" s="1"/>
  <c r="F17" i="33"/>
  <c r="U10" i="33"/>
  <c r="AB10" i="33"/>
  <c r="AC10" i="33"/>
  <c r="W10" i="33"/>
  <c r="AC37" i="21"/>
  <c r="U33" i="21"/>
  <c r="S37" i="21"/>
  <c r="AA23" i="21"/>
  <c r="AB15" i="21"/>
  <c r="J23" i="21"/>
  <c r="F85" i="21"/>
  <c r="G85" i="21"/>
  <c r="H23" i="21"/>
  <c r="AP7" i="1"/>
  <c r="AA33" i="21"/>
  <c r="S32" i="21"/>
  <c r="U32" i="21"/>
  <c r="AA10" i="21"/>
  <c r="S10" i="21"/>
  <c r="AC32" i="39"/>
  <c r="W19" i="37"/>
  <c r="AC19" i="37"/>
  <c r="W23" i="37"/>
  <c r="AB11" i="37"/>
  <c r="J11" i="37"/>
  <c r="U11" i="34"/>
  <c r="AB11" i="34"/>
  <c r="J11" i="34"/>
  <c r="AC36" i="33"/>
  <c r="W36" i="33"/>
  <c r="W25" i="33"/>
  <c r="AC25" i="33"/>
  <c r="AA23" i="33"/>
  <c r="S23" i="33"/>
  <c r="AB19" i="33"/>
  <c r="U19" i="33"/>
  <c r="AA17" i="33"/>
  <c r="S17" i="33"/>
  <c r="U17" i="33"/>
  <c r="U23" i="21"/>
  <c r="AB23" i="21"/>
  <c r="AC23" i="21"/>
  <c r="W23" i="21"/>
  <c r="W11" i="34"/>
  <c r="AC11" i="34"/>
  <c r="F34" i="11"/>
  <c r="F11" i="12"/>
  <c r="F34" i="68"/>
  <c r="R8" i="1"/>
  <c r="AE8" i="1"/>
  <c r="H109" i="9"/>
  <c r="H110" i="9"/>
  <c r="D18" i="53" s="1"/>
  <c r="B35" i="72" s="1"/>
  <c r="D124" i="9"/>
  <c r="H14" i="74" s="1"/>
  <c r="B7" i="74" s="1"/>
  <c r="D16" i="53"/>
  <c r="D125" i="9"/>
  <c r="D11" i="52" s="1"/>
  <c r="H112" i="9"/>
  <c r="D21" i="53" s="1"/>
  <c r="B39" i="72" s="1"/>
  <c r="H111" i="9"/>
  <c r="D126" i="9"/>
  <c r="I14" i="74" s="1"/>
  <c r="B8" i="74" s="1"/>
  <c r="D19" i="53"/>
  <c r="AD3" i="71"/>
  <c r="J1" i="73"/>
  <c r="H77" i="43"/>
  <c r="H76" i="43"/>
  <c r="H51" i="43"/>
  <c r="H67" i="43"/>
  <c r="H59" i="43"/>
  <c r="H60" i="43"/>
  <c r="H61" i="43"/>
  <c r="M4" i="43"/>
  <c r="M5" i="43"/>
  <c r="N12" i="43"/>
  <c r="N11" i="43"/>
  <c r="M10" i="43"/>
  <c r="M2" i="43"/>
  <c r="M7" i="43"/>
  <c r="H70" i="43"/>
  <c r="N9" i="43"/>
  <c r="M8" i="43"/>
  <c r="N10" i="43"/>
  <c r="H74" i="43"/>
  <c r="M6" i="43"/>
  <c r="N7" i="43"/>
  <c r="N4" i="43"/>
  <c r="N2" i="43"/>
  <c r="H49" i="43"/>
  <c r="N17" i="43"/>
  <c r="L17" i="43"/>
  <c r="O17" i="43"/>
  <c r="M17" i="43"/>
  <c r="E17" i="43"/>
  <c r="C24" i="12"/>
  <c r="AB19" i="71"/>
  <c r="X17" i="71"/>
  <c r="X16" i="71"/>
  <c r="AA17" i="71"/>
  <c r="AA16" i="71"/>
  <c r="X20" i="71"/>
  <c r="Y16" i="71"/>
  <c r="Z16" i="71" s="1"/>
  <c r="AB17" i="71"/>
  <c r="AB16" i="71"/>
  <c r="Y17" i="71"/>
  <c r="Z17" i="71" s="1"/>
  <c r="X3" i="71"/>
  <c r="G20" i="43"/>
  <c r="E2" i="68"/>
  <c r="E8" i="76"/>
  <c r="AO10" i="1"/>
  <c r="M28" i="15"/>
  <c r="D2" i="36"/>
  <c r="J15" i="15"/>
  <c r="M24" i="15"/>
  <c r="D3" i="73"/>
  <c r="E12" i="76"/>
  <c r="F4" i="73"/>
  <c r="F5" i="73"/>
  <c r="F36" i="15"/>
  <c r="D2" i="35"/>
  <c r="C76" i="15"/>
  <c r="B12" i="76"/>
  <c r="M8" i="67"/>
  <c r="D7" i="73"/>
  <c r="D2" i="33"/>
  <c r="B10" i="76"/>
  <c r="AO9" i="1"/>
  <c r="F7" i="73"/>
  <c r="M8" i="15"/>
  <c r="F20" i="31"/>
  <c r="B8" i="76"/>
  <c r="B13" i="76"/>
  <c r="F43" i="15"/>
  <c r="F37" i="67"/>
  <c r="AO8" i="1"/>
  <c r="F8" i="67"/>
  <c r="F8" i="15"/>
  <c r="M6" i="67"/>
  <c r="F26" i="67"/>
  <c r="E13" i="76"/>
  <c r="AO11" i="1"/>
  <c r="F7" i="67"/>
  <c r="F40" i="67"/>
  <c r="F37" i="15"/>
  <c r="C76" i="67"/>
  <c r="D2" i="21"/>
  <c r="D2" i="34"/>
  <c r="E9" i="76"/>
  <c r="L48" i="15"/>
  <c r="D5" i="73"/>
  <c r="J15" i="67"/>
  <c r="F7" i="15"/>
  <c r="F36" i="67"/>
  <c r="F38" i="15"/>
  <c r="M23" i="67"/>
  <c r="L47" i="67"/>
  <c r="F16" i="67"/>
  <c r="AO12" i="1"/>
  <c r="M28" i="67"/>
  <c r="B11" i="76"/>
  <c r="F40" i="15"/>
  <c r="B7" i="76"/>
  <c r="D6" i="73"/>
  <c r="E11" i="76"/>
  <c r="F6" i="73"/>
  <c r="M23" i="15"/>
  <c r="F42" i="15"/>
  <c r="L48" i="67"/>
  <c r="E10" i="76"/>
  <c r="M9" i="67"/>
  <c r="F26" i="15"/>
  <c r="F6" i="15"/>
  <c r="F6" i="67"/>
  <c r="M24" i="67"/>
  <c r="F9" i="67"/>
  <c r="F42" i="67"/>
  <c r="F3" i="73"/>
  <c r="F38" i="67"/>
  <c r="M9" i="15"/>
  <c r="D2" i="37"/>
  <c r="M26" i="67"/>
  <c r="M6" i="15"/>
  <c r="D4" i="73"/>
  <c r="E7" i="76"/>
  <c r="M29" i="67"/>
  <c r="AO13" i="1"/>
  <c r="F13" i="15"/>
  <c r="E2" i="69"/>
  <c r="F13" i="67"/>
  <c r="M27" i="67"/>
  <c r="B9" i="76"/>
  <c r="M22" i="67"/>
  <c r="F43" i="67"/>
  <c r="AA13" i="21" l="1"/>
  <c r="S13" i="21"/>
  <c r="AZ506" i="3"/>
  <c r="W10" i="37"/>
  <c r="AC10" i="37"/>
  <c r="U10" i="34"/>
  <c r="AB10" i="34"/>
  <c r="AZ520" i="3"/>
  <c r="AZ564" i="3"/>
  <c r="AZ535" i="3"/>
  <c r="AZ534" i="3"/>
  <c r="AZ528" i="3"/>
  <c r="AZ523" i="3"/>
  <c r="AZ522" i="3"/>
  <c r="AZ513" i="3"/>
  <c r="AZ510" i="3"/>
  <c r="AZ509" i="3"/>
  <c r="AZ504" i="3"/>
  <c r="AZ501" i="3"/>
  <c r="AZ500" i="3"/>
  <c r="AZ499" i="3"/>
  <c r="AZ495" i="3"/>
  <c r="AZ494" i="3"/>
  <c r="AZ563" i="3"/>
  <c r="AZ562" i="3"/>
  <c r="AC33" i="21"/>
  <c r="W33" i="21"/>
  <c r="W45" i="21"/>
  <c r="AC45" i="21"/>
  <c r="U28" i="37"/>
  <c r="AB28" i="37"/>
  <c r="B38" i="72"/>
  <c r="D20" i="53"/>
  <c r="B40" i="72" s="1"/>
  <c r="AC11" i="37"/>
  <c r="W11" i="37"/>
  <c r="AC32" i="21"/>
  <c r="B34" i="72"/>
  <c r="D17" i="53"/>
  <c r="B36" i="72" s="1"/>
  <c r="W10" i="34"/>
  <c r="AC17" i="33"/>
  <c r="AZ526" i="3"/>
  <c r="S14" i="37"/>
  <c r="AA14" i="37"/>
  <c r="AZ554" i="3"/>
  <c r="AZ548" i="3"/>
  <c r="AZ545" i="3"/>
  <c r="U33" i="34"/>
  <c r="AB33" i="34"/>
  <c r="AA30" i="40"/>
  <c r="W27" i="36"/>
  <c r="H52" i="43"/>
  <c r="H56" i="43"/>
  <c r="K5" i="4"/>
  <c r="B47" i="48" s="1"/>
  <c r="W15" i="37"/>
  <c r="AA43" i="33"/>
  <c r="AC32" i="36"/>
  <c r="AB19" i="37"/>
  <c r="AB32" i="40"/>
  <c r="AB24" i="35"/>
  <c r="S26" i="36"/>
  <c r="AA39" i="33"/>
  <c r="U17" i="37"/>
  <c r="J14" i="40"/>
  <c r="AB46" i="34"/>
  <c r="U46" i="34"/>
  <c r="S14" i="34"/>
  <c r="W31" i="33"/>
  <c r="AC31" i="33"/>
  <c r="S13" i="33"/>
  <c r="W28" i="34"/>
  <c r="AC28" i="34"/>
  <c r="AA23" i="35"/>
  <c r="S23" i="35"/>
  <c r="AC23" i="40"/>
  <c r="AB22" i="35"/>
  <c r="B85" i="43"/>
  <c r="C23" i="40"/>
  <c r="AB40" i="33"/>
  <c r="U40" i="33"/>
  <c r="H9" i="33"/>
  <c r="J9" i="33"/>
  <c r="AB43" i="34"/>
  <c r="AC28" i="36"/>
  <c r="W28" i="36"/>
  <c r="AB26" i="37"/>
  <c r="H14" i="37"/>
  <c r="H45" i="39"/>
  <c r="J45" i="39"/>
  <c r="F45" i="39"/>
  <c r="H13" i="40"/>
  <c r="F13" i="40"/>
  <c r="J13" i="40"/>
  <c r="BL580" i="3"/>
  <c r="BL577" i="3"/>
  <c r="BA577" i="3"/>
  <c r="BA576" i="3"/>
  <c r="AZ576" i="3" s="1"/>
  <c r="BA574" i="3"/>
  <c r="AZ574" i="3" s="1"/>
  <c r="BL570" i="3"/>
  <c r="BA552" i="3"/>
  <c r="BA16" i="3"/>
  <c r="AZ16" i="3" s="1"/>
  <c r="BE5" i="3"/>
  <c r="E15" i="6" s="1"/>
  <c r="BA14" i="3"/>
  <c r="AZ14" i="3" s="1"/>
  <c r="BH5" i="3"/>
  <c r="BT5" i="3"/>
  <c r="G28" i="6" s="1"/>
  <c r="G30" i="6" s="1"/>
  <c r="G31" i="6" s="1"/>
  <c r="BQ5" i="3"/>
  <c r="F28" i="6" s="1"/>
  <c r="AZ517" i="3"/>
  <c r="AZ529" i="3"/>
  <c r="AZ575" i="3"/>
  <c r="AZ570" i="3"/>
  <c r="AC43" i="21"/>
  <c r="W43" i="21"/>
  <c r="F27" i="33"/>
  <c r="J27" i="33"/>
  <c r="U23" i="35"/>
  <c r="AB23" i="35"/>
  <c r="W31" i="40"/>
  <c r="AC31" i="40"/>
  <c r="S30" i="36"/>
  <c r="AA30" i="36"/>
  <c r="J35" i="39"/>
  <c r="H35" i="39"/>
  <c r="F35" i="39"/>
  <c r="BL558" i="3"/>
  <c r="AZ558" i="3" s="1"/>
  <c r="BA541" i="3"/>
  <c r="AZ541" i="3" s="1"/>
  <c r="BA540" i="3"/>
  <c r="AZ540" i="3" s="1"/>
  <c r="BA512" i="3"/>
  <c r="BL507" i="3"/>
  <c r="AZ507" i="3" s="1"/>
  <c r="BA497" i="3"/>
  <c r="AZ497" i="3" s="1"/>
  <c r="BL496" i="3"/>
  <c r="BA496" i="3"/>
  <c r="BL494" i="3"/>
  <c r="U9" i="35"/>
  <c r="S28" i="21"/>
  <c r="AB46" i="21"/>
  <c r="AA11" i="37"/>
  <c r="U25" i="35"/>
  <c r="W23" i="36"/>
  <c r="U11" i="39"/>
  <c r="S17" i="34"/>
  <c r="AC20" i="35"/>
  <c r="S9" i="39"/>
  <c r="AC17" i="34"/>
  <c r="AZ567" i="3"/>
  <c r="AZ566" i="3"/>
  <c r="U36" i="39"/>
  <c r="AB11" i="21"/>
  <c r="H14" i="40"/>
  <c r="F45" i="21"/>
  <c r="AC13" i="21"/>
  <c r="W13" i="21"/>
  <c r="AC34" i="35"/>
  <c r="W34" i="35"/>
  <c r="J29" i="33"/>
  <c r="F29" i="33"/>
  <c r="H29" i="33"/>
  <c r="J32" i="34"/>
  <c r="H32" i="34"/>
  <c r="BL584" i="3"/>
  <c r="AZ584" i="3" s="1"/>
  <c r="AB32" i="39"/>
  <c r="U32" i="39"/>
  <c r="AA15" i="39"/>
  <c r="S15" i="39"/>
  <c r="AC41" i="34"/>
  <c r="W41" i="34"/>
  <c r="AB17" i="21"/>
  <c r="U17" i="21"/>
  <c r="W25" i="36"/>
  <c r="AC25" i="36"/>
  <c r="W13" i="34"/>
  <c r="AC13" i="34"/>
  <c r="AB11" i="35"/>
  <c r="U11" i="35"/>
  <c r="AB45" i="33"/>
  <c r="U45" i="33"/>
  <c r="AB27" i="21"/>
  <c r="U27" i="21"/>
  <c r="AC15" i="33"/>
  <c r="W15" i="33"/>
  <c r="AB23" i="34"/>
  <c r="U23" i="34"/>
  <c r="W34" i="36"/>
  <c r="AC34" i="36"/>
  <c r="W11" i="40"/>
  <c r="AC11" i="40"/>
  <c r="AB11" i="40"/>
  <c r="U11" i="40"/>
  <c r="AC9" i="34"/>
  <c r="W9" i="34"/>
  <c r="J26" i="37"/>
  <c r="F26" i="37"/>
  <c r="H40" i="37"/>
  <c r="F40" i="37"/>
  <c r="J40" i="37"/>
  <c r="BL583" i="3"/>
  <c r="BA580" i="3"/>
  <c r="AZ580" i="3" s="1"/>
  <c r="BL578" i="3"/>
  <c r="AZ578" i="3" s="1"/>
  <c r="BA561" i="3"/>
  <c r="AZ561" i="3" s="1"/>
  <c r="BL556" i="3"/>
  <c r="BL547" i="3"/>
  <c r="AZ547" i="3" s="1"/>
  <c r="BL546" i="3"/>
  <c r="AZ546" i="3" s="1"/>
  <c r="BL534" i="3"/>
  <c r="BA533" i="3"/>
  <c r="AZ533" i="3" s="1"/>
  <c r="BA532" i="3"/>
  <c r="AZ532" i="3" s="1"/>
  <c r="BA525" i="3"/>
  <c r="AZ525" i="3" s="1"/>
  <c r="BL523" i="3"/>
  <c r="BL520" i="3"/>
  <c r="BL518" i="3"/>
  <c r="AZ518" i="3" s="1"/>
  <c r="BA515" i="3"/>
  <c r="AZ515" i="3" s="1"/>
  <c r="BL512" i="3"/>
  <c r="BL511" i="3"/>
  <c r="AZ511" i="3" s="1"/>
  <c r="BA508" i="3"/>
  <c r="AZ508" i="3" s="1"/>
  <c r="BL506" i="3"/>
  <c r="BA505" i="3"/>
  <c r="AZ505" i="3" s="1"/>
  <c r="BA502" i="3"/>
  <c r="AZ502" i="3" s="1"/>
  <c r="D10" i="52"/>
  <c r="U9" i="21"/>
  <c r="D6" i="52"/>
  <c r="AA31" i="21"/>
  <c r="D9" i="11"/>
  <c r="C9" i="11" s="1"/>
  <c r="D19" i="12"/>
  <c r="C19" i="12" s="1"/>
  <c r="D9" i="68"/>
  <c r="C9" i="68" s="1"/>
  <c r="H27" i="33"/>
  <c r="S36" i="37"/>
  <c r="W27" i="37"/>
  <c r="H83" i="43"/>
  <c r="H86" i="43"/>
  <c r="H84" i="43"/>
  <c r="BB5" i="3"/>
  <c r="BO5" i="3"/>
  <c r="F29" i="6" s="1"/>
  <c r="E29" i="6" s="1"/>
  <c r="AZ357" i="3"/>
  <c r="AZ390" i="3"/>
  <c r="AZ123" i="3"/>
  <c r="AB9" i="37"/>
  <c r="W47" i="34"/>
  <c r="AA12" i="35"/>
  <c r="AA41" i="34"/>
  <c r="S32" i="40"/>
  <c r="AA32" i="40"/>
  <c r="J14" i="37"/>
  <c r="AB35" i="35"/>
  <c r="U35" i="35"/>
  <c r="AC13" i="35"/>
  <c r="W13" i="35"/>
  <c r="AA44" i="21"/>
  <c r="S44" i="21"/>
  <c r="S28" i="34"/>
  <c r="AA15" i="34"/>
  <c r="S25" i="34"/>
  <c r="AA25" i="34"/>
  <c r="S40" i="40"/>
  <c r="U34" i="34"/>
  <c r="BA586" i="3"/>
  <c r="AZ586" i="3" s="1"/>
  <c r="B74" i="43"/>
  <c r="C27" i="39"/>
  <c r="B65" i="43"/>
  <c r="J14" i="34"/>
  <c r="H14" i="34"/>
  <c r="J12" i="37"/>
  <c r="F12" i="37"/>
  <c r="S41" i="21"/>
  <c r="AA41" i="21"/>
  <c r="BA583" i="3"/>
  <c r="AZ583" i="3" s="1"/>
  <c r="BA549" i="3"/>
  <c r="AZ549" i="3" s="1"/>
  <c r="H48" i="43"/>
  <c r="H54" i="43"/>
  <c r="C23" i="12"/>
  <c r="U36" i="33"/>
  <c r="S17" i="37"/>
  <c r="T13" i="1"/>
  <c r="B54" i="43"/>
  <c r="W12" i="21"/>
  <c r="W25" i="21"/>
  <c r="AB25" i="21"/>
  <c r="AC38" i="21"/>
  <c r="H45" i="21"/>
  <c r="U28" i="21"/>
  <c r="W13" i="33"/>
  <c r="AC23" i="34"/>
  <c r="U19" i="34"/>
  <c r="AB35" i="37"/>
  <c r="AC25" i="35"/>
  <c r="S20" i="36"/>
  <c r="AA39" i="39"/>
  <c r="H55" i="43"/>
  <c r="H85" i="43"/>
  <c r="T12" i="1"/>
  <c r="BA13" i="3"/>
  <c r="AA14" i="21"/>
  <c r="U28" i="34"/>
  <c r="AA13" i="37"/>
  <c r="S23" i="37"/>
  <c r="AA23" i="37"/>
  <c r="AA10" i="35"/>
  <c r="U21" i="40"/>
  <c r="AB37" i="40"/>
  <c r="F39" i="40"/>
  <c r="S19" i="39"/>
  <c r="H50" i="43"/>
  <c r="AZ389" i="3"/>
  <c r="AZ305" i="3"/>
  <c r="U40" i="39"/>
  <c r="AB37" i="39"/>
  <c r="AC46" i="21"/>
  <c r="AB27" i="34"/>
  <c r="U27" i="34"/>
  <c r="AA14" i="36"/>
  <c r="U31" i="34"/>
  <c r="F25" i="35"/>
  <c r="AA13" i="35"/>
  <c r="S13" i="35"/>
  <c r="U45" i="34"/>
  <c r="F45" i="33"/>
  <c r="W10" i="35"/>
  <c r="AC10" i="35"/>
  <c r="AA29" i="35"/>
  <c r="AB17" i="34"/>
  <c r="S8" i="33"/>
  <c r="AA41" i="33"/>
  <c r="S41" i="33"/>
  <c r="W34" i="37"/>
  <c r="AC34" i="37"/>
  <c r="AB12" i="33"/>
  <c r="AA35" i="40"/>
  <c r="S35" i="40"/>
  <c r="AB17" i="39"/>
  <c r="U17" i="39"/>
  <c r="AB31" i="39"/>
  <c r="U40" i="40"/>
  <c r="U38" i="40"/>
  <c r="S26" i="21"/>
  <c r="H12" i="21"/>
  <c r="B71" i="43"/>
  <c r="B60" i="43"/>
  <c r="F9" i="21"/>
  <c r="J9" i="21"/>
  <c r="F9" i="33"/>
  <c r="AA34" i="34"/>
  <c r="S34" i="34"/>
  <c r="AA8" i="35"/>
  <c r="S8" i="35"/>
  <c r="AB24" i="36"/>
  <c r="U24" i="36"/>
  <c r="H32" i="36"/>
  <c r="F32" i="36"/>
  <c r="J39" i="37"/>
  <c r="F39" i="37"/>
  <c r="H39" i="37"/>
  <c r="AA44" i="39"/>
  <c r="S44" i="39"/>
  <c r="H13" i="39"/>
  <c r="J13" i="39"/>
  <c r="AA38" i="39"/>
  <c r="S38" i="39"/>
  <c r="AB9" i="40"/>
  <c r="U9" i="40"/>
  <c r="BL569" i="3"/>
  <c r="BA569" i="3"/>
  <c r="BL568" i="3"/>
  <c r="AZ568" i="3" s="1"/>
  <c r="BL560" i="3"/>
  <c r="AZ560" i="3" s="1"/>
  <c r="BA556" i="3"/>
  <c r="AZ556" i="3" s="1"/>
  <c r="BL550" i="3"/>
  <c r="BA550" i="3"/>
  <c r="AZ550" i="3" s="1"/>
  <c r="BA544" i="3"/>
  <c r="AZ544" i="3" s="1"/>
  <c r="BL539" i="3"/>
  <c r="AZ539" i="3" s="1"/>
  <c r="BA536" i="3"/>
  <c r="AZ536" i="3" s="1"/>
  <c r="BL532" i="3"/>
  <c r="BL531" i="3"/>
  <c r="AZ531" i="3" s="1"/>
  <c r="BL530" i="3"/>
  <c r="AZ530" i="3" s="1"/>
  <c r="AZ403" i="3"/>
  <c r="AZ404" i="3"/>
  <c r="BL406" i="3"/>
  <c r="AZ432" i="3"/>
  <c r="BA407" i="3"/>
  <c r="AZ407" i="3" s="1"/>
  <c r="AZ454" i="3"/>
  <c r="BL587" i="3"/>
  <c r="AZ587" i="3" s="1"/>
  <c r="BA585" i="3"/>
  <c r="H14" i="33"/>
  <c r="J14" i="33"/>
  <c r="H13" i="34"/>
  <c r="F13" i="34"/>
  <c r="J11" i="36"/>
  <c r="F11" i="36"/>
  <c r="J24" i="36"/>
  <c r="F24" i="36"/>
  <c r="AB31" i="36"/>
  <c r="U31" i="36"/>
  <c r="F36" i="39"/>
  <c r="J36" i="39"/>
  <c r="BA572" i="3"/>
  <c r="AZ572" i="3" s="1"/>
  <c r="G566" i="3"/>
  <c r="BL552" i="3"/>
  <c r="BL510" i="3"/>
  <c r="AZ406" i="3"/>
  <c r="BL585" i="3"/>
  <c r="G562" i="3"/>
  <c r="AZ409" i="3"/>
  <c r="AZ421" i="3"/>
  <c r="AZ425" i="3"/>
  <c r="AZ484" i="3"/>
  <c r="G14" i="3"/>
  <c r="BL15" i="3"/>
  <c r="AZ398" i="3"/>
  <c r="BL412" i="3"/>
  <c r="AZ412" i="3" s="1"/>
  <c r="AZ444" i="3"/>
  <c r="AZ449" i="3"/>
  <c r="BA401" i="3"/>
  <c r="AZ401" i="3" s="1"/>
  <c r="BL404" i="3"/>
  <c r="BL416" i="3"/>
  <c r="AZ416" i="3" s="1"/>
  <c r="BA419" i="3"/>
  <c r="AZ419" i="3" s="1"/>
  <c r="BA426" i="3"/>
  <c r="AZ426" i="3" s="1"/>
  <c r="BL428" i="3"/>
  <c r="AZ428" i="3" s="1"/>
  <c r="BL432" i="3"/>
  <c r="BA435" i="3"/>
  <c r="AZ435" i="3" s="1"/>
  <c r="BA439" i="3"/>
  <c r="AZ439" i="3" s="1"/>
  <c r="BL441" i="3"/>
  <c r="AZ441" i="3" s="1"/>
  <c r="BA445" i="3"/>
  <c r="AZ445" i="3" s="1"/>
  <c r="BL457" i="3"/>
  <c r="AZ457" i="3" s="1"/>
  <c r="AZ462" i="3"/>
  <c r="AZ463" i="3"/>
  <c r="BA465" i="3"/>
  <c r="AZ465" i="3" s="1"/>
  <c r="AZ466" i="3"/>
  <c r="BL477" i="3"/>
  <c r="BA480" i="3"/>
  <c r="AZ480" i="3" s="1"/>
  <c r="BL485" i="3"/>
  <c r="AZ485" i="3" s="1"/>
  <c r="BA488" i="3"/>
  <c r="AZ488" i="3" s="1"/>
  <c r="AZ489" i="3"/>
  <c r="BA348" i="3"/>
  <c r="AZ348" i="3" s="1"/>
  <c r="AZ212" i="3"/>
  <c r="AZ242" i="3"/>
  <c r="G399" i="3"/>
  <c r="BA408" i="3"/>
  <c r="AZ408" i="3" s="1"/>
  <c r="BA415" i="3"/>
  <c r="AZ415" i="3" s="1"/>
  <c r="BL417" i="3"/>
  <c r="AZ417" i="3" s="1"/>
  <c r="BL421" i="3"/>
  <c r="BL425" i="3"/>
  <c r="BA431" i="3"/>
  <c r="AZ431" i="3" s="1"/>
  <c r="BL433" i="3"/>
  <c r="AZ433" i="3" s="1"/>
  <c r="BL438" i="3"/>
  <c r="AZ438" i="3" s="1"/>
  <c r="AZ447" i="3"/>
  <c r="BL452" i="3"/>
  <c r="BA455" i="3"/>
  <c r="AZ455" i="3" s="1"/>
  <c r="AZ456" i="3"/>
  <c r="BA461" i="3"/>
  <c r="AZ461" i="3" s="1"/>
  <c r="BL479" i="3"/>
  <c r="AZ479" i="3" s="1"/>
  <c r="BL487" i="3"/>
  <c r="AZ487" i="3" s="1"/>
  <c r="BA492" i="3"/>
  <c r="AZ492" i="3" s="1"/>
  <c r="BL332" i="3"/>
  <c r="AZ332" i="3" s="1"/>
  <c r="AZ217" i="3"/>
  <c r="AZ267" i="3"/>
  <c r="X36" i="71"/>
  <c r="X32" i="71"/>
  <c r="X6" i="71"/>
  <c r="X33" i="71"/>
  <c r="X34" i="71"/>
  <c r="X35" i="71"/>
  <c r="F68" i="71"/>
  <c r="F67" i="71" s="1"/>
  <c r="V69" i="71"/>
  <c r="U73" i="71"/>
  <c r="E72" i="71"/>
  <c r="E71" i="71" s="1"/>
  <c r="D81" i="71"/>
  <c r="C80" i="71"/>
  <c r="AF10" i="43"/>
  <c r="AF12" i="43"/>
  <c r="Y19" i="71"/>
  <c r="Z19" i="71" s="1"/>
  <c r="Y20" i="71"/>
  <c r="Z20" i="71" s="1"/>
  <c r="Y18" i="71"/>
  <c r="Z18" i="71" s="1"/>
  <c r="Y11" i="71"/>
  <c r="Z11" i="71" s="1"/>
  <c r="AA19" i="71"/>
  <c r="AA18" i="71"/>
  <c r="E19" i="71"/>
  <c r="E18" i="71" s="1"/>
  <c r="E17" i="71" s="1"/>
  <c r="AA15" i="71"/>
  <c r="X15" i="71"/>
  <c r="G402" i="3"/>
  <c r="BA405" i="3"/>
  <c r="AZ405" i="3" s="1"/>
  <c r="AZ414" i="3"/>
  <c r="AZ418" i="3"/>
  <c r="AZ422" i="3"/>
  <c r="AZ430" i="3"/>
  <c r="AZ434" i="3"/>
  <c r="AZ451" i="3"/>
  <c r="AZ452" i="3"/>
  <c r="BL453" i="3"/>
  <c r="AZ460" i="3"/>
  <c r="BL330" i="3"/>
  <c r="AZ330" i="3" s="1"/>
  <c r="AZ211" i="3"/>
  <c r="AZ225" i="3"/>
  <c r="AZ276" i="3"/>
  <c r="BL444" i="3"/>
  <c r="BL448" i="3"/>
  <c r="AZ448" i="3" s="1"/>
  <c r="BL459" i="3"/>
  <c r="AZ459" i="3" s="1"/>
  <c r="G472" i="3"/>
  <c r="BA477" i="3"/>
  <c r="BA481" i="3"/>
  <c r="AZ481" i="3" s="1"/>
  <c r="G311" i="3"/>
  <c r="G318" i="3"/>
  <c r="BA333" i="3"/>
  <c r="AZ333" i="3" s="1"/>
  <c r="G349" i="3"/>
  <c r="BL363" i="3"/>
  <c r="AZ363" i="3" s="1"/>
  <c r="BA368" i="3"/>
  <c r="AZ368" i="3" s="1"/>
  <c r="BL375" i="3"/>
  <c r="AZ375" i="3" s="1"/>
  <c r="BL385" i="3"/>
  <c r="AZ385" i="3" s="1"/>
  <c r="BA397" i="3"/>
  <c r="AZ397" i="3" s="1"/>
  <c r="G210" i="3"/>
  <c r="BL212" i="3"/>
  <c r="BA215" i="3"/>
  <c r="AZ215" i="3" s="1"/>
  <c r="BA218" i="3"/>
  <c r="AZ218" i="3" s="1"/>
  <c r="BA223" i="3"/>
  <c r="AZ223" i="3" s="1"/>
  <c r="BL225" i="3"/>
  <c r="G227" i="3"/>
  <c r="BL235" i="3"/>
  <c r="AZ235" i="3" s="1"/>
  <c r="G237" i="3"/>
  <c r="BA239" i="3"/>
  <c r="AZ239" i="3" s="1"/>
  <c r="BA244" i="3"/>
  <c r="AZ244" i="3" s="1"/>
  <c r="BA246" i="3"/>
  <c r="AZ246" i="3" s="1"/>
  <c r="BL250" i="3"/>
  <c r="AZ250" i="3" s="1"/>
  <c r="BL253" i="3"/>
  <c r="AZ253" i="3" s="1"/>
  <c r="BA256" i="3"/>
  <c r="AZ256" i="3" s="1"/>
  <c r="BA258" i="3"/>
  <c r="AZ258" i="3" s="1"/>
  <c r="BL260" i="3"/>
  <c r="AZ260" i="3" s="1"/>
  <c r="BL263" i="3"/>
  <c r="AZ263" i="3" s="1"/>
  <c r="BL265" i="3"/>
  <c r="AZ265" i="3" s="1"/>
  <c r="BL268" i="3"/>
  <c r="AZ268" i="3" s="1"/>
  <c r="BA271" i="3"/>
  <c r="AZ271" i="3" s="1"/>
  <c r="G274" i="3"/>
  <c r="BA277" i="3"/>
  <c r="AZ277" i="3" s="1"/>
  <c r="G280" i="3"/>
  <c r="BA282" i="3"/>
  <c r="AZ282" i="3" s="1"/>
  <c r="BA284" i="3"/>
  <c r="AZ284" i="3" s="1"/>
  <c r="BL286" i="3"/>
  <c r="AZ286" i="3" s="1"/>
  <c r="AZ118" i="3"/>
  <c r="AZ126" i="3"/>
  <c r="G446" i="3"/>
  <c r="G450" i="3"/>
  <c r="BA453" i="3"/>
  <c r="AZ453" i="3" s="1"/>
  <c r="G461" i="3"/>
  <c r="BA464" i="3"/>
  <c r="AZ464" i="3" s="1"/>
  <c r="BA467" i="3"/>
  <c r="AZ467" i="3" s="1"/>
  <c r="BL470" i="3"/>
  <c r="AZ470" i="3" s="1"/>
  <c r="BA474" i="3"/>
  <c r="AZ474" i="3" s="1"/>
  <c r="BA478" i="3"/>
  <c r="AZ478" i="3" s="1"/>
  <c r="BA482" i="3"/>
  <c r="AZ482" i="3" s="1"/>
  <c r="BA486" i="3"/>
  <c r="AZ486" i="3" s="1"/>
  <c r="BL491" i="3"/>
  <c r="AZ491" i="3" s="1"/>
  <c r="G315" i="3"/>
  <c r="G329" i="3"/>
  <c r="G343" i="3"/>
  <c r="BA358" i="3"/>
  <c r="AZ358" i="3" s="1"/>
  <c r="BL365" i="3"/>
  <c r="AZ365" i="3" s="1"/>
  <c r="BA370" i="3"/>
  <c r="AZ370" i="3" s="1"/>
  <c r="BA384" i="3"/>
  <c r="AZ384" i="3" s="1"/>
  <c r="BL396" i="3"/>
  <c r="AZ396" i="3" s="1"/>
  <c r="BA209" i="3"/>
  <c r="AZ209" i="3" s="1"/>
  <c r="BL221" i="3"/>
  <c r="AZ221" i="3" s="1"/>
  <c r="G224" i="3"/>
  <c r="BA226" i="3"/>
  <c r="AZ226" i="3" s="1"/>
  <c r="BL228" i="3"/>
  <c r="AZ228" i="3" s="1"/>
  <c r="BL231" i="3"/>
  <c r="AZ231" i="3" s="1"/>
  <c r="BA234" i="3"/>
  <c r="AZ234" i="3" s="1"/>
  <c r="BA236" i="3"/>
  <c r="AZ236" i="3" s="1"/>
  <c r="BL238" i="3"/>
  <c r="AZ238" i="3" s="1"/>
  <c r="BL240" i="3"/>
  <c r="AZ240" i="3" s="1"/>
  <c r="BL243" i="3"/>
  <c r="AZ243" i="3" s="1"/>
  <c r="BL245" i="3"/>
  <c r="AZ245" i="3" s="1"/>
  <c r="G247" i="3"/>
  <c r="BA249" i="3"/>
  <c r="AZ249" i="3" s="1"/>
  <c r="BL257" i="3"/>
  <c r="AZ257" i="3" s="1"/>
  <c r="G259" i="3"/>
  <c r="BA264" i="3"/>
  <c r="AZ264" i="3" s="1"/>
  <c r="BA273" i="3"/>
  <c r="AZ273" i="3" s="1"/>
  <c r="BL276" i="3"/>
  <c r="BA279" i="3"/>
  <c r="AZ279" i="3" s="1"/>
  <c r="BL281" i="3"/>
  <c r="AZ281" i="3" s="1"/>
  <c r="BL283" i="3"/>
  <c r="AZ283" i="3" s="1"/>
  <c r="G285" i="3"/>
  <c r="AZ289" i="3"/>
  <c r="AZ122" i="3"/>
  <c r="BA129" i="3"/>
  <c r="AZ129" i="3" s="1"/>
  <c r="AZ137" i="3"/>
  <c r="AZ161" i="3"/>
  <c r="X23" i="71"/>
  <c r="B25" i="71"/>
  <c r="X25" i="71"/>
  <c r="X22" i="71"/>
  <c r="Y26" i="71"/>
  <c r="Z26" i="71" s="1"/>
  <c r="Y23" i="71"/>
  <c r="Z23" i="71" s="1"/>
  <c r="C27" i="71"/>
  <c r="Y25" i="71"/>
  <c r="Z25" i="71" s="1"/>
  <c r="Y24" i="71"/>
  <c r="Z24" i="71" s="1"/>
  <c r="Y22" i="71"/>
  <c r="Z22" i="71" s="1"/>
  <c r="BA288" i="3"/>
  <c r="AZ288" i="3" s="1"/>
  <c r="BA293" i="3"/>
  <c r="AZ293" i="3" s="1"/>
  <c r="BL295" i="3"/>
  <c r="AZ295" i="3" s="1"/>
  <c r="BL300" i="3"/>
  <c r="AZ300" i="3" s="1"/>
  <c r="BA117" i="3"/>
  <c r="AZ117" i="3" s="1"/>
  <c r="BL123" i="3"/>
  <c r="BA133" i="3"/>
  <c r="AZ133" i="3" s="1"/>
  <c r="BA136" i="3"/>
  <c r="AZ136" i="3" s="1"/>
  <c r="BA140" i="3"/>
  <c r="AZ140" i="3" s="1"/>
  <c r="BL146" i="3"/>
  <c r="AZ146" i="3" s="1"/>
  <c r="BA160" i="3"/>
  <c r="AZ160" i="3" s="1"/>
  <c r="AZ103" i="3"/>
  <c r="AB21" i="21"/>
  <c r="U21" i="21"/>
  <c r="G287" i="3"/>
  <c r="BL292" i="3"/>
  <c r="AZ292" i="3" s="1"/>
  <c r="BL296" i="3"/>
  <c r="AZ296" i="3" s="1"/>
  <c r="BA298" i="3"/>
  <c r="AZ298" i="3" s="1"/>
  <c r="BA299" i="3"/>
  <c r="AZ299" i="3" s="1"/>
  <c r="BA116" i="3"/>
  <c r="AZ116" i="3" s="1"/>
  <c r="BA120" i="3"/>
  <c r="AZ120" i="3" s="1"/>
  <c r="BL141" i="3"/>
  <c r="AZ141" i="3" s="1"/>
  <c r="BA149" i="3"/>
  <c r="AZ149" i="3" s="1"/>
  <c r="BL155" i="3"/>
  <c r="AZ155" i="3" s="1"/>
  <c r="BL161" i="3"/>
  <c r="BA166" i="3"/>
  <c r="AZ166" i="3" s="1"/>
  <c r="AB10" i="43"/>
  <c r="AB12" i="43"/>
  <c r="AJ10" i="43"/>
  <c r="AJ12" i="43"/>
  <c r="AB21" i="71"/>
  <c r="AB22" i="71"/>
  <c r="AB23" i="71"/>
  <c r="BA132" i="3"/>
  <c r="AZ132" i="3" s="1"/>
  <c r="BL138" i="3"/>
  <c r="AZ138" i="3" s="1"/>
  <c r="G144" i="3"/>
  <c r="G150" i="3"/>
  <c r="BL158" i="3"/>
  <c r="AZ158" i="3" s="1"/>
  <c r="G164" i="3"/>
  <c r="BA169" i="3"/>
  <c r="AZ169" i="3" s="1"/>
  <c r="BA170" i="3"/>
  <c r="AZ170" i="3" s="1"/>
  <c r="BA174" i="3"/>
  <c r="BL177" i="3"/>
  <c r="AZ177" i="3" s="1"/>
  <c r="G178" i="3"/>
  <c r="BA185" i="3"/>
  <c r="AZ185" i="3" s="1"/>
  <c r="BA196" i="3"/>
  <c r="AZ196" i="3" s="1"/>
  <c r="BA200" i="3"/>
  <c r="AZ200" i="3" s="1"/>
  <c r="BA205" i="3"/>
  <c r="AZ207" i="3"/>
  <c r="BA35" i="3"/>
  <c r="AZ35" i="3" s="1"/>
  <c r="BL53" i="3"/>
  <c r="AZ53" i="3" s="1"/>
  <c r="BL60" i="3"/>
  <c r="AZ60" i="3" s="1"/>
  <c r="BL63" i="3"/>
  <c r="AZ63" i="3" s="1"/>
  <c r="AZ81" i="3"/>
  <c r="BA99" i="3"/>
  <c r="AZ99" i="3" s="1"/>
  <c r="BA100" i="3"/>
  <c r="AZ106" i="3"/>
  <c r="B75" i="43"/>
  <c r="C29" i="39"/>
  <c r="B55" i="43"/>
  <c r="Z10" i="43"/>
  <c r="Z12" i="43"/>
  <c r="X8" i="71"/>
  <c r="AA3" i="71"/>
  <c r="G128" i="3"/>
  <c r="G134" i="3"/>
  <c r="BA148" i="3"/>
  <c r="AZ148" i="3" s="1"/>
  <c r="G155" i="3"/>
  <c r="G167" i="3"/>
  <c r="G171" i="3"/>
  <c r="BL174" i="3"/>
  <c r="BA182" i="3"/>
  <c r="AZ182" i="3" s="1"/>
  <c r="G192" i="3"/>
  <c r="BA202" i="3"/>
  <c r="AZ202" i="3" s="1"/>
  <c r="AZ25" i="3"/>
  <c r="AZ27" i="3"/>
  <c r="AZ40" i="3"/>
  <c r="BA57" i="3"/>
  <c r="AZ57" i="3" s="1"/>
  <c r="AZ73" i="3"/>
  <c r="G97" i="3"/>
  <c r="AA27" i="71"/>
  <c r="AA23" i="71"/>
  <c r="AA21" i="71"/>
  <c r="AA20" i="71"/>
  <c r="X26" i="71"/>
  <c r="X30" i="71"/>
  <c r="X27" i="71"/>
  <c r="AB33" i="71"/>
  <c r="AB32" i="71"/>
  <c r="AA34" i="71"/>
  <c r="AA7" i="71"/>
  <c r="S77" i="71"/>
  <c r="B76" i="71"/>
  <c r="B75" i="71" s="1"/>
  <c r="V77" i="71"/>
  <c r="F76" i="71"/>
  <c r="F75" i="71" s="1"/>
  <c r="AD10" i="43"/>
  <c r="AD12" i="43"/>
  <c r="B21" i="71"/>
  <c r="X19" i="71"/>
  <c r="X21" i="71"/>
  <c r="X18" i="71"/>
  <c r="AA11" i="71"/>
  <c r="BL171" i="3"/>
  <c r="AZ171" i="3" s="1"/>
  <c r="BA176" i="3"/>
  <c r="AZ176" i="3" s="1"/>
  <c r="G183" i="3"/>
  <c r="G186" i="3"/>
  <c r="BL186" i="3"/>
  <c r="AZ186" i="3" s="1"/>
  <c r="BL189" i="3"/>
  <c r="AZ189" i="3" s="1"/>
  <c r="G190" i="3"/>
  <c r="BL194" i="3"/>
  <c r="AZ194" i="3" s="1"/>
  <c r="G195" i="3"/>
  <c r="BA197" i="3"/>
  <c r="AZ197" i="3" s="1"/>
  <c r="BL201" i="3"/>
  <c r="AZ201" i="3" s="1"/>
  <c r="BL203" i="3"/>
  <c r="AZ203" i="3" s="1"/>
  <c r="G204" i="3"/>
  <c r="BL205" i="3"/>
  <c r="G206" i="3"/>
  <c r="BA18" i="3"/>
  <c r="AZ18" i="3" s="1"/>
  <c r="G27" i="3"/>
  <c r="BA28" i="3"/>
  <c r="AZ28" i="3" s="1"/>
  <c r="BL30" i="3"/>
  <c r="AZ30" i="3" s="1"/>
  <c r="BL35" i="3"/>
  <c r="G36" i="3"/>
  <c r="G42" i="3"/>
  <c r="BL42" i="3"/>
  <c r="AZ42" i="3" s="1"/>
  <c r="G47" i="3"/>
  <c r="BL47" i="3"/>
  <c r="AZ47" i="3" s="1"/>
  <c r="G59" i="3"/>
  <c r="AZ65" i="3"/>
  <c r="BL69" i="3"/>
  <c r="G75" i="3"/>
  <c r="G80" i="3"/>
  <c r="BA86" i="3"/>
  <c r="AZ86" i="3" s="1"/>
  <c r="BL89" i="3"/>
  <c r="AZ89" i="3" s="1"/>
  <c r="BL90" i="3"/>
  <c r="AZ90" i="3" s="1"/>
  <c r="BL98" i="3"/>
  <c r="AZ98" i="3" s="1"/>
  <c r="BL101" i="3"/>
  <c r="AZ101" i="3" s="1"/>
  <c r="BL103" i="3"/>
  <c r="BA107" i="3"/>
  <c r="AZ107" i="3" s="1"/>
  <c r="AZ112" i="3"/>
  <c r="B13" i="1"/>
  <c r="E13" i="1" s="1"/>
  <c r="K13" i="1"/>
  <c r="M13" i="1" s="1"/>
  <c r="O13" i="1" s="1"/>
  <c r="P13" i="1" s="1"/>
  <c r="E59" i="43"/>
  <c r="B57" i="43" s="1"/>
  <c r="S25" i="40"/>
  <c r="AA25" i="40"/>
  <c r="D68" i="71"/>
  <c r="C67" i="71"/>
  <c r="D67" i="71" s="1"/>
  <c r="C41" i="71"/>
  <c r="D40" i="71"/>
  <c r="Y14" i="71"/>
  <c r="Z14" i="71" s="1"/>
  <c r="Y9" i="71"/>
  <c r="Z9" i="71" s="1"/>
  <c r="Y7" i="71"/>
  <c r="Z7" i="71" s="1"/>
  <c r="G203" i="3"/>
  <c r="BA20" i="3"/>
  <c r="AZ20" i="3" s="1"/>
  <c r="BL22" i="3"/>
  <c r="AZ22" i="3" s="1"/>
  <c r="BL23" i="3"/>
  <c r="AZ23" i="3" s="1"/>
  <c r="G24" i="3"/>
  <c r="BA26" i="3"/>
  <c r="AZ26" i="3" s="1"/>
  <c r="G32" i="3"/>
  <c r="BL32" i="3"/>
  <c r="AZ32" i="3" s="1"/>
  <c r="G37" i="3"/>
  <c r="BL37" i="3"/>
  <c r="AZ37" i="3" s="1"/>
  <c r="BL38" i="3"/>
  <c r="AZ38" i="3" s="1"/>
  <c r="G39" i="3"/>
  <c r="BA41" i="3"/>
  <c r="AZ41" i="3" s="1"/>
  <c r="G44" i="3"/>
  <c r="BA45" i="3"/>
  <c r="AZ45" i="3" s="1"/>
  <c r="BA46" i="3"/>
  <c r="AZ46" i="3" s="1"/>
  <c r="BL51" i="3"/>
  <c r="AZ51" i="3" s="1"/>
  <c r="BA55" i="3"/>
  <c r="AZ55" i="3" s="1"/>
  <c r="AZ62" i="3"/>
  <c r="BA66" i="3"/>
  <c r="AZ66" i="3" s="1"/>
  <c r="BA68" i="3"/>
  <c r="AZ68" i="3" s="1"/>
  <c r="BA69" i="3"/>
  <c r="AZ69" i="3" s="1"/>
  <c r="G72" i="3"/>
  <c r="BL73" i="3"/>
  <c r="G77" i="3"/>
  <c r="BL78" i="3"/>
  <c r="AZ78" i="3" s="1"/>
  <c r="G82" i="3"/>
  <c r="BL84" i="3"/>
  <c r="AZ84" i="3" s="1"/>
  <c r="BL85" i="3"/>
  <c r="AZ85" i="3" s="1"/>
  <c r="BL94" i="3"/>
  <c r="AZ94" i="3" s="1"/>
  <c r="BL100" i="3"/>
  <c r="BL105" i="3"/>
  <c r="AZ105" i="3" s="1"/>
  <c r="AC21" i="34"/>
  <c r="W21" i="34"/>
  <c r="AB18" i="35"/>
  <c r="U21" i="37"/>
  <c r="Y28" i="71"/>
  <c r="Z28" i="71" s="1"/>
  <c r="Y27" i="71"/>
  <c r="Z27" i="71" s="1"/>
  <c r="B32" i="71"/>
  <c r="B33" i="71" s="1"/>
  <c r="S33" i="71" s="1"/>
  <c r="AB31" i="71"/>
  <c r="AB26" i="71"/>
  <c r="AB34" i="71"/>
  <c r="AB35" i="71"/>
  <c r="F36" i="71"/>
  <c r="F37" i="71" s="1"/>
  <c r="V37" i="71" s="1"/>
  <c r="AB24" i="71"/>
  <c r="G49" i="3"/>
  <c r="BL55" i="3"/>
  <c r="BA61" i="3"/>
  <c r="AZ61" i="3" s="1"/>
  <c r="G65" i="3"/>
  <c r="BL71" i="3"/>
  <c r="AZ71" i="3" s="1"/>
  <c r="BL76" i="3"/>
  <c r="AZ76" i="3" s="1"/>
  <c r="BL81" i="3"/>
  <c r="G89" i="3"/>
  <c r="G92" i="3"/>
  <c r="BA102" i="3"/>
  <c r="AZ102" i="3" s="1"/>
  <c r="BL107" i="3"/>
  <c r="G111" i="3"/>
  <c r="T61" i="71"/>
  <c r="F24" i="71"/>
  <c r="F23" i="71" s="1"/>
  <c r="T25" i="71"/>
  <c r="C24" i="71"/>
  <c r="C35" i="71"/>
  <c r="AB29" i="71"/>
  <c r="AB28" i="71"/>
  <c r="AA28" i="71"/>
  <c r="AA30" i="71"/>
  <c r="Y31" i="71"/>
  <c r="Z31" i="71" s="1"/>
  <c r="B52" i="71"/>
  <c r="B53" i="71" s="1"/>
  <c r="S53" i="71" s="1"/>
  <c r="Q63" i="71"/>
  <c r="Q62" i="71"/>
  <c r="T77" i="71"/>
  <c r="C76" i="71"/>
  <c r="AB20" i="71"/>
  <c r="AB18" i="71"/>
  <c r="AA9" i="71"/>
  <c r="AA14" i="71"/>
  <c r="AB14" i="71"/>
  <c r="AB10" i="71"/>
  <c r="AB11" i="71"/>
  <c r="AB8" i="71"/>
  <c r="BA48" i="3"/>
  <c r="AZ48" i="3" s="1"/>
  <c r="G54" i="3"/>
  <c r="BL58" i="3"/>
  <c r="AZ58" i="3" s="1"/>
  <c r="BA64" i="3"/>
  <c r="AZ64" i="3" s="1"/>
  <c r="G70" i="3"/>
  <c r="BA88" i="3"/>
  <c r="AZ88" i="3" s="1"/>
  <c r="BA91" i="3"/>
  <c r="AZ91" i="3" s="1"/>
  <c r="BL96" i="3"/>
  <c r="AZ96" i="3" s="1"/>
  <c r="G101" i="3"/>
  <c r="G106" i="3"/>
  <c r="BA110" i="3"/>
  <c r="AZ110" i="3" s="1"/>
  <c r="X28" i="71"/>
  <c r="X29" i="71"/>
  <c r="AA31" i="71"/>
  <c r="AA32" i="71"/>
  <c r="C48" i="71"/>
  <c r="C56" i="71"/>
  <c r="D55" i="71"/>
  <c r="S69" i="71"/>
  <c r="B68" i="71"/>
  <c r="B67" i="71" s="1"/>
  <c r="P74" i="15"/>
  <c r="P61" i="15"/>
  <c r="C21" i="71"/>
  <c r="Y21" i="71"/>
  <c r="Z21" i="71" s="1"/>
  <c r="X12" i="71"/>
  <c r="X7" i="71"/>
  <c r="X9" i="71"/>
  <c r="X10" i="71"/>
  <c r="X11" i="71"/>
  <c r="X14" i="71"/>
  <c r="AB15" i="71"/>
  <c r="AB9" i="71"/>
  <c r="J51" i="15"/>
  <c r="Y30" i="71"/>
  <c r="Z30" i="71" s="1"/>
  <c r="E27" i="71"/>
  <c r="E28" i="71" s="1"/>
  <c r="E29" i="71" s="1"/>
  <c r="U29" i="71" s="1"/>
  <c r="AA26" i="71"/>
  <c r="AB27" i="71"/>
  <c r="AB30" i="71"/>
  <c r="AB6" i="71"/>
  <c r="AB36" i="71"/>
  <c r="B48" i="71"/>
  <c r="B49" i="71" s="1"/>
  <c r="S49" i="71" s="1"/>
  <c r="M56" i="9"/>
  <c r="N56" i="9"/>
  <c r="AA12" i="71"/>
  <c r="AA8" i="71"/>
  <c r="AA10" i="71"/>
  <c r="AA24" i="71"/>
  <c r="B37" i="71"/>
  <c r="S37" i="71" s="1"/>
  <c r="Y32" i="71"/>
  <c r="Z32" i="71" s="1"/>
  <c r="AA33" i="71"/>
  <c r="C52" i="71"/>
  <c r="S65" i="71"/>
  <c r="B64" i="71"/>
  <c r="N65" i="71"/>
  <c r="X24" i="71"/>
  <c r="F20" i="71"/>
  <c r="F19" i="71" s="1"/>
  <c r="F18" i="71" s="1"/>
  <c r="F17" i="71" s="1"/>
  <c r="F16" i="71" s="1"/>
  <c r="F15" i="71" s="1"/>
  <c r="F14" i="71" s="1"/>
  <c r="Y15" i="71"/>
  <c r="Z15" i="71" s="1"/>
  <c r="B28" i="71"/>
  <c r="B29" i="71" s="1"/>
  <c r="S29" i="71" s="1"/>
  <c r="AA6" i="71"/>
  <c r="Y10" i="71"/>
  <c r="Z10" i="71" s="1"/>
  <c r="Y8" i="71"/>
  <c r="Z8" i="71" s="1"/>
  <c r="Y6" i="71"/>
  <c r="Z6" i="71" s="1"/>
  <c r="AB12" i="71"/>
  <c r="AB7" i="71"/>
  <c r="E12" i="6"/>
  <c r="B7" i="1"/>
  <c r="E7" i="1" s="1"/>
  <c r="C36" i="69"/>
  <c r="L27" i="6"/>
  <c r="AQ8" i="1"/>
  <c r="T8" i="1"/>
  <c r="M7" i="1"/>
  <c r="C94" i="9"/>
  <c r="C92" i="9"/>
  <c r="F30" i="69"/>
  <c r="F48" i="69" s="1"/>
  <c r="M18" i="15"/>
  <c r="F52" i="9"/>
  <c r="C30" i="11"/>
  <c r="F54" i="9"/>
  <c r="F32" i="15"/>
  <c r="F60" i="15" s="1"/>
  <c r="F32" i="67"/>
  <c r="F60" i="67" s="1"/>
  <c r="F28" i="67"/>
  <c r="C28" i="67" s="1"/>
  <c r="C30" i="69"/>
  <c r="D68" i="9"/>
  <c r="F28" i="15"/>
  <c r="C28" i="15" s="1"/>
  <c r="M18" i="67"/>
  <c r="F31" i="12"/>
  <c r="C31" i="12" s="1"/>
  <c r="F30" i="68"/>
  <c r="F48" i="68" s="1"/>
  <c r="F53" i="9"/>
  <c r="C40" i="68"/>
  <c r="C21" i="68"/>
  <c r="C40" i="69"/>
  <c r="C21" i="69"/>
  <c r="D22" i="67"/>
  <c r="C36" i="11"/>
  <c r="D9" i="69"/>
  <c r="C9" i="69" s="1"/>
  <c r="O14" i="1"/>
  <c r="P14" i="1" s="1"/>
  <c r="O11" i="1"/>
  <c r="P11" i="1" s="1"/>
  <c r="O12" i="1"/>
  <c r="P12" i="1" s="1"/>
  <c r="O9" i="1"/>
  <c r="P9" i="1" s="1"/>
  <c r="O8" i="1"/>
  <c r="H16" i="1"/>
  <c r="Q16" i="1"/>
  <c r="T9" i="1"/>
  <c r="AQ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7" i="43"/>
  <c r="AI11" i="43"/>
  <c r="AI13" i="43" s="1"/>
  <c r="AG11" i="43"/>
  <c r="AG13" i="43" s="1"/>
  <c r="AE11" i="43"/>
  <c r="AE13" i="43" s="1"/>
  <c r="AC11" i="43"/>
  <c r="AC13" i="43" s="1"/>
  <c r="AA11" i="43"/>
  <c r="AA13" i="43" s="1"/>
  <c r="Y11" i="43"/>
  <c r="Y13" i="43" s="1"/>
  <c r="H75" i="43"/>
  <c r="G12" i="1"/>
  <c r="D12" i="52"/>
  <c r="D127" i="9"/>
  <c r="D13" i="52" s="1"/>
  <c r="AA5" i="71"/>
  <c r="AB5" i="71"/>
  <c r="X5" i="71"/>
  <c r="Y5" i="71"/>
  <c r="Z5" i="71" s="1"/>
  <c r="C69" i="39"/>
  <c r="D67" i="39"/>
  <c r="D69" i="39" s="1"/>
  <c r="C20" i="43"/>
  <c r="C30" i="68"/>
  <c r="C77" i="9"/>
  <c r="C74" i="9" s="1"/>
  <c r="C13" i="12"/>
  <c r="G19" i="43"/>
  <c r="O19" i="43" s="1"/>
  <c r="C19" i="43" s="1"/>
  <c r="C7" i="40"/>
  <c r="C63" i="40" s="1"/>
  <c r="C7" i="33"/>
  <c r="C58" i="33" s="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11" i="15" s="1"/>
  <c r="F51" i="67"/>
  <c r="F65" i="67"/>
  <c r="B12" i="70"/>
  <c r="J53" i="67"/>
  <c r="J57" i="67"/>
  <c r="J55" i="67" s="1"/>
  <c r="J58" i="67" s="1"/>
  <c r="Q50" i="67" s="1"/>
  <c r="L56" i="67"/>
  <c r="I54" i="67"/>
  <c r="M7" i="15"/>
  <c r="J6" i="15" s="1"/>
  <c r="F50" i="15"/>
  <c r="F51" i="15"/>
  <c r="F71" i="15"/>
  <c r="F66" i="67"/>
  <c r="B11" i="70"/>
  <c r="B8" i="70"/>
  <c r="F66" i="15"/>
  <c r="Q71" i="67"/>
  <c r="F64" i="15"/>
  <c r="F70" i="67"/>
  <c r="C27" i="67"/>
  <c r="F71" i="67"/>
  <c r="C27" i="15"/>
  <c r="F65" i="15"/>
  <c r="B9" i="70"/>
  <c r="N59" i="67"/>
  <c r="L59" i="67"/>
  <c r="L58" i="67"/>
  <c r="M59" i="67"/>
  <c r="B13" i="70"/>
  <c r="M7" i="67"/>
  <c r="J6" i="67" s="1"/>
  <c r="F50" i="67"/>
  <c r="F68" i="67"/>
  <c r="F64" i="67"/>
  <c r="F68" i="15"/>
  <c r="M26" i="15"/>
  <c r="L47" i="15"/>
  <c r="F16" i="15"/>
  <c r="M29" i="15"/>
  <c r="M22" i="15"/>
  <c r="G1" i="73"/>
  <c r="F9" i="15"/>
  <c r="C16" i="67"/>
  <c r="M59" i="15" l="1"/>
  <c r="L59" i="15"/>
  <c r="Q61" i="15" s="1"/>
  <c r="L58" i="15"/>
  <c r="Q60" i="15" s="1"/>
  <c r="N59" i="15"/>
  <c r="C6" i="15"/>
  <c r="C32" i="15" s="1"/>
  <c r="F30" i="6"/>
  <c r="E64" i="39"/>
  <c r="E60" i="40"/>
  <c r="S11" i="36"/>
  <c r="AA11" i="36"/>
  <c r="AC14" i="33"/>
  <c r="W14" i="33"/>
  <c r="G5" i="3"/>
  <c r="B3" i="3" s="1"/>
  <c r="AA32" i="36"/>
  <c r="S32" i="36"/>
  <c r="AA45" i="33"/>
  <c r="S45" i="33"/>
  <c r="S25" i="35"/>
  <c r="AA25" i="35"/>
  <c r="AA12" i="37"/>
  <c r="S12" i="37"/>
  <c r="AC14" i="37"/>
  <c r="W14" i="37"/>
  <c r="S40" i="37"/>
  <c r="AA40" i="37"/>
  <c r="W32" i="34"/>
  <c r="AC32" i="34"/>
  <c r="W27" i="33"/>
  <c r="AC27" i="33"/>
  <c r="U13" i="40"/>
  <c r="AB13" i="40"/>
  <c r="AB14" i="37"/>
  <c r="U14" i="37"/>
  <c r="C7" i="43"/>
  <c r="Z13" i="43"/>
  <c r="B63" i="71"/>
  <c r="N64" i="71"/>
  <c r="C57" i="71"/>
  <c r="D56" i="71"/>
  <c r="E70" i="3"/>
  <c r="C23" i="71"/>
  <c r="D23" i="71" s="1"/>
  <c r="D24" i="71"/>
  <c r="E65" i="3"/>
  <c r="B20" i="71"/>
  <c r="B19" i="71" s="1"/>
  <c r="B18" i="71" s="1"/>
  <c r="B17" i="71" s="1"/>
  <c r="S21" i="71"/>
  <c r="AZ174" i="3"/>
  <c r="E287" i="3"/>
  <c r="E16" i="71"/>
  <c r="E15" i="71" s="1"/>
  <c r="E14" i="71" s="1"/>
  <c r="E13" i="71" s="1"/>
  <c r="V17" i="71"/>
  <c r="AC11" i="36"/>
  <c r="W11" i="36"/>
  <c r="U14" i="33"/>
  <c r="AB14" i="33"/>
  <c r="W13" i="39"/>
  <c r="AC13" i="39"/>
  <c r="AB39" i="37"/>
  <c r="U39" i="37"/>
  <c r="AB32" i="36"/>
  <c r="U32" i="36"/>
  <c r="AC9" i="21"/>
  <c r="W9" i="21"/>
  <c r="U12" i="21"/>
  <c r="AB12" i="21"/>
  <c r="S39" i="40"/>
  <c r="AA39" i="40"/>
  <c r="AC12" i="37"/>
  <c r="W12" i="37"/>
  <c r="E8" i="6"/>
  <c r="E11" i="6"/>
  <c r="E14" i="6"/>
  <c r="E10" i="6"/>
  <c r="U40" i="37"/>
  <c r="AB40" i="37"/>
  <c r="U29" i="33"/>
  <c r="AB29" i="33"/>
  <c r="AB14" i="40"/>
  <c r="U14" i="40"/>
  <c r="W35" i="39"/>
  <c r="AC35" i="39"/>
  <c r="S27" i="33"/>
  <c r="AA27" i="33"/>
  <c r="S45" i="39"/>
  <c r="AA45" i="39"/>
  <c r="AC9" i="33"/>
  <c r="W9" i="33"/>
  <c r="C36" i="71"/>
  <c r="D35" i="71"/>
  <c r="AA9" i="33"/>
  <c r="S9" i="33"/>
  <c r="AA45" i="21"/>
  <c r="S45" i="21"/>
  <c r="AB35" i="39"/>
  <c r="U35" i="39"/>
  <c r="E28" i="6"/>
  <c r="E13" i="6"/>
  <c r="D48" i="71"/>
  <c r="C49" i="71"/>
  <c r="D76" i="71"/>
  <c r="C75" i="71"/>
  <c r="D75" i="71" s="1"/>
  <c r="E203" i="3"/>
  <c r="AZ100" i="3"/>
  <c r="D27" i="71"/>
  <c r="C28" i="71"/>
  <c r="E450" i="3"/>
  <c r="D80" i="71"/>
  <c r="C79" i="71"/>
  <c r="D79" i="71" s="1"/>
  <c r="AC36" i="39"/>
  <c r="W36" i="39"/>
  <c r="AA24" i="36"/>
  <c r="S24" i="36"/>
  <c r="S13" i="34"/>
  <c r="AA13" i="34"/>
  <c r="AZ585" i="3"/>
  <c r="AB13" i="39"/>
  <c r="U13" i="39"/>
  <c r="S39" i="37"/>
  <c r="AA39" i="37"/>
  <c r="AA9" i="21"/>
  <c r="S9" i="21"/>
  <c r="AZ13" i="3"/>
  <c r="BA5" i="3"/>
  <c r="E27" i="6" s="1"/>
  <c r="K23" i="6" s="1"/>
  <c r="M23" i="6" s="1"/>
  <c r="I23" i="6" s="1"/>
  <c r="U45" i="21"/>
  <c r="AB45" i="21"/>
  <c r="AB14" i="34"/>
  <c r="U14" i="34"/>
  <c r="AA26" i="37"/>
  <c r="S26" i="37"/>
  <c r="S29" i="33"/>
  <c r="AA29" i="33"/>
  <c r="AZ552" i="3"/>
  <c r="AC13" i="40"/>
  <c r="W13" i="40"/>
  <c r="AC45" i="39"/>
  <c r="W45" i="39"/>
  <c r="U9" i="33"/>
  <c r="AB9" i="33"/>
  <c r="E36" i="3"/>
  <c r="E259" i="3"/>
  <c r="J7" i="37"/>
  <c r="E67" i="39"/>
  <c r="D52" i="71"/>
  <c r="C53" i="71"/>
  <c r="C20" i="71"/>
  <c r="D21" i="71"/>
  <c r="U21" i="71" s="1"/>
  <c r="T21" i="71"/>
  <c r="E39" i="3"/>
  <c r="D41" i="71"/>
  <c r="T41" i="71"/>
  <c r="E59" i="3"/>
  <c r="AZ205" i="3"/>
  <c r="E144" i="3"/>
  <c r="B24" i="71"/>
  <c r="B23" i="71" s="1"/>
  <c r="S25" i="71"/>
  <c r="E315" i="3"/>
  <c r="AZ477" i="3"/>
  <c r="BL5" i="3"/>
  <c r="AA36" i="39"/>
  <c r="S36" i="39"/>
  <c r="W24" i="36"/>
  <c r="AC24" i="36"/>
  <c r="U13" i="34"/>
  <c r="AB13" i="34"/>
  <c r="AZ569" i="3"/>
  <c r="AC39" i="37"/>
  <c r="W39" i="37"/>
  <c r="W14" i="34"/>
  <c r="AC14" i="34"/>
  <c r="AB27" i="33"/>
  <c r="U27" i="33"/>
  <c r="AC40" i="37"/>
  <c r="W40" i="37"/>
  <c r="AC26" i="37"/>
  <c r="W26" i="37"/>
  <c r="U32" i="34"/>
  <c r="AB32" i="34"/>
  <c r="W29" i="33"/>
  <c r="AC29" i="33"/>
  <c r="AZ496" i="3"/>
  <c r="AZ512" i="3"/>
  <c r="S35" i="39"/>
  <c r="AA35" i="39"/>
  <c r="AZ577" i="3"/>
  <c r="AA13" i="40"/>
  <c r="S13" i="40"/>
  <c r="U45" i="39"/>
  <c r="AB45" i="39"/>
  <c r="W14" i="40"/>
  <c r="AC14" i="40"/>
  <c r="AZ15" i="3"/>
  <c r="E58" i="40"/>
  <c r="E57" i="40"/>
  <c r="E61" i="39"/>
  <c r="K21" i="6"/>
  <c r="M21" i="6" s="1"/>
  <c r="I21" i="6" s="1"/>
  <c r="S21" i="6" s="1"/>
  <c r="O7" i="1"/>
  <c r="P7" i="1" s="1"/>
  <c r="C48" i="68"/>
  <c r="C48" i="69"/>
  <c r="J10" i="40"/>
  <c r="W10" i="40" s="1"/>
  <c r="H10" i="39"/>
  <c r="U10" i="39" s="1"/>
  <c r="F10" i="40"/>
  <c r="AA10" i="40" s="1"/>
  <c r="J10" i="39"/>
  <c r="W10" i="39" s="1"/>
  <c r="H10" i="40"/>
  <c r="U10" i="40" s="1"/>
  <c r="D22" i="43"/>
  <c r="K22" i="6"/>
  <c r="M22" i="6" s="1"/>
  <c r="I22" i="6" s="1"/>
  <c r="S22" i="6" s="1"/>
  <c r="O16" i="1"/>
  <c r="K15" i="1"/>
  <c r="E30" i="6"/>
  <c r="E31" i="6" s="1"/>
  <c r="K20" i="6"/>
  <c r="K19" i="6"/>
  <c r="S6" i="1" s="1"/>
  <c r="K24" i="6"/>
  <c r="M24" i="6" s="1"/>
  <c r="I24" i="6" s="1"/>
  <c r="K26" i="6"/>
  <c r="M26" i="6" s="1"/>
  <c r="I26" i="6" s="1"/>
  <c r="F27" i="69"/>
  <c r="F28" i="12"/>
  <c r="C29" i="12" s="1"/>
  <c r="D28" i="12" s="1"/>
  <c r="F27" i="11"/>
  <c r="F27" i="68"/>
  <c r="S23" i="6"/>
  <c r="P8" i="1"/>
  <c r="P16" i="1" s="1"/>
  <c r="C11" i="12" s="1"/>
  <c r="E102" i="43"/>
  <c r="E106" i="43"/>
  <c r="E103" i="43"/>
  <c r="E104" i="43"/>
  <c r="E105" i="43"/>
  <c r="E109" i="43"/>
  <c r="E107" i="43"/>
  <c r="M109" i="43"/>
  <c r="M102" i="43"/>
  <c r="M106" i="43"/>
  <c r="M103" i="43"/>
  <c r="M107" i="43"/>
  <c r="M104" i="43"/>
  <c r="M105" i="43"/>
  <c r="I109" i="43"/>
  <c r="I104" i="43"/>
  <c r="I107" i="43"/>
  <c r="I106" i="43"/>
  <c r="I105" i="43"/>
  <c r="I102"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N102" i="43"/>
  <c r="N105" i="43"/>
  <c r="N104" i="43"/>
  <c r="N109" i="43"/>
  <c r="N103" i="43"/>
  <c r="N106" i="43"/>
  <c r="N107" i="43"/>
  <c r="K103" i="43"/>
  <c r="K102" i="43"/>
  <c r="K105" i="43"/>
  <c r="K107" i="43"/>
  <c r="K104" i="43"/>
  <c r="K106" i="43"/>
  <c r="K109" i="43"/>
  <c r="H102" i="43"/>
  <c r="H103" i="43"/>
  <c r="H104" i="43"/>
  <c r="H109" i="43"/>
  <c r="H107" i="43"/>
  <c r="H105" i="43"/>
  <c r="H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M11" i="15"/>
  <c r="J10" i="15" s="1"/>
  <c r="J5" i="15" s="1"/>
  <c r="F11" i="67"/>
  <c r="F1" i="15"/>
  <c r="Q52" i="15"/>
  <c r="J18" i="67"/>
  <c r="F1" i="67"/>
  <c r="Q52" i="67"/>
  <c r="Q61" i="67"/>
  <c r="Q74" i="67"/>
  <c r="C17" i="15"/>
  <c r="C16" i="15"/>
  <c r="AE6" i="1"/>
  <c r="Q74" i="15" l="1"/>
  <c r="Q73" i="15"/>
  <c r="D53" i="71"/>
  <c r="T53" i="71"/>
  <c r="B16" i="71"/>
  <c r="B15" i="71" s="1"/>
  <c r="B14" i="71" s="1"/>
  <c r="B13" i="71" s="1"/>
  <c r="S17" i="71"/>
  <c r="E396" i="3"/>
  <c r="E151" i="3"/>
  <c r="E385" i="3"/>
  <c r="AI6" i="3"/>
  <c r="E423" i="3"/>
  <c r="E263" i="3"/>
  <c r="E91" i="3"/>
  <c r="E180" i="3"/>
  <c r="E253" i="3"/>
  <c r="E199" i="3"/>
  <c r="E393" i="3"/>
  <c r="E405" i="3"/>
  <c r="E427" i="3"/>
  <c r="E456" i="3"/>
  <c r="E486" i="3"/>
  <c r="E469" i="3"/>
  <c r="E422" i="3"/>
  <c r="E408" i="3"/>
  <c r="E440" i="3"/>
  <c r="E451" i="3"/>
  <c r="E490" i="3"/>
  <c r="AH6" i="3"/>
  <c r="J6" i="3"/>
  <c r="E13" i="3"/>
  <c r="E419" i="3"/>
  <c r="E452" i="3"/>
  <c r="E483" i="3"/>
  <c r="E470" i="3"/>
  <c r="E401" i="3"/>
  <c r="E420" i="3"/>
  <c r="E463" i="3"/>
  <c r="E26" i="3"/>
  <c r="E40" i="3"/>
  <c r="E104" i="3"/>
  <c r="E25" i="3"/>
  <c r="E41" i="3"/>
  <c r="E108" i="3"/>
  <c r="E115" i="3"/>
  <c r="E198" i="3"/>
  <c r="E119" i="3"/>
  <c r="E139" i="3"/>
  <c r="E202" i="3"/>
  <c r="E225" i="3"/>
  <c r="E242" i="3"/>
  <c r="E281" i="3"/>
  <c r="E226" i="3"/>
  <c r="E243" i="3"/>
  <c r="E276" i="3"/>
  <c r="AL6" i="3"/>
  <c r="L6" i="3"/>
  <c r="E60" i="3"/>
  <c r="E94" i="3"/>
  <c r="E43" i="3"/>
  <c r="E488" i="3"/>
  <c r="E428" i="3"/>
  <c r="E482" i="3"/>
  <c r="E412" i="3"/>
  <c r="E18" i="3"/>
  <c r="E96" i="3"/>
  <c r="E78" i="3"/>
  <c r="E174" i="3"/>
  <c r="E220" i="3"/>
  <c r="E275" i="3"/>
  <c r="E235" i="3"/>
  <c r="E383" i="3"/>
  <c r="E35" i="3"/>
  <c r="E86" i="3"/>
  <c r="E34" i="3"/>
  <c r="E232" i="3"/>
  <c r="E251" i="3"/>
  <c r="AF6" i="3"/>
  <c r="E102" i="3"/>
  <c r="E158" i="3"/>
  <c r="E308" i="3"/>
  <c r="E22" i="3"/>
  <c r="E83" i="3"/>
  <c r="E229" i="3"/>
  <c r="E353" i="3"/>
  <c r="E586" i="3"/>
  <c r="E382" i="3"/>
  <c r="E216" i="3"/>
  <c r="E61" i="3"/>
  <c r="E221" i="3"/>
  <c r="E207" i="3"/>
  <c r="E532" i="3"/>
  <c r="T6" i="3"/>
  <c r="AO6" i="3"/>
  <c r="E485" i="3"/>
  <c r="E406" i="3"/>
  <c r="E400" i="3"/>
  <c r="E449" i="3"/>
  <c r="E465" i="3"/>
  <c r="E345" i="3"/>
  <c r="I3" i="6"/>
  <c r="E587" i="3"/>
  <c r="E531" i="3"/>
  <c r="E435" i="3"/>
  <c r="E468" i="3"/>
  <c r="E489" i="3"/>
  <c r="E454" i="3"/>
  <c r="E28" i="3"/>
  <c r="E56" i="3"/>
  <c r="E95" i="3"/>
  <c r="E146" i="3"/>
  <c r="E182" i="3"/>
  <c r="E132" i="3"/>
  <c r="E211" i="3"/>
  <c r="E258" i="3"/>
  <c r="E214" i="3"/>
  <c r="E273" i="3"/>
  <c r="E292" i="3"/>
  <c r="E362" i="3"/>
  <c r="E74" i="3"/>
  <c r="E109" i="3"/>
  <c r="E409" i="3"/>
  <c r="E484" i="3"/>
  <c r="E79" i="3"/>
  <c r="E46" i="3"/>
  <c r="E138" i="3"/>
  <c r="E137" i="3"/>
  <c r="E200" i="3"/>
  <c r="E209" i="3"/>
  <c r="E299" i="3"/>
  <c r="E371" i="3"/>
  <c r="E354" i="3"/>
  <c r="AQ6" i="3"/>
  <c r="E84" i="3"/>
  <c r="E48" i="3"/>
  <c r="E123" i="3"/>
  <c r="E184" i="3"/>
  <c r="E284" i="3"/>
  <c r="E364" i="3"/>
  <c r="E68" i="3"/>
  <c r="E19" i="3"/>
  <c r="E176" i="3"/>
  <c r="E264" i="3"/>
  <c r="E323" i="3"/>
  <c r="E524" i="3"/>
  <c r="E21" i="3"/>
  <c r="E569" i="3"/>
  <c r="E201" i="3"/>
  <c r="E578" i="3"/>
  <c r="E303" i="3"/>
  <c r="E169" i="3"/>
  <c r="E254" i="3"/>
  <c r="E161" i="3"/>
  <c r="E252" i="3"/>
  <c r="E107" i="3"/>
  <c r="E519" i="3"/>
  <c r="E421" i="3"/>
  <c r="E458" i="3"/>
  <c r="E478" i="3"/>
  <c r="E487" i="3"/>
  <c r="E416" i="3"/>
  <c r="E457" i="3"/>
  <c r="E477" i="3"/>
  <c r="E374" i="3"/>
  <c r="E413" i="3"/>
  <c r="E476" i="3"/>
  <c r="E433" i="3"/>
  <c r="E447" i="3"/>
  <c r="E57" i="3"/>
  <c r="E162" i="3"/>
  <c r="E240" i="3"/>
  <c r="E331" i="3"/>
  <c r="E378" i="3"/>
  <c r="E384" i="3"/>
  <c r="E31" i="3"/>
  <c r="E441" i="3"/>
  <c r="E455" i="3"/>
  <c r="E64" i="3"/>
  <c r="E170" i="3"/>
  <c r="E142" i="3"/>
  <c r="E219" i="3"/>
  <c r="E300" i="3"/>
  <c r="E392" i="3"/>
  <c r="E112" i="3"/>
  <c r="E250" i="3"/>
  <c r="E51" i="3"/>
  <c r="E62" i="3"/>
  <c r="E222" i="3"/>
  <c r="E365" i="3"/>
  <c r="E239" i="3"/>
  <c r="E431" i="3"/>
  <c r="E518" i="3"/>
  <c r="E301" i="3"/>
  <c r="E130" i="3"/>
  <c r="E135" i="3"/>
  <c r="E117" i="3"/>
  <c r="E212" i="3"/>
  <c r="E145" i="3"/>
  <c r="E313" i="3"/>
  <c r="E525" i="3"/>
  <c r="Q6" i="3"/>
  <c r="E502" i="3"/>
  <c r="E448" i="3"/>
  <c r="E466" i="3"/>
  <c r="E481" i="3"/>
  <c r="P6" i="3"/>
  <c r="E430" i="3"/>
  <c r="E424" i="3"/>
  <c r="E443" i="3"/>
  <c r="E255" i="3"/>
  <c r="E344" i="3"/>
  <c r="E558" i="3"/>
  <c r="AP6" i="3"/>
  <c r="AE6" i="3"/>
  <c r="E517" i="3"/>
  <c r="E429" i="3"/>
  <c r="E444" i="3"/>
  <c r="E491" i="3"/>
  <c r="E496" i="3"/>
  <c r="E404" i="3"/>
  <c r="E55" i="3"/>
  <c r="E88" i="3"/>
  <c r="E73" i="3"/>
  <c r="E121" i="3"/>
  <c r="E166" i="3"/>
  <c r="E256" i="3"/>
  <c r="E295" i="3"/>
  <c r="E316" i="3"/>
  <c r="E394" i="3"/>
  <c r="E334" i="3"/>
  <c r="E580" i="3"/>
  <c r="E30" i="3"/>
  <c r="E480" i="3"/>
  <c r="E15" i="3"/>
  <c r="E467" i="3"/>
  <c r="E100" i="3"/>
  <c r="E160" i="3"/>
  <c r="E234" i="3"/>
  <c r="E249" i="3"/>
  <c r="E325" i="3"/>
  <c r="E492" i="3"/>
  <c r="E33" i="3"/>
  <c r="E289" i="3"/>
  <c r="E355" i="3"/>
  <c r="E20" i="3"/>
  <c r="E179" i="3"/>
  <c r="E265" i="3"/>
  <c r="E414" i="3"/>
  <c r="AS6" i="3"/>
  <c r="E187" i="3"/>
  <c r="E279" i="3"/>
  <c r="E351" i="3"/>
  <c r="E504" i="3"/>
  <c r="E110" i="3"/>
  <c r="E248" i="3"/>
  <c r="E23" i="3"/>
  <c r="E381" i="3"/>
  <c r="E118" i="3"/>
  <c r="E437" i="3"/>
  <c r="E479" i="3"/>
  <c r="E152" i="3"/>
  <c r="E241" i="3"/>
  <c r="E363" i="3"/>
  <c r="E389" i="3"/>
  <c r="E76" i="3"/>
  <c r="E462" i="3"/>
  <c r="E98" i="3"/>
  <c r="E163" i="3"/>
  <c r="E307" i="3"/>
  <c r="E66" i="3"/>
  <c r="E127" i="3"/>
  <c r="Y6" i="3"/>
  <c r="E81" i="3"/>
  <c r="E309" i="3"/>
  <c r="E185" i="3"/>
  <c r="E529" i="3"/>
  <c r="E548" i="3"/>
  <c r="E459" i="3"/>
  <c r="W6" i="3"/>
  <c r="E403" i="3"/>
  <c r="E436" i="3"/>
  <c r="E126" i="3"/>
  <c r="E297" i="3"/>
  <c r="E357" i="3"/>
  <c r="AM6" i="3"/>
  <c r="E540" i="3"/>
  <c r="E38" i="3"/>
  <c r="E267" i="3"/>
  <c r="E147" i="3"/>
  <c r="E63" i="3"/>
  <c r="E373" i="3"/>
  <c r="AN6" i="3"/>
  <c r="E290" i="3"/>
  <c r="E369" i="3"/>
  <c r="E411" i="3"/>
  <c r="E398" i="3"/>
  <c r="E288" i="3"/>
  <c r="E547" i="3"/>
  <c r="E460" i="3"/>
  <c r="E475" i="3"/>
  <c r="E257" i="3"/>
  <c r="E317" i="3"/>
  <c r="E58" i="3"/>
  <c r="E473" i="3"/>
  <c r="E103" i="3"/>
  <c r="E266" i="3"/>
  <c r="E52" i="3"/>
  <c r="E233" i="3"/>
  <c r="E154" i="3"/>
  <c r="E271" i="3"/>
  <c r="E573" i="3"/>
  <c r="E474" i="3"/>
  <c r="E537" i="3"/>
  <c r="E90" i="3"/>
  <c r="E168" i="3"/>
  <c r="E348" i="3"/>
  <c r="E194" i="3"/>
  <c r="E87" i="3"/>
  <c r="E50" i="3"/>
  <c r="E509" i="3"/>
  <c r="E350" i="3"/>
  <c r="E149" i="3"/>
  <c r="K6" i="3"/>
  <c r="E464" i="3"/>
  <c r="E438" i="3"/>
  <c r="E367" i="3"/>
  <c r="E582" i="3"/>
  <c r="E471" i="3"/>
  <c r="E71" i="3"/>
  <c r="E131" i="3"/>
  <c r="E208" i="3"/>
  <c r="E291" i="3"/>
  <c r="E375" i="3"/>
  <c r="E93" i="3"/>
  <c r="E425" i="3"/>
  <c r="E339" i="3"/>
  <c r="E67" i="3"/>
  <c r="E341" i="3"/>
  <c r="E218" i="3"/>
  <c r="E230" i="3"/>
  <c r="E432" i="3"/>
  <c r="E546" i="3"/>
  <c r="E272" i="3"/>
  <c r="E29" i="3"/>
  <c r="E310" i="3"/>
  <c r="E283" i="3"/>
  <c r="E584" i="3"/>
  <c r="E560" i="3"/>
  <c r="E330" i="3"/>
  <c r="E340" i="3"/>
  <c r="E386" i="3"/>
  <c r="E527" i="3"/>
  <c r="E571" i="3"/>
  <c r="E556" i="3"/>
  <c r="E376" i="3"/>
  <c r="E564" i="3"/>
  <c r="E507" i="3"/>
  <c r="E493" i="3"/>
  <c r="E372" i="3"/>
  <c r="E175" i="3"/>
  <c r="E343" i="3"/>
  <c r="E508" i="3"/>
  <c r="E366" i="3"/>
  <c r="E282" i="3"/>
  <c r="E388" i="3"/>
  <c r="E410" i="3"/>
  <c r="E143" i="3"/>
  <c r="E568" i="3"/>
  <c r="E536" i="3"/>
  <c r="E453" i="3"/>
  <c r="E244" i="3"/>
  <c r="E159" i="3"/>
  <c r="E99" i="3"/>
  <c r="E228" i="3"/>
  <c r="E157" i="3"/>
  <c r="E85" i="3"/>
  <c r="E238" i="3"/>
  <c r="E116" i="3"/>
  <c r="E105" i="3"/>
  <c r="E379" i="3"/>
  <c r="E585" i="3"/>
  <c r="U6" i="3"/>
  <c r="E515" i="3"/>
  <c r="E69" i="3"/>
  <c r="E278" i="3"/>
  <c r="E563" i="3"/>
  <c r="E172" i="3"/>
  <c r="E445" i="3"/>
  <c r="E535" i="3"/>
  <c r="E539" i="3"/>
  <c r="E567" i="3"/>
  <c r="E227" i="3"/>
  <c r="E165" i="3"/>
  <c r="E311" i="3"/>
  <c r="E514" i="3"/>
  <c r="E570" i="3"/>
  <c r="M6" i="3"/>
  <c r="AB6" i="3"/>
  <c r="E387" i="3"/>
  <c r="E335" i="3"/>
  <c r="E215" i="3"/>
  <c r="E16" i="3"/>
  <c r="E122" i="3"/>
  <c r="E133" i="3"/>
  <c r="E542" i="3"/>
  <c r="E528" i="3"/>
  <c r="E347" i="3"/>
  <c r="E124" i="3"/>
  <c r="E561" i="3"/>
  <c r="E231" i="3"/>
  <c r="E495" i="3"/>
  <c r="E377" i="3"/>
  <c r="E521" i="3"/>
  <c r="E512" i="3"/>
  <c r="E417" i="3"/>
  <c r="E534" i="3"/>
  <c r="E391" i="3"/>
  <c r="E370" i="3"/>
  <c r="E333" i="3"/>
  <c r="E356" i="3"/>
  <c r="E497" i="3"/>
  <c r="E324" i="3"/>
  <c r="E346" i="3"/>
  <c r="E516" i="3"/>
  <c r="E319" i="3"/>
  <c r="E153" i="3"/>
  <c r="E328" i="3"/>
  <c r="E526" i="3"/>
  <c r="E322" i="3"/>
  <c r="O6" i="3"/>
  <c r="E359" i="3"/>
  <c r="E97" i="3"/>
  <c r="E511" i="3"/>
  <c r="AK6" i="3"/>
  <c r="E306" i="3"/>
  <c r="E262" i="3"/>
  <c r="E136" i="3"/>
  <c r="E236" i="3"/>
  <c r="E269" i="3"/>
  <c r="E89" i="3"/>
  <c r="E45" i="3"/>
  <c r="E224" i="3"/>
  <c r="E193" i="3"/>
  <c r="E286" i="3"/>
  <c r="E575" i="3"/>
  <c r="E499" i="3"/>
  <c r="R6" i="3"/>
  <c r="E304" i="3"/>
  <c r="E565" i="3"/>
  <c r="E213" i="3"/>
  <c r="E17" i="3"/>
  <c r="E302" i="3"/>
  <c r="E583" i="3"/>
  <c r="X6" i="3"/>
  <c r="E336" i="3"/>
  <c r="E246" i="3"/>
  <c r="E293" i="3"/>
  <c r="E390" i="3"/>
  <c r="S6" i="3"/>
  <c r="E523" i="3"/>
  <c r="E506" i="3"/>
  <c r="E418" i="3"/>
  <c r="E338" i="3"/>
  <c r="E321" i="3"/>
  <c r="E298" i="3"/>
  <c r="E442" i="3"/>
  <c r="E581" i="3"/>
  <c r="E53" i="3"/>
  <c r="E426" i="3"/>
  <c r="E268" i="3"/>
  <c r="E285" i="3"/>
  <c r="E296" i="3"/>
  <c r="E148" i="3"/>
  <c r="E177" i="3"/>
  <c r="E183" i="3"/>
  <c r="AA6" i="3"/>
  <c r="E280" i="3"/>
  <c r="E533" i="3"/>
  <c r="E439" i="3"/>
  <c r="E572" i="3"/>
  <c r="E577" i="3"/>
  <c r="E520" i="3"/>
  <c r="E505" i="3"/>
  <c r="E141" i="3"/>
  <c r="E579" i="3"/>
  <c r="E554" i="3"/>
  <c r="E494" i="3"/>
  <c r="E342" i="3"/>
  <c r="E498" i="3"/>
  <c r="E326" i="3"/>
  <c r="E129" i="3"/>
  <c r="E530" i="3"/>
  <c r="E305" i="3"/>
  <c r="E125" i="3"/>
  <c r="E553" i="3"/>
  <c r="N6" i="3"/>
  <c r="E555" i="3"/>
  <c r="E337" i="3"/>
  <c r="E397" i="3"/>
  <c r="I6" i="3"/>
  <c r="E549" i="3"/>
  <c r="E368" i="3"/>
  <c r="E245" i="3"/>
  <c r="E191" i="3"/>
  <c r="E188" i="3"/>
  <c r="E181" i="3"/>
  <c r="E140" i="3"/>
  <c r="E223" i="3"/>
  <c r="E197" i="3"/>
  <c r="E173" i="3"/>
  <c r="E327" i="3"/>
  <c r="E576" i="3"/>
  <c r="Z6" i="3"/>
  <c r="AG6" i="3"/>
  <c r="E114" i="3"/>
  <c r="E415" i="3"/>
  <c r="E395" i="3"/>
  <c r="E260" i="3"/>
  <c r="E550" i="3"/>
  <c r="E329" i="3"/>
  <c r="E545" i="3"/>
  <c r="E510" i="3"/>
  <c r="E352" i="3"/>
  <c r="E205" i="3"/>
  <c r="E128" i="3"/>
  <c r="E358" i="3"/>
  <c r="E559" i="3"/>
  <c r="E551" i="3"/>
  <c r="V6" i="3"/>
  <c r="E407" i="3"/>
  <c r="E320" i="3"/>
  <c r="E294" i="3"/>
  <c r="E544" i="3"/>
  <c r="E541" i="3"/>
  <c r="E500" i="3"/>
  <c r="E557" i="3"/>
  <c r="E513" i="3"/>
  <c r="E522" i="3"/>
  <c r="E332" i="3"/>
  <c r="E189" i="3"/>
  <c r="E543" i="3"/>
  <c r="E360" i="3"/>
  <c r="E113" i="3"/>
  <c r="E501" i="3"/>
  <c r="E217" i="3"/>
  <c r="AJ6" i="3"/>
  <c r="E574" i="3"/>
  <c r="E314" i="3"/>
  <c r="E434" i="3"/>
  <c r="E196" i="3"/>
  <c r="E156" i="3"/>
  <c r="E120" i="3"/>
  <c r="E277" i="3"/>
  <c r="E312" i="3"/>
  <c r="AD6" i="3"/>
  <c r="E552" i="3"/>
  <c r="E261" i="3"/>
  <c r="E361" i="3"/>
  <c r="E503" i="3"/>
  <c r="E399" i="3"/>
  <c r="E270" i="3"/>
  <c r="AR6" i="3"/>
  <c r="E538" i="3"/>
  <c r="E380" i="3"/>
  <c r="E318" i="3"/>
  <c r="E204" i="3"/>
  <c r="E72" i="3"/>
  <c r="E106" i="3"/>
  <c r="E237" i="3"/>
  <c r="E247" i="3"/>
  <c r="E178" i="3"/>
  <c r="E80" i="3"/>
  <c r="E134" i="3"/>
  <c r="E54" i="3"/>
  <c r="C29" i="71"/>
  <c r="D28" i="71"/>
  <c r="E155" i="3"/>
  <c r="E24" i="3"/>
  <c r="K14" i="1"/>
  <c r="K25" i="6"/>
  <c r="M25" i="6" s="1"/>
  <c r="I25" i="6" s="1"/>
  <c r="S25" i="6" s="1"/>
  <c r="C37" i="71"/>
  <c r="D36" i="71"/>
  <c r="E63" i="39"/>
  <c r="E59" i="40"/>
  <c r="E186" i="3"/>
  <c r="E111" i="3"/>
  <c r="E101" i="3"/>
  <c r="N62" i="71"/>
  <c r="N63" i="71"/>
  <c r="E566" i="3"/>
  <c r="E210" i="3"/>
  <c r="E27" i="3"/>
  <c r="E82" i="3"/>
  <c r="E461" i="3"/>
  <c r="E274" i="3"/>
  <c r="E192" i="3"/>
  <c r="AZ5" i="3"/>
  <c r="E402" i="3"/>
  <c r="E190" i="3"/>
  <c r="E37" i="3"/>
  <c r="T49" i="71"/>
  <c r="D49" i="71"/>
  <c r="E60" i="39"/>
  <c r="E56" i="40"/>
  <c r="E167" i="3"/>
  <c r="E47" i="3"/>
  <c r="E14" i="3"/>
  <c r="E164" i="3"/>
  <c r="E75" i="3"/>
  <c r="E49" i="3"/>
  <c r="K16" i="1"/>
  <c r="E62" i="39"/>
  <c r="E562" i="3"/>
  <c r="E446" i="3"/>
  <c r="E42" i="3"/>
  <c r="C19" i="71"/>
  <c r="D20" i="71"/>
  <c r="E195" i="3"/>
  <c r="E349" i="3"/>
  <c r="E150" i="3"/>
  <c r="E206" i="3"/>
  <c r="E77" i="3"/>
  <c r="E51" i="40"/>
  <c r="E16" i="6"/>
  <c r="F27" i="6"/>
  <c r="F31" i="6" s="1"/>
  <c r="E56" i="39"/>
  <c r="E65" i="39" s="1"/>
  <c r="E12" i="71"/>
  <c r="E11" i="71" s="1"/>
  <c r="E10" i="71" s="1"/>
  <c r="E9" i="71" s="1"/>
  <c r="V13" i="71"/>
  <c r="E44" i="3"/>
  <c r="T57" i="71"/>
  <c r="D57" i="71"/>
  <c r="E472" i="3"/>
  <c r="E171" i="3"/>
  <c r="E32" i="3"/>
  <c r="E92" i="3"/>
  <c r="AC10" i="39"/>
  <c r="E6" i="70"/>
  <c r="AG6" i="1"/>
  <c r="AC10" i="40"/>
  <c r="S10" i="40"/>
  <c r="AB10" i="40"/>
  <c r="AQ6" i="1"/>
  <c r="AR6" i="1"/>
  <c r="T6" i="1"/>
  <c r="M20" i="6"/>
  <c r="I20" i="6" s="1"/>
  <c r="S20" i="6" s="1"/>
  <c r="S7" i="1"/>
  <c r="S24" i="6"/>
  <c r="S26" i="6"/>
  <c r="M19" i="6"/>
  <c r="K27" i="6"/>
  <c r="F45" i="68"/>
  <c r="C47" i="68"/>
  <c r="D45" i="68" s="1"/>
  <c r="C29" i="68"/>
  <c r="D27" i="68" s="1"/>
  <c r="C15" i="12"/>
  <c r="C12" i="12"/>
  <c r="C47" i="11"/>
  <c r="D45" i="11" s="1"/>
  <c r="C29" i="11"/>
  <c r="D27" i="11" s="1"/>
  <c r="F45" i="69"/>
  <c r="C29" i="69"/>
  <c r="D27" i="69" s="1"/>
  <c r="C47" i="69"/>
  <c r="D45" i="69" s="1"/>
  <c r="S2" i="43"/>
  <c r="T2" i="43" s="1"/>
  <c r="V2" i="43" s="1"/>
  <c r="S6" i="43"/>
  <c r="T6" i="43" s="1"/>
  <c r="V6" i="43" s="1"/>
  <c r="S5" i="43"/>
  <c r="T5" i="43" s="1"/>
  <c r="V5" i="43" s="1"/>
  <c r="S3" i="43"/>
  <c r="T3" i="43" s="1"/>
  <c r="V3" i="43" s="1"/>
  <c r="S4" i="43"/>
  <c r="T4" i="43" s="1"/>
  <c r="V4" i="43" s="1"/>
  <c r="C23" i="43"/>
  <c r="C21" i="43" s="1"/>
  <c r="C29" i="43" s="1"/>
  <c r="C30" i="43" s="1"/>
  <c r="E30" i="43" s="1"/>
  <c r="S7" i="43"/>
  <c r="T7" i="43" s="1"/>
  <c r="V7" i="43" s="1"/>
  <c r="C115" i="43"/>
  <c r="D11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AE7" i="1"/>
  <c r="C17" i="67"/>
  <c r="C14" i="67"/>
  <c r="F41" i="67"/>
  <c r="M27" i="15"/>
  <c r="C14" i="15"/>
  <c r="F41" i="15"/>
  <c r="AY6" i="3" l="1"/>
  <c r="E3" i="6"/>
  <c r="T37" i="71"/>
  <c r="D37" i="71"/>
  <c r="B12" i="71"/>
  <c r="B11" i="71" s="1"/>
  <c r="B10" i="71" s="1"/>
  <c r="B9" i="71" s="1"/>
  <c r="S13" i="71"/>
  <c r="D19" i="71"/>
  <c r="C18" i="71"/>
  <c r="H6" i="3"/>
  <c r="E8" i="71"/>
  <c r="E7" i="71" s="1"/>
  <c r="E6" i="71" s="1"/>
  <c r="E5" i="71" s="1"/>
  <c r="V9" i="71"/>
  <c r="M14" i="1"/>
  <c r="M16" i="1" s="1"/>
  <c r="C34" i="69"/>
  <c r="T29" i="71"/>
  <c r="D29" i="71"/>
  <c r="AC6" i="3"/>
  <c r="F69" i="15"/>
  <c r="C19" i="68"/>
  <c r="F69" i="67"/>
  <c r="C18" i="67"/>
  <c r="C15" i="67"/>
  <c r="J29" i="67"/>
  <c r="C15" i="15"/>
  <c r="C18" i="15"/>
  <c r="S16" i="1"/>
  <c r="E7" i="70"/>
  <c r="E2" i="70" s="1"/>
  <c r="AQ7" i="1"/>
  <c r="AR7" i="1"/>
  <c r="T7" i="1"/>
  <c r="I19" i="6"/>
  <c r="M27" i="6"/>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E6" i="76"/>
  <c r="B6" i="76"/>
  <c r="C34" i="11" l="1"/>
  <c r="C34" i="68"/>
  <c r="L16" i="1"/>
  <c r="N16" i="1"/>
  <c r="C17" i="71"/>
  <c r="D18" i="71"/>
  <c r="L18" i="9"/>
  <c r="D3" i="34"/>
  <c r="B2" i="34" s="1"/>
  <c r="B3" i="34" s="1"/>
  <c r="D19" i="11"/>
  <c r="C19" i="11" s="1"/>
  <c r="D3" i="37"/>
  <c r="D3" i="21"/>
  <c r="C17" i="4"/>
  <c r="B4" i="52" s="1"/>
  <c r="B43" i="72" s="1"/>
  <c r="M18" i="9"/>
  <c r="B118" i="9" s="1"/>
  <c r="B14" i="74" s="1"/>
  <c r="B1" i="74" s="1"/>
  <c r="D3" i="33"/>
  <c r="D37" i="11"/>
  <c r="C37" i="11" s="1"/>
  <c r="D14" i="12"/>
  <c r="E6" i="6"/>
  <c r="C35" i="69"/>
  <c r="C38" i="69"/>
  <c r="E6" i="3"/>
  <c r="B8" i="71"/>
  <c r="B7" i="71" s="1"/>
  <c r="B6" i="71" s="1"/>
  <c r="B5" i="71" s="1"/>
  <c r="S9"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3" i="3"/>
  <c r="AY34" i="3"/>
  <c r="AY191" i="3"/>
  <c r="AY155" i="3"/>
  <c r="AY95" i="3"/>
  <c r="AY31" i="3"/>
  <c r="AY131" i="3"/>
  <c r="AY111" i="3"/>
  <c r="AY147" i="3"/>
  <c r="AY268" i="3"/>
  <c r="AY382" i="3"/>
  <c r="AY350" i="3"/>
  <c r="AY318" i="3"/>
  <c r="AY460" i="3"/>
  <c r="AY425" i="3"/>
  <c r="AY106" i="3"/>
  <c r="AY300" i="3"/>
  <c r="AY244" i="3"/>
  <c r="AY395" i="3"/>
  <c r="AY327" i="3"/>
  <c r="AY481" i="3"/>
  <c r="AY452" i="3"/>
  <c r="AY401" i="3"/>
  <c r="AY562" i="3"/>
  <c r="AY569" i="3"/>
  <c r="BE6" i="3"/>
  <c r="AY89" i="3"/>
  <c r="AY77" i="3"/>
  <c r="AY76" i="3"/>
  <c r="AY36" i="3"/>
  <c r="AY206" i="3"/>
  <c r="AY185" i="3"/>
  <c r="AY146" i="3"/>
  <c r="AY149" i="3"/>
  <c r="AY125" i="3"/>
  <c r="AY302" i="3"/>
  <c r="AY263" i="3"/>
  <c r="AY262" i="3"/>
  <c r="AY222" i="3"/>
  <c r="AY392" i="3"/>
  <c r="AY374" i="3"/>
  <c r="BS6" i="3"/>
  <c r="BJ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8" i="3"/>
  <c r="AY124" i="3"/>
  <c r="AY188" i="3"/>
  <c r="AY281" i="3"/>
  <c r="AY297" i="3"/>
  <c r="AY387" i="3"/>
  <c r="AY473" i="3"/>
  <c r="AY444" i="3"/>
  <c r="AY26" i="3"/>
  <c r="AY228" i="3"/>
  <c r="AY311" i="3"/>
  <c r="AY420" i="3"/>
  <c r="BK6" i="3"/>
  <c r="AY533" i="3"/>
  <c r="AY108" i="3"/>
  <c r="AY68" i="3"/>
  <c r="AY190" i="3"/>
  <c r="AY138" i="3"/>
  <c r="AY133" i="3"/>
  <c r="AY117" i="3"/>
  <c r="AY247" i="3"/>
  <c r="AY214" i="3"/>
  <c r="AY365" i="3"/>
  <c r="AY554" i="3"/>
  <c r="AY73" i="3"/>
  <c r="AY202" i="3"/>
  <c r="AY145" i="3"/>
  <c r="AY295" i="3"/>
  <c r="AY242" i="3"/>
  <c r="AY353" i="3"/>
  <c r="AY348" i="3"/>
  <c r="AY475" i="3"/>
  <c r="AY472" i="3"/>
  <c r="AY430" i="3"/>
  <c r="AY411" i="3"/>
  <c r="AY585" i="3"/>
  <c r="AY534" i="3"/>
  <c r="AY495" i="3"/>
  <c r="BG6" i="3"/>
  <c r="AY494" i="3"/>
  <c r="AY582" i="3"/>
  <c r="AY65" i="3"/>
  <c r="AY194" i="3"/>
  <c r="AY158" i="3"/>
  <c r="AY287" i="3"/>
  <c r="AY234" i="3"/>
  <c r="AY380" i="3"/>
  <c r="AY329" i="3"/>
  <c r="AY344" i="3"/>
  <c r="AY471" i="3"/>
  <c r="AY468" i="3"/>
  <c r="AY426" i="3"/>
  <c r="AY407" i="3"/>
  <c r="AY14" i="3"/>
  <c r="AY524" i="3"/>
  <c r="AY542" i="3"/>
  <c r="AY570" i="3"/>
  <c r="AY99" i="3"/>
  <c r="AY46" i="3"/>
  <c r="AY156" i="3"/>
  <c r="AY285" i="3"/>
  <c r="AY232" i="3"/>
  <c r="AY378" i="3"/>
  <c r="AY346" i="3"/>
  <c r="AY456" i="3"/>
  <c r="AY558" i="3"/>
  <c r="BL6" i="3"/>
  <c r="AY91" i="3"/>
  <c r="AY38" i="3"/>
  <c r="AY148" i="3"/>
  <c r="AY128" i="3"/>
  <c r="AY241" i="3"/>
  <c r="AY391" i="3"/>
  <c r="AY338" i="3"/>
  <c r="AY448" i="3"/>
  <c r="BD6" i="3"/>
  <c r="AY511" i="3"/>
  <c r="AY87" i="3"/>
  <c r="AY23" i="3"/>
  <c r="AY144" i="3"/>
  <c r="AY59" i="3"/>
  <c r="AY292" i="3"/>
  <c r="AY253" i="3"/>
  <c r="AY371" i="3"/>
  <c r="AY486" i="3"/>
  <c r="AY428" i="3"/>
  <c r="AY199" i="3"/>
  <c r="AY217" i="3"/>
  <c r="AY342" i="3"/>
  <c r="AY404" i="3"/>
  <c r="AY544" i="3"/>
  <c r="AY553" i="3"/>
  <c r="AY92" i="3"/>
  <c r="AY53" i="3"/>
  <c r="AY33" i="3"/>
  <c r="AY170" i="3"/>
  <c r="AY165" i="3"/>
  <c r="AY299" i="3"/>
  <c r="AY239" i="3"/>
  <c r="AY219" i="3"/>
  <c r="AY357" i="3"/>
  <c r="AY93" i="3"/>
  <c r="AY57" i="3"/>
  <c r="AY186" i="3"/>
  <c r="AY150" i="3"/>
  <c r="AY279" i="3"/>
  <c r="AY243" i="3"/>
  <c r="AY393" i="3"/>
  <c r="AY325" i="3"/>
  <c r="AY340" i="3"/>
  <c r="AY467" i="3"/>
  <c r="AY454" i="3"/>
  <c r="AY435" i="3"/>
  <c r="AY525" i="3"/>
  <c r="BN6" i="3"/>
  <c r="AY527" i="3"/>
  <c r="AY559" i="3"/>
  <c r="AY508" i="3"/>
  <c r="AY577" i="3"/>
  <c r="AY112" i="3"/>
  <c r="AY32" i="3"/>
  <c r="AY142" i="3"/>
  <c r="AY122" i="3"/>
  <c r="AY235" i="3"/>
  <c r="AY385" i="3"/>
  <c r="AY321" i="3"/>
  <c r="AY304" i="3"/>
  <c r="AY461" i="3"/>
  <c r="AY418" i="3"/>
  <c r="AY399" i="3"/>
  <c r="AY564" i="3"/>
  <c r="AY575" i="3"/>
  <c r="AY530" i="3"/>
  <c r="AY548" i="3"/>
  <c r="AY110" i="3"/>
  <c r="AY30" i="3"/>
  <c r="AY140" i="3"/>
  <c r="AY296" i="3"/>
  <c r="AY233" i="3"/>
  <c r="AY383" i="3"/>
  <c r="AY347" i="3"/>
  <c r="AY482" i="3"/>
  <c r="AY421" i="3"/>
  <c r="AY528" i="3"/>
  <c r="AY576" i="3"/>
  <c r="AY39" i="3"/>
  <c r="AY195" i="3"/>
  <c r="AY136" i="3"/>
  <c r="AY288" i="3"/>
  <c r="AY208" i="3"/>
  <c r="AY375" i="3"/>
  <c r="AY322" i="3"/>
  <c r="AY432" i="3"/>
  <c r="AY15" i="3"/>
  <c r="AY567" i="3"/>
  <c r="AY51" i="3"/>
  <c r="AY176" i="3"/>
  <c r="AY90" i="3"/>
  <c r="AY75" i="3"/>
  <c r="AY236" i="3"/>
  <c r="AY335" i="3"/>
  <c r="AY409" i="3"/>
  <c r="AY269" i="3"/>
  <c r="AY372" i="3"/>
  <c r="AY465" i="3"/>
  <c r="AY535" i="3"/>
  <c r="AY555" i="3"/>
  <c r="AY61" i="3"/>
  <c r="AY28" i="3"/>
  <c r="AY178" i="3"/>
  <c r="AY294" i="3"/>
  <c r="AY254" i="3"/>
  <c r="AY397" i="3"/>
  <c r="AY109" i="3"/>
  <c r="AY56" i="3"/>
  <c r="AY166" i="3"/>
  <c r="AY259" i="3"/>
  <c r="AY388" i="3"/>
  <c r="AY333" i="3"/>
  <c r="AY316" i="3"/>
  <c r="AY462" i="3"/>
  <c r="AY398" i="3"/>
  <c r="BQ6" i="3"/>
  <c r="AY571" i="3"/>
  <c r="AY501" i="3"/>
  <c r="AY101" i="3"/>
  <c r="AY48" i="3"/>
  <c r="AY137" i="3"/>
  <c r="AY251" i="3"/>
  <c r="AY364" i="3"/>
  <c r="AY312" i="3"/>
  <c r="AY458" i="3"/>
  <c r="AY439" i="3"/>
  <c r="AY506" i="3"/>
  <c r="AY565" i="3"/>
  <c r="AY578" i="3"/>
  <c r="AY63" i="3"/>
  <c r="AY192" i="3"/>
  <c r="AY135" i="3"/>
  <c r="AY249" i="3"/>
  <c r="AY362" i="3"/>
  <c r="AY469" i="3"/>
  <c r="AY437" i="3"/>
  <c r="AY560" i="3"/>
  <c r="AY55" i="3"/>
  <c r="AY184" i="3"/>
  <c r="AY277" i="3"/>
  <c r="AY224" i="3"/>
  <c r="AY354" i="3"/>
  <c r="AY490" i="3"/>
  <c r="AY429" i="3"/>
  <c r="AY586" i="3"/>
  <c r="AY82" i="3"/>
  <c r="AY132" i="3"/>
  <c r="AY152" i="3"/>
  <c r="AY58" i="3"/>
  <c r="AY220" i="3"/>
  <c r="AY303" i="3"/>
  <c r="AY529" i="3"/>
  <c r="AY245" i="3"/>
  <c r="AY355" i="3"/>
  <c r="AY463" i="3"/>
  <c r="AY513" i="3"/>
  <c r="BO6" i="3"/>
  <c r="AY60" i="3"/>
  <c r="AY182" i="3"/>
  <c r="AY126" i="3"/>
  <c r="AY278" i="3"/>
  <c r="AY246" i="3"/>
  <c r="AY389" i="3"/>
  <c r="BH6" i="3"/>
  <c r="AY40" i="3"/>
  <c r="AY130" i="3"/>
  <c r="AY226" i="3"/>
  <c r="AY356" i="3"/>
  <c r="AY308" i="3"/>
  <c r="AY464" i="3"/>
  <c r="AY422" i="3"/>
  <c r="AY403" i="3"/>
  <c r="AY516" i="3"/>
  <c r="AY518" i="3"/>
  <c r="AY556" i="3"/>
  <c r="AY49" i="3"/>
  <c r="AY205" i="3"/>
  <c r="AY298" i="3"/>
  <c r="AY218" i="3"/>
  <c r="AY352" i="3"/>
  <c r="AY336" i="3"/>
  <c r="AY492" i="3"/>
  <c r="AY450" i="3"/>
  <c r="AY431" i="3"/>
  <c r="AY17" i="3"/>
  <c r="AY537" i="3"/>
  <c r="AY563" i="3"/>
  <c r="AY47" i="3"/>
  <c r="AY203" i="3"/>
  <c r="AY120" i="3"/>
  <c r="AY216" i="3"/>
  <c r="AY330" i="3"/>
  <c r="AY440" i="3"/>
  <c r="AY13" i="3"/>
  <c r="AY102" i="3"/>
  <c r="AY22" i="3"/>
  <c r="AY175" i="3"/>
  <c r="AY272" i="3"/>
  <c r="AY339" i="3"/>
  <c r="AY474" i="3"/>
  <c r="AY413" i="3"/>
  <c r="AY583" i="3"/>
  <c r="AY66" i="3"/>
  <c r="AY42" i="3"/>
  <c r="AY237" i="3"/>
  <c r="AY470" i="3"/>
  <c r="AY260" i="3"/>
  <c r="AY447" i="3"/>
  <c r="AY541" i="3"/>
  <c r="AY44" i="3"/>
  <c r="AY157" i="3"/>
  <c r="AY231" i="3"/>
  <c r="AY360" i="3"/>
  <c r="AY24" i="3"/>
  <c r="AY290" i="3"/>
  <c r="AY349" i="3"/>
  <c r="AY488" i="3"/>
  <c r="AY427" i="3"/>
  <c r="BF6" i="3"/>
  <c r="AY584" i="3"/>
  <c r="AY80" i="3"/>
  <c r="AY129" i="3"/>
  <c r="AY369" i="3"/>
  <c r="AY487" i="3"/>
  <c r="AY410" i="3"/>
  <c r="D3" i="6"/>
  <c r="AY531" i="3"/>
  <c r="AY35" i="3"/>
  <c r="AY280" i="3"/>
  <c r="AY331" i="3"/>
  <c r="AY405" i="3"/>
  <c r="AY86" i="3"/>
  <c r="AY159" i="3"/>
  <c r="AY213" i="3"/>
  <c r="AY459" i="3"/>
  <c r="AY504" i="3"/>
  <c r="AY207" i="3"/>
  <c r="AY163" i="3"/>
  <c r="AY225" i="3"/>
  <c r="AY441" i="3"/>
  <c r="AY390" i="3"/>
  <c r="AY433" i="3"/>
  <c r="AY97" i="3"/>
  <c r="AY25" i="3"/>
  <c r="AY118" i="3"/>
  <c r="AY230" i="3"/>
  <c r="BI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98" i="3"/>
  <c r="AY168" i="3"/>
  <c r="AY334" i="3"/>
  <c r="AY310" i="3"/>
  <c r="AY574" i="3"/>
  <c r="AY154" i="3"/>
  <c r="AY271" i="3"/>
  <c r="AY41" i="3"/>
  <c r="AY114" i="3"/>
  <c r="AY491" i="3"/>
  <c r="AY414" i="3"/>
  <c r="AY16" i="3"/>
  <c r="AY169" i="3"/>
  <c r="AY223" i="3"/>
  <c r="AY442" i="3"/>
  <c r="AY499" i="3"/>
  <c r="AY78" i="3"/>
  <c r="AY127" i="3"/>
  <c r="AY424" i="3"/>
  <c r="AY179" i="3"/>
  <c r="AY256" i="3"/>
  <c r="BC6" i="3"/>
  <c r="AY171" i="3"/>
  <c r="AY276" i="3"/>
  <c r="AY366" i="3"/>
  <c r="AY526" i="3"/>
  <c r="AY358" i="3"/>
  <c r="AY549" i="3"/>
  <c r="AY85" i="3"/>
  <c r="AY201" i="3"/>
  <c r="AY283" i="3"/>
  <c r="AY21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115" i="3"/>
  <c r="AY180" i="3"/>
  <c r="AY45" i="3"/>
  <c r="AY381" i="3"/>
  <c r="AY377" i="3"/>
  <c r="AY561" i="3"/>
  <c r="AY96" i="3"/>
  <c r="AY328" i="3"/>
  <c r="BR6" i="3"/>
  <c r="AY376" i="3"/>
  <c r="AY587" i="3"/>
  <c r="AY306" i="3"/>
  <c r="C19" i="15"/>
  <c r="C20" i="15" s="1"/>
  <c r="C26" i="15" s="1"/>
  <c r="C19" i="67"/>
  <c r="C20" i="67" s="1"/>
  <c r="C26" i="67" s="1"/>
  <c r="T16" i="1"/>
  <c r="S19" i="6"/>
  <c r="S27" i="6" s="1"/>
  <c r="I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D17" i="12" l="1"/>
  <c r="C17" i="12" s="1"/>
  <c r="C14" i="12"/>
  <c r="C16" i="12" s="1"/>
  <c r="C23" i="15"/>
  <c r="C29" i="15" s="1"/>
  <c r="C38" i="68"/>
  <c r="C35" i="68"/>
  <c r="M19" i="9"/>
  <c r="C118" i="9" s="1"/>
  <c r="C14" i="74" s="1"/>
  <c r="B2" i="74" s="1"/>
  <c r="D21" i="6"/>
  <c r="E61" i="40"/>
  <c r="D11" i="6"/>
  <c r="D26" i="6"/>
  <c r="D28" i="6"/>
  <c r="D19" i="6"/>
  <c r="D10" i="6"/>
  <c r="D22" i="6"/>
  <c r="D20" i="6"/>
  <c r="C18" i="4"/>
  <c r="D9" i="6"/>
  <c r="D5" i="6"/>
  <c r="D15" i="6"/>
  <c r="D23" i="6"/>
  <c r="D8" i="6"/>
  <c r="L19" i="9"/>
  <c r="D24" i="6"/>
  <c r="D14" i="6"/>
  <c r="D25" i="6"/>
  <c r="D6" i="6"/>
  <c r="D12" i="6"/>
  <c r="D16" i="6" s="1"/>
  <c r="D29" i="6"/>
  <c r="H25" i="6"/>
  <c r="R25" i="6" s="1"/>
  <c r="H23" i="6"/>
  <c r="R23" i="6" s="1"/>
  <c r="H24" i="6"/>
  <c r="R24" i="6" s="1"/>
  <c r="H26" i="6"/>
  <c r="D13" i="6"/>
  <c r="H21" i="6"/>
  <c r="R21" i="6" s="1"/>
  <c r="H22" i="6"/>
  <c r="H20" i="6"/>
  <c r="F50" i="69"/>
  <c r="F50" i="11"/>
  <c r="F50" i="68"/>
  <c r="H19" i="6"/>
  <c r="D10" i="69"/>
  <c r="D10" i="11"/>
  <c r="C10" i="11" s="1"/>
  <c r="D20" i="12"/>
  <c r="C20" i="12" s="1"/>
  <c r="D10" i="68"/>
  <c r="C7" i="74"/>
  <c r="C8" i="74"/>
  <c r="C20" i="11"/>
  <c r="C25" i="11" s="1"/>
  <c r="C24" i="11"/>
  <c r="C16" i="71"/>
  <c r="D17" i="71"/>
  <c r="U17" i="71" s="1"/>
  <c r="T17" i="71"/>
  <c r="C38" i="11"/>
  <c r="C35" i="11"/>
  <c r="C33" i="11" s="1"/>
  <c r="C23" i="67"/>
  <c r="C29" i="67" s="1"/>
  <c r="J59" i="67" s="1"/>
  <c r="J60" i="67" s="1"/>
  <c r="Q48" i="67" s="1"/>
  <c r="R19" i="6"/>
  <c r="I69" i="39"/>
  <c r="J67" i="39"/>
  <c r="B3" i="76"/>
  <c r="I63" i="40"/>
  <c r="H65" i="40"/>
  <c r="I58" i="21"/>
  <c r="J58" i="21" s="1"/>
  <c r="K58" i="21" s="1"/>
  <c r="L58" i="21" s="1"/>
  <c r="M58" i="21" s="1"/>
  <c r="N58" i="21" s="1"/>
  <c r="O58" i="21" s="1"/>
  <c r="H7" i="21" s="1"/>
  <c r="J7" i="21"/>
  <c r="F7" i="21"/>
  <c r="J48" i="35"/>
  <c r="C57" i="15" l="1"/>
  <c r="C61" i="15" s="1"/>
  <c r="J59" i="15"/>
  <c r="J60" i="15" s="1"/>
  <c r="Q48" i="15" s="1"/>
  <c r="C13" i="15"/>
  <c r="Q70" i="15" s="1"/>
  <c r="J14" i="15"/>
  <c r="J22" i="15" s="1"/>
  <c r="C39" i="11"/>
  <c r="C42" i="11"/>
  <c r="C15" i="71"/>
  <c r="D16" i="71"/>
  <c r="D8" i="74"/>
  <c r="D7" i="74"/>
  <c r="Q49" i="15"/>
  <c r="J19" i="15"/>
  <c r="C22" i="11"/>
  <c r="C31" i="11" s="1"/>
  <c r="C10" i="69"/>
  <c r="C8" i="69" s="1"/>
  <c r="C5" i="69" s="1"/>
  <c r="D19" i="69"/>
  <c r="H27" i="6"/>
  <c r="C36" i="15"/>
  <c r="C28" i="11"/>
  <c r="C27" i="11" s="1"/>
  <c r="D19" i="68"/>
  <c r="D37" i="68" s="1"/>
  <c r="C37" i="68" s="1"/>
  <c r="C33" i="68" s="1"/>
  <c r="C10" i="68"/>
  <c r="B29" i="1" s="1"/>
  <c r="C8" i="68" s="1"/>
  <c r="R20" i="6"/>
  <c r="R7" i="1" s="1"/>
  <c r="R26" i="6"/>
  <c r="D30" i="6"/>
  <c r="A10" i="51"/>
  <c r="B9" i="72" s="1"/>
  <c r="A7" i="51"/>
  <c r="B7" i="72" s="1"/>
  <c r="C4" i="52"/>
  <c r="B45" i="72" s="1"/>
  <c r="D27" i="6"/>
  <c r="R22" i="6"/>
  <c r="C36" i="67"/>
  <c r="J14" i="67"/>
  <c r="J19" i="67"/>
  <c r="C33" i="67"/>
  <c r="C13" i="67"/>
  <c r="C57" i="67"/>
  <c r="Q49" i="67"/>
  <c r="R6" i="1"/>
  <c r="J69" i="39"/>
  <c r="K67" i="39"/>
  <c r="U7" i="21"/>
  <c r="AB7" i="21"/>
  <c r="T48" i="21" s="1"/>
  <c r="G48" i="21" s="1"/>
  <c r="S7" i="21"/>
  <c r="AA7" i="21"/>
  <c r="R48" i="21" s="1"/>
  <c r="J63" i="40"/>
  <c r="I65" i="40"/>
  <c r="K48" i="35"/>
  <c r="L48" i="35" s="1"/>
  <c r="M48" i="35" s="1"/>
  <c r="N48" i="35" s="1"/>
  <c r="O48" i="35" s="1"/>
  <c r="H7" i="35" s="1"/>
  <c r="AC7" i="21"/>
  <c r="V48" i="21" s="1"/>
  <c r="I48" i="21" s="1"/>
  <c r="W7" i="21"/>
  <c r="M21" i="67"/>
  <c r="F35" i="15"/>
  <c r="F35" i="67"/>
  <c r="M21" i="15"/>
  <c r="C18" i="12" l="1"/>
  <c r="C21" i="12" s="1"/>
  <c r="C22" i="12" s="1"/>
  <c r="C27" i="12" s="1"/>
  <c r="C25" i="12" s="1"/>
  <c r="C64" i="15"/>
  <c r="C75" i="15"/>
  <c r="J13" i="15"/>
  <c r="J23" i="15" s="1"/>
  <c r="C56" i="15"/>
  <c r="C65" i="15" s="1"/>
  <c r="C37" i="15"/>
  <c r="F63" i="67"/>
  <c r="C62" i="67" s="1"/>
  <c r="C34" i="67"/>
  <c r="C31" i="67" s="1"/>
  <c r="J20" i="67"/>
  <c r="J17" i="67" s="1"/>
  <c r="D31" i="6"/>
  <c r="C39" i="68"/>
  <c r="C42" i="68"/>
  <c r="C19" i="69"/>
  <c r="D37" i="69"/>
  <c r="C37" i="69" s="1"/>
  <c r="C33" i="69" s="1"/>
  <c r="C23" i="69"/>
  <c r="C14" i="71"/>
  <c r="D15" i="71"/>
  <c r="R27" i="6"/>
  <c r="C46" i="11"/>
  <c r="C45" i="11" s="1"/>
  <c r="C43" i="11"/>
  <c r="C41" i="11" s="1"/>
  <c r="C49" i="11" s="1"/>
  <c r="C51" i="11" s="1"/>
  <c r="C75" i="67"/>
  <c r="C37" i="67"/>
  <c r="C56" i="67"/>
  <c r="C65" i="67" s="1"/>
  <c r="Q70" i="67"/>
  <c r="C61" i="67"/>
  <c r="C64" i="67"/>
  <c r="J22" i="67"/>
  <c r="J13" i="67"/>
  <c r="J23" i="67" s="1"/>
  <c r="F63" i="15"/>
  <c r="C62" i="15" s="1"/>
  <c r="C59" i="15" s="1"/>
  <c r="C34" i="15"/>
  <c r="C31" i="15" s="1"/>
  <c r="J20" i="15"/>
  <c r="J17" i="15" s="1"/>
  <c r="R16" i="1"/>
  <c r="J7" i="35"/>
  <c r="W7" i="35" s="1"/>
  <c r="L67" i="39"/>
  <c r="K69" i="39"/>
  <c r="J65" i="40"/>
  <c r="K63" i="40"/>
  <c r="I52" i="21"/>
  <c r="J52" i="21" s="1"/>
  <c r="U7" i="35"/>
  <c r="AB7" i="35"/>
  <c r="T38" i="35" s="1"/>
  <c r="G38" i="35" s="1"/>
  <c r="R49" i="21"/>
  <c r="E48" i="21"/>
  <c r="G52" i="21"/>
  <c r="H52" i="21" s="1"/>
  <c r="G53" i="21"/>
  <c r="H53" i="21" s="1"/>
  <c r="F7" i="35"/>
  <c r="J16" i="15" l="1"/>
  <c r="J25" i="15" s="1"/>
  <c r="J26" i="15" s="1"/>
  <c r="J29" i="15" s="1"/>
  <c r="C58" i="15"/>
  <c r="C67" i="15" s="1"/>
  <c r="C68" i="15" s="1"/>
  <c r="C71" i="15" s="1"/>
  <c r="C30" i="15"/>
  <c r="C39" i="15" s="1"/>
  <c r="C80" i="15" s="1"/>
  <c r="C79" i="15" s="1"/>
  <c r="C59" i="67"/>
  <c r="C58" i="67" s="1"/>
  <c r="C67" i="67" s="1"/>
  <c r="C68" i="67" s="1"/>
  <c r="C71" i="67" s="1"/>
  <c r="C52" i="11"/>
  <c r="B2" i="11" s="1"/>
  <c r="B3" i="11" s="1"/>
  <c r="C46" i="68"/>
  <c r="C45" i="68" s="1"/>
  <c r="C43" i="68"/>
  <c r="C41" i="68" s="1"/>
  <c r="C30" i="67"/>
  <c r="C39" i="67" s="1"/>
  <c r="Q69" i="67" s="1"/>
  <c r="Q68" i="67" s="1"/>
  <c r="C39" i="69"/>
  <c r="C42" i="69"/>
  <c r="I6" i="6"/>
  <c r="I5" i="6"/>
  <c r="C13" i="71"/>
  <c r="D14" i="71"/>
  <c r="C20" i="69"/>
  <c r="C24" i="69"/>
  <c r="C30" i="12"/>
  <c r="C28" i="12" s="1"/>
  <c r="C32" i="12" s="1"/>
  <c r="B2" i="12" s="1"/>
  <c r="B3" i="12" s="1"/>
  <c r="J16" i="67"/>
  <c r="J25" i="67" s="1"/>
  <c r="L57" i="15"/>
  <c r="L60" i="15" s="1"/>
  <c r="L46" i="15"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C40" i="15" l="1"/>
  <c r="C46" i="15" s="1"/>
  <c r="Q69" i="15"/>
  <c r="Q68" i="15" s="1"/>
  <c r="Q67" i="15"/>
  <c r="C40" i="67"/>
  <c r="Q56" i="67" s="1"/>
  <c r="C80" i="67"/>
  <c r="C79" i="67" s="1"/>
  <c r="C46" i="69"/>
  <c r="C45" i="69" s="1"/>
  <c r="C43" i="69"/>
  <c r="C41" i="69" s="1"/>
  <c r="C25" i="69"/>
  <c r="C22" i="69" s="1"/>
  <c r="C28" i="69"/>
  <c r="C27" i="69" s="1"/>
  <c r="C12" i="71"/>
  <c r="T13" i="71"/>
  <c r="D13" i="71"/>
  <c r="U13" i="71" s="1"/>
  <c r="C49" i="68"/>
  <c r="C51" i="68" s="1"/>
  <c r="C56" i="11"/>
  <c r="C57" i="11" s="1"/>
  <c r="Q66" i="15"/>
  <c r="Q57" i="15"/>
  <c r="Q65" i="15"/>
  <c r="M69" i="39"/>
  <c r="N67" i="39"/>
  <c r="R39" i="35"/>
  <c r="E38" i="35"/>
  <c r="M63" i="40"/>
  <c r="L65" i="40"/>
  <c r="L51" i="67"/>
  <c r="Q67" i="67" l="1"/>
  <c r="L57" i="67"/>
  <c r="L60" i="67" s="1"/>
  <c r="L46" i="67" s="1"/>
  <c r="D2" i="67" s="1"/>
  <c r="B2" i="67" s="1"/>
  <c r="Q56" i="15"/>
  <c r="Q62" i="15" s="1"/>
  <c r="C83" i="15"/>
  <c r="C82" i="15" s="1"/>
  <c r="Q47" i="15"/>
  <c r="Q53" i="15" s="1"/>
  <c r="C43" i="15"/>
  <c r="B2" i="15"/>
  <c r="B3" i="15" s="1"/>
  <c r="L22" i="9" s="1"/>
  <c r="Q47" i="67"/>
  <c r="Q53" i="67" s="1"/>
  <c r="C43" i="67"/>
  <c r="Q65" i="67"/>
  <c r="C49" i="69"/>
  <c r="C51" i="69" s="1"/>
  <c r="C83" i="67"/>
  <c r="C82" i="67" s="1"/>
  <c r="C45" i="67"/>
  <c r="C46" i="67" s="1"/>
  <c r="C31" i="69"/>
  <c r="C11" i="71"/>
  <c r="D12" i="71"/>
  <c r="Q75" i="15"/>
  <c r="O67" i="39"/>
  <c r="O69" i="39" s="1"/>
  <c r="N69" i="39"/>
  <c r="F7" i="39"/>
  <c r="C39" i="35"/>
  <c r="B2" i="35" s="1"/>
  <c r="B3" i="35" s="1"/>
  <c r="C38" i="35"/>
  <c r="N63" i="40"/>
  <c r="M65" i="40"/>
  <c r="E43" i="35"/>
  <c r="F43" i="35" s="1"/>
  <c r="E42" i="35"/>
  <c r="F42" i="35" s="1"/>
  <c r="I43" i="35"/>
  <c r="J43" i="35" s="1"/>
  <c r="AO6" i="1"/>
  <c r="AO7" i="1"/>
  <c r="Q66" i="67" l="1"/>
  <c r="Q75" i="67" s="1"/>
  <c r="C52" i="69"/>
  <c r="B2" i="69" s="1"/>
  <c r="B3" i="69" s="1"/>
  <c r="Q57" i="67"/>
  <c r="Q62" i="67" s="1"/>
  <c r="B6" i="70"/>
  <c r="B3" i="67"/>
  <c r="C57" i="69"/>
  <c r="C56" i="69" s="1"/>
  <c r="C10" i="71"/>
  <c r="D11" i="71"/>
  <c r="B7" i="70"/>
  <c r="H7" i="39"/>
  <c r="J7" i="39"/>
  <c r="S7" i="39"/>
  <c r="AA7" i="39"/>
  <c r="R47" i="39" s="1"/>
  <c r="O63" i="40"/>
  <c r="O65" i="40" s="1"/>
  <c r="N65" i="40"/>
  <c r="B2" i="70" l="1"/>
  <c r="D10" i="71"/>
  <c r="C9" i="71"/>
  <c r="W7" i="39"/>
  <c r="AC7" i="39"/>
  <c r="V47" i="39" s="1"/>
  <c r="I47" i="39" s="1"/>
  <c r="E47" i="39"/>
  <c r="R48" i="39"/>
  <c r="U7" i="39"/>
  <c r="AB7" i="39"/>
  <c r="T47" i="39" s="1"/>
  <c r="G47" i="39" s="1"/>
  <c r="J7" i="40"/>
  <c r="F7" i="40"/>
  <c r="H7" i="40"/>
  <c r="D19" i="9"/>
  <c r="D21" i="9" l="1"/>
  <c r="D102" i="9"/>
  <c r="B3" i="70"/>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8" l="1"/>
  <c r="C7" i="68" l="1"/>
  <c r="C5" i="68"/>
  <c r="C23" i="68" l="1"/>
  <c r="C20" i="68"/>
  <c r="C25" i="68" s="1"/>
  <c r="C22" i="68" s="1"/>
  <c r="C28" i="68" l="1"/>
  <c r="C27" i="68" s="1"/>
  <c r="C31" i="68" s="1"/>
  <c r="C52" i="68" s="1"/>
  <c r="C57" i="68" s="1"/>
  <c r="C56" i="68" s="1"/>
  <c r="B2" i="68"/>
  <c r="C19" i="9"/>
  <c r="C21" i="9" l="1"/>
  <c r="D22" i="9"/>
  <c r="G19" i="9"/>
  <c r="C102" i="9"/>
  <c r="B3" i="68"/>
  <c r="D35" i="9"/>
  <c r="D34" i="9"/>
  <c r="C20" i="9"/>
  <c r="C103" i="9" l="1"/>
  <c r="G20" i="9"/>
  <c r="K22" i="9"/>
  <c r="C32" i="9"/>
  <c r="G21" i="9"/>
  <c r="C35" i="9" l="1"/>
  <c r="F118" i="9" s="1"/>
  <c r="H118" i="9"/>
  <c r="H101" i="9" l="1"/>
  <c r="H4" i="52"/>
  <c r="C104" i="9"/>
  <c r="I118" i="9"/>
  <c r="D14" i="74"/>
  <c r="H119" i="9"/>
  <c r="H5" i="52" s="1"/>
  <c r="F4" i="52"/>
  <c r="B51" i="72" s="1"/>
  <c r="G118" i="9"/>
  <c r="G4" i="52" s="1"/>
  <c r="B52" i="72" s="1"/>
  <c r="F119" i="9"/>
  <c r="F5" i="52" s="1"/>
  <c r="B53" i="72" s="1"/>
  <c r="C34" i="9"/>
  <c r="D118" i="9" s="1"/>
  <c r="D119" i="9" l="1"/>
  <c r="D5" i="52" s="1"/>
  <c r="B49" i="72" s="1"/>
  <c r="D4" i="52"/>
  <c r="B47" i="72" s="1"/>
  <c r="E14" i="74"/>
  <c r="B5" i="74"/>
  <c r="F14" i="74"/>
  <c r="M48" i="9"/>
  <c r="D45" i="9"/>
  <c r="H107" i="9"/>
  <c r="D5" i="53"/>
  <c r="E118" i="9"/>
  <c r="E4" i="52" s="1"/>
  <c r="B48" i="72" s="1"/>
  <c r="C105" i="9"/>
  <c r="H102" i="9"/>
  <c r="D7" i="53" s="1"/>
  <c r="B21" i="72" s="1"/>
  <c r="I4" i="52"/>
  <c r="D122" i="9" l="1"/>
  <c r="H108" i="9"/>
  <c r="D15" i="53" s="1"/>
  <c r="B31" i="72" s="1"/>
  <c r="D13" i="53"/>
  <c r="M49" i="9"/>
  <c r="C5" i="74"/>
  <c r="D5" i="74"/>
  <c r="C85" i="9"/>
  <c r="C78" i="9"/>
  <c r="C73" i="9" s="1"/>
  <c r="D55" i="9"/>
  <c r="M53" i="9" s="1"/>
  <c r="C64" i="9"/>
  <c r="C63" i="9" s="1"/>
  <c r="C67" i="9" s="1"/>
  <c r="D52" i="9"/>
  <c r="D53" i="9"/>
  <c r="C93" i="9"/>
  <c r="C86" i="9" s="1"/>
  <c r="C72" i="9"/>
  <c r="B20" i="72"/>
  <c r="D6" i="53"/>
  <c r="B22" i="72" s="1"/>
  <c r="C95" i="9" l="1"/>
  <c r="C96" i="9" s="1"/>
  <c r="E96" i="9" s="1"/>
  <c r="E97" i="9" s="1"/>
  <c r="L66" i="9"/>
  <c r="M66" i="9" s="1"/>
  <c r="L68" i="9"/>
  <c r="M68" i="9" s="1"/>
  <c r="L65" i="9"/>
  <c r="M65" i="9" s="1"/>
  <c r="L63" i="9"/>
  <c r="M63" i="9" s="1"/>
  <c r="L67" i="9"/>
  <c r="M67" i="9" s="1"/>
  <c r="L64" i="9"/>
  <c r="M64" i="9" s="1"/>
  <c r="B30" i="72"/>
  <c r="D14" i="53"/>
  <c r="B32" i="72" s="1"/>
  <c r="C79" i="9"/>
  <c r="D59" i="9"/>
  <c r="M55" i="9" s="1"/>
  <c r="C68" i="9"/>
  <c r="D54" i="9" s="1"/>
  <c r="D123" i="9"/>
  <c r="D9" i="52" s="1"/>
  <c r="D8" i="52"/>
  <c r="G14" i="74"/>
  <c r="B6" i="74" s="1"/>
  <c r="C97" i="9" l="1"/>
  <c r="D58" i="9" s="1"/>
  <c r="D56" i="9" s="1"/>
  <c r="M54" i="9" s="1"/>
  <c r="N57" i="9" s="1"/>
  <c r="D6" i="74"/>
  <c r="C6" i="74"/>
  <c r="M69" i="9"/>
  <c r="N69" i="9" s="1"/>
  <c r="C80" i="9"/>
  <c r="E80" i="9" s="1"/>
  <c r="E81" i="9" s="1"/>
  <c r="C81" i="9" l="1"/>
  <c r="N59" i="9"/>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郭蕾</author>
    <author>微软用户</author>
    <author>ADMIN！</author>
  </authors>
  <commentList>
    <comment ref="H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（招商面积</t>
        </r>
        <r>
          <rPr>
            <sz val="9"/>
            <rFont val="Tahoma"/>
            <family val="2"/>
            <charset val="134"/>
          </rPr>
          <t>*0.76</t>
        </r>
        <r>
          <rPr>
            <sz val="9"/>
            <rFont val="宋体"/>
            <family val="3"/>
            <charset val="134"/>
          </rPr>
          <t>）</t>
        </r>
      </text>
    </comment>
    <comment ref="H34" authorId="1">
      <text>
        <r>
          <rPr>
            <b/>
            <sz val="9"/>
            <rFont val="宋体"/>
            <family val="3"/>
            <charset val="134"/>
          </rPr>
          <t>微软用户</t>
        </r>
        <r>
          <rPr>
            <b/>
            <sz val="9"/>
            <rFont val="Tahoma"/>
            <family val="2"/>
            <charset val="134"/>
          </rPr>
          <t>:</t>
        </r>
        <r>
          <rPr>
            <sz val="9"/>
            <rFont val="Tahoma"/>
            <family val="2"/>
            <charset val="134"/>
          </rPr>
          <t xml:space="preserve">
249.89</t>
        </r>
        <r>
          <rPr>
            <sz val="9"/>
            <rFont val="宋体"/>
            <family val="3"/>
            <charset val="134"/>
          </rPr>
          <t>平米。一层</t>
        </r>
        <r>
          <rPr>
            <sz val="9"/>
            <rFont val="Tahoma"/>
            <family val="2"/>
            <charset val="134"/>
          </rPr>
          <t>203.84</t>
        </r>
        <r>
          <rPr>
            <sz val="9"/>
            <rFont val="宋体"/>
            <family val="3"/>
            <charset val="134"/>
          </rPr>
          <t>，二层占用</t>
        </r>
        <r>
          <rPr>
            <sz val="9"/>
            <rFont val="Tahoma"/>
            <family val="2"/>
            <charset val="134"/>
          </rPr>
          <t>46.05</t>
        </r>
        <r>
          <rPr>
            <sz val="9"/>
            <rFont val="宋体"/>
            <family val="3"/>
            <charset val="134"/>
          </rPr>
          <t>，二层剩余由另一商户</t>
        </r>
        <r>
          <rPr>
            <sz val="9"/>
            <rFont val="Tahoma"/>
            <family val="2"/>
            <charset val="134"/>
          </rPr>
          <t>6-67</t>
        </r>
        <r>
          <rPr>
            <sz val="9"/>
            <rFont val="宋体"/>
            <family val="3"/>
            <charset val="134"/>
          </rPr>
          <t>占用</t>
        </r>
      </text>
    </comment>
    <comment ref="D41" authorId="2">
      <text>
        <r>
          <rPr>
            <sz val="9"/>
            <rFont val="宋体"/>
            <family val="3"/>
            <charset val="134"/>
          </rPr>
          <t xml:space="preserve">2022.4.22更名
客户名称有误，收回变更合同重新盖章，未收回
</t>
        </r>
      </text>
    </comment>
    <comment ref="D42" authorId="2">
      <text>
        <r>
          <rPr>
            <sz val="9"/>
            <rFont val="宋体"/>
            <family val="3"/>
            <charset val="134"/>
          </rPr>
          <t>2022.4.22更名
客户名称有误，收回变更合同重新盖章，未收回</t>
        </r>
      </text>
    </comment>
  </commentList>
</comments>
</file>

<file path=xl/comments23.xml><?xml version="1.0" encoding="utf-8"?>
<comments xmlns="http://schemas.openxmlformats.org/spreadsheetml/2006/main">
  <authors>
    <author>郭蕾</author>
    <author>微软用户</author>
    <author>ADMIN！</author>
  </authors>
  <commentList>
    <comment ref="H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（招商面积</t>
        </r>
        <r>
          <rPr>
            <sz val="9"/>
            <rFont val="Tahoma"/>
            <family val="2"/>
            <charset val="134"/>
          </rPr>
          <t>*0.76</t>
        </r>
        <r>
          <rPr>
            <sz val="9"/>
            <rFont val="宋体"/>
            <family val="3"/>
            <charset val="134"/>
          </rPr>
          <t>）</t>
        </r>
      </text>
    </comment>
    <comment ref="O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于</t>
        </r>
        <r>
          <rPr>
            <sz val="9"/>
            <rFont val="Tahoma"/>
            <family val="2"/>
            <charset val="134"/>
          </rPr>
          <t>2011</t>
        </r>
        <r>
          <rPr>
            <sz val="9"/>
            <rFont val="宋体"/>
            <family val="3"/>
            <charset val="134"/>
          </rPr>
          <t>年</t>
        </r>
        <r>
          <rPr>
            <sz val="9"/>
            <rFont val="Tahoma"/>
            <family val="2"/>
            <charset val="134"/>
          </rPr>
          <t>1</t>
        </r>
        <r>
          <rPr>
            <sz val="9"/>
            <rFont val="宋体"/>
            <family val="3"/>
            <charset val="134"/>
          </rPr>
          <t>月份起，签的合同，均按套内建筑面积签约，即招商建筑面积</t>
        </r>
        <r>
          <rPr>
            <sz val="9"/>
            <rFont val="Tahoma"/>
            <family val="2"/>
            <charset val="134"/>
          </rPr>
          <t>*0.76</t>
        </r>
      </text>
    </comment>
    <comment ref="H34" authorId="1">
      <text>
        <r>
          <rPr>
            <b/>
            <sz val="9"/>
            <rFont val="宋体"/>
            <family val="3"/>
            <charset val="134"/>
          </rPr>
          <t>微软用户</t>
        </r>
        <r>
          <rPr>
            <b/>
            <sz val="9"/>
            <rFont val="Tahoma"/>
            <family val="2"/>
            <charset val="134"/>
          </rPr>
          <t>:</t>
        </r>
        <r>
          <rPr>
            <sz val="9"/>
            <rFont val="Tahoma"/>
            <family val="2"/>
            <charset val="134"/>
          </rPr>
          <t xml:space="preserve">
249.89</t>
        </r>
        <r>
          <rPr>
            <sz val="9"/>
            <rFont val="宋体"/>
            <family val="3"/>
            <charset val="134"/>
          </rPr>
          <t>平米。一层</t>
        </r>
        <r>
          <rPr>
            <sz val="9"/>
            <rFont val="Tahoma"/>
            <family val="2"/>
            <charset val="134"/>
          </rPr>
          <t>203.84</t>
        </r>
        <r>
          <rPr>
            <sz val="9"/>
            <rFont val="宋体"/>
            <family val="3"/>
            <charset val="134"/>
          </rPr>
          <t>，二层占用</t>
        </r>
        <r>
          <rPr>
            <sz val="9"/>
            <rFont val="Tahoma"/>
            <family val="2"/>
            <charset val="134"/>
          </rPr>
          <t>46.05</t>
        </r>
        <r>
          <rPr>
            <sz val="9"/>
            <rFont val="宋体"/>
            <family val="3"/>
            <charset val="134"/>
          </rPr>
          <t>，二层剩余由另一商户</t>
        </r>
        <r>
          <rPr>
            <sz val="9"/>
            <rFont val="Tahoma"/>
            <family val="2"/>
            <charset val="134"/>
          </rPr>
          <t>6-67</t>
        </r>
        <r>
          <rPr>
            <sz val="9"/>
            <rFont val="宋体"/>
            <family val="3"/>
            <charset val="134"/>
          </rPr>
          <t>占用</t>
        </r>
      </text>
    </comment>
    <comment ref="D41" authorId="2">
      <text>
        <r>
          <rPr>
            <sz val="9"/>
            <rFont val="宋体"/>
            <family val="3"/>
            <charset val="134"/>
          </rPr>
          <t xml:space="preserve">2022.4.22更名
客户名称有误，收回变更合同重新盖章，未收回
</t>
        </r>
      </text>
    </comment>
    <comment ref="D42" authorId="2">
      <text>
        <r>
          <rPr>
            <sz val="9"/>
            <rFont val="宋体"/>
            <family val="3"/>
            <charset val="134"/>
          </rPr>
          <t>2022.4.22更名
客户名称有误，收回变更合同重新盖章，未收回</t>
        </r>
      </text>
    </comment>
    <comment ref="D62"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原张磊，续签变更为郝国柱</t>
        </r>
      </text>
    </comment>
    <comment ref="D63"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原张磊，续签变更为郝国柱</t>
        </r>
      </text>
    </comment>
    <comment ref="D75"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原合同主体是法映像，变更主体续签</t>
        </r>
      </text>
    </comment>
    <comment ref="E75"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原合同主体是法映像，变更主体续签</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<sst xmlns="http://schemas.openxmlformats.org/spreadsheetml/2006/main" count="8742" uniqueCount="3580">
  <si>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</si>
  <si>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</si>
  <si>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</si>
  <si>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</si>
  <si>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</si>
  <si>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</si>
  <si>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</si>
  <si>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</si>
  <si>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</si>
  <si>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</si>
  <si>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</si>
  <si>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</si>
  <si>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</si>
  <si>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</si>
  <si>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</si>
  <si>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</si>
  <si>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</si>
  <si>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</si>
  <si>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</si>
  <si>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</si>
  <si>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</si>
  <si>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</si>
  <si>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</si>
  <si>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</si>
  <si>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</si>
  <si>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</si>
  <si>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</si>
  <si>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</si>
  <si>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</si>
  <si>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</si>
  <si>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</si>
  <si>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</si>
  <si>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</si>
  <si>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</si>
  <si>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</si>
  <si>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</si>
  <si>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</si>
  <si>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</si>
  <si>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</si>
  <si>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</si>
  <si>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</si>
  <si>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</si>
  <si>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</si>
  <si>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</si>
  <si>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</si>
  <si>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</si>
  <si>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</si>
  <si>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</si>
  <si>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</si>
  <si>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</si>
  <si>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</si>
  <si>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</si>
  <si>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</si>
  <si>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</si>
  <si>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</si>
  <si>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</si>
  <si>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</si>
  <si>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</si>
  <si>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</si>
  <si>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</si>
  <si>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</si>
  <si>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</si>
  <si>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</si>
  <si>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</si>
  <si>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</si>
  <si>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</si>
  <si>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</si>
  <si>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</si>
  <si>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</si>
  <si>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</si>
  <si>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</si>
  <si>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</si>
  <si>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</si>
  <si>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</si>
  <si>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</si>
  <si>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</si>
  <si>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</si>
  <si>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</si>
  <si>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</si>
  <si>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</si>
  <si>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</si>
  <si>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</si>
  <si>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</si>
  <si>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</si>
  <si>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</si>
  <si>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</si>
  <si>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</si>
  <si>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</si>
  <si>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</si>
  <si>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</si>
  <si>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</si>
  <si>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</si>
  <si>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</si>
  <si>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</si>
  <si>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</si>
  <si>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</si>
  <si>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</si>
  <si>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</si>
  <si>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</si>
  <si>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</si>
  <si>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</si>
  <si>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</si>
  <si>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</si>
  <si>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</si>
  <si>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</si>
  <si>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</si>
  <si>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</si>
  <si>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</si>
  <si>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</si>
  <si>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</si>
  <si>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</si>
  <si>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</si>
  <si>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</si>
  <si>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</si>
  <si>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</si>
  <si>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</si>
  <si>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</si>
  <si>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</si>
  <si>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</si>
  <si>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</si>
  <si>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</si>
  <si>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</si>
  <si>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</si>
  <si>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</si>
  <si>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</si>
  <si>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</si>
  <si>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</si>
  <si>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</si>
  <si>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</si>
  <si>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</si>
  <si>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</si>
  <si>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</si>
  <si>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</si>
  <si>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</si>
  <si>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</si>
  <si>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</si>
  <si>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</si>
  <si>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</si>
  <si>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</si>
  <si>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</si>
  <si>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</si>
  <si>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</si>
  <si>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</si>
  <si>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</si>
  <si>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</si>
  <si>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</si>
  <si>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</si>
  <si>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</si>
  <si>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</si>
  <si>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</si>
  <si>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</si>
  <si>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</si>
  <si>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</si>
  <si>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</si>
  <si>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</si>
  <si>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</si>
  <si>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</si>
  <si>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</si>
  <si>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</si>
  <si>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</si>
  <si>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</si>
  <si>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</si>
  <si>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</si>
  <si>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</si>
  <si>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</si>
  <si>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</si>
  <si>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</si>
  <si>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</si>
  <si>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</si>
  <si>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</si>
  <si>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</si>
  <si>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</si>
  <si>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</si>
  <si>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</si>
  <si>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</si>
  <si>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</si>
  <si>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</si>
  <si>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</si>
  <si>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</si>
  <si>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</si>
  <si>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</si>
  <si>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</si>
  <si>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</si>
  <si>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</si>
  <si>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</si>
  <si>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</si>
  <si>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</si>
  <si>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</si>
  <si>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</si>
  <si>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</si>
  <si>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</si>
  <si>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</si>
  <si>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</si>
  <si>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</si>
  <si>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</si>
  <si>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</si>
  <si>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</si>
  <si>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</si>
  <si>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</si>
  <si>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</si>
  <si>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</si>
  <si>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</si>
  <si>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</si>
  <si>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</si>
  <si>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</si>
  <si>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</si>
  <si>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</si>
  <si>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</si>
  <si>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</si>
  <si>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</si>
  <si>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</si>
  <si>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</si>
  <si>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</si>
  <si>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</si>
  <si>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</si>
  <si>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</si>
  <si>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</si>
  <si>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</si>
  <si>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</si>
  <si>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</si>
  <si>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</si>
  <si>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</si>
  <si>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</si>
  <si>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</si>
  <si>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</si>
  <si>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</si>
  <si>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</si>
  <si>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</si>
  <si>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</si>
  <si>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</si>
  <si>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</si>
  <si>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</si>
  <si>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</si>
  <si>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</si>
  <si>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</si>
  <si>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</si>
  <si>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</si>
  <si>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</si>
  <si>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</si>
  <si>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</si>
  <si>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</si>
  <si>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</si>
  <si>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</si>
  <si>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</si>
  <si>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</si>
  <si>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</si>
  <si>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</si>
  <si>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</si>
  <si>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</si>
  <si>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</si>
  <si>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</si>
  <si>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</si>
  <si>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</si>
  <si>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</si>
  <si>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</si>
  <si>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</si>
  <si>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</si>
  <si>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</si>
  <si>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</si>
  <si>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</si>
  <si>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</si>
  <si>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</si>
  <si>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</si>
  <si>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</si>
  <si>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</si>
  <si>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</si>
  <si>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</si>
  <si>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</si>
  <si>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</si>
  <si>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</si>
  <si>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</si>
  <si>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</si>
  <si>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</si>
  <si>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</si>
  <si>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</si>
  <si>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</si>
  <si>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</si>
  <si>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</si>
  <si>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</si>
  <si>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</si>
  <si>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</si>
  <si>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</si>
  <si>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</si>
  <si>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</si>
  <si>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</si>
  <si>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</si>
  <si>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</si>
  <si>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</si>
  <si>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</si>
  <si>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</si>
  <si>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</si>
  <si>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</si>
  <si>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</si>
  <si>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</si>
  <si>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</si>
  <si>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</si>
  <si>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</si>
  <si>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</si>
  <si>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</si>
  <si>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</si>
  <si>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</si>
  <si>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</si>
  <si>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</si>
  <si>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</si>
  <si>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</si>
  <si>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</si>
  <si>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</si>
  <si>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</si>
  <si>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</si>
  <si>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</si>
  <si>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</si>
  <si>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</si>
  <si>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</si>
  <si>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</si>
  <si>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</si>
  <si>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</si>
  <si>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</si>
  <si>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</si>
  <si>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</si>
  <si>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</si>
  <si>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</si>
  <si>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</si>
  <si>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</si>
  <si>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</si>
  <si>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</si>
  <si>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</si>
  <si>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</si>
  <si>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</si>
  <si>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</si>
  <si>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</si>
  <si>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</si>
  <si>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</si>
  <si>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</si>
  <si>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</si>
  <si>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</si>
  <si>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</si>
  <si>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</si>
  <si>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</si>
  <si>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</si>
  <si>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</si>
  <si>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</si>
  <si>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</si>
  <si>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</si>
  <si>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</si>
  <si>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</si>
  <si>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</si>
  <si>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</si>
  <si>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</si>
  <si>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</si>
  <si>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</si>
  <si>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</si>
  <si>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</si>
  <si>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</si>
  <si>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</si>
  <si>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</si>
  <si>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</si>
  <si>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</si>
  <si>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</si>
  <si>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</si>
  <si>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</si>
  <si>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</si>
  <si>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</si>
  <si>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</si>
  <si>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</si>
  <si>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</si>
  <si>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</si>
  <si>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</si>
  <si>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</si>
  <si>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</si>
  <si>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</si>
  <si>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</si>
  <si>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</si>
  <si>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</si>
  <si>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</si>
  <si>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</si>
  <si>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</si>
  <si>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</si>
  <si>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</si>
  <si>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</si>
  <si>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</si>
  <si>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</si>
  <si>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</si>
  <si>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</si>
  <si>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</si>
  <si>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</si>
  <si>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</si>
  <si>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</si>
  <si>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</si>
  <si>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</si>
  <si>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</si>
  <si>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</si>
  <si>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</si>
  <si>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</si>
  <si>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</si>
  <si>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</si>
  <si>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</si>
  <si>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</si>
  <si>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</si>
  <si>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</si>
  <si>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</si>
  <si>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</si>
  <si>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</si>
  <si>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</si>
  <si>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</si>
  <si>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</si>
  <si>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</si>
  <si>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</si>
  <si>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</si>
  <si>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</si>
  <si>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</si>
  <si>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</si>
  <si>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</si>
  <si>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</si>
  <si>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</si>
  <si>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</si>
  <si>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</si>
  <si>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</si>
  <si>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</si>
  <si>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</si>
  <si>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</si>
  <si>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</si>
  <si>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</si>
  <si>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</si>
  <si>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</si>
  <si>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</si>
  <si>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</si>
  <si>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</si>
  <si>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</si>
  <si>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</si>
  <si>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</si>
  <si>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</si>
  <si>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</si>
  <si>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</si>
  <si>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</si>
  <si>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</si>
  <si>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</si>
  <si>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</si>
  <si>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</si>
  <si>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</si>
  <si>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</si>
  <si>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</si>
  <si>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</si>
  <si>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</si>
  <si>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</si>
  <si>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</si>
  <si>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</si>
  <si>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</si>
  <si>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</si>
  <si>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</si>
  <si>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</si>
  <si>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</si>
  <si>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</si>
  <si>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</si>
  <si>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</si>
  <si>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</si>
  <si>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</si>
  <si>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</si>
  <si>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</si>
  <si>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</si>
  <si>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</si>
  <si>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</si>
  <si>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</si>
  <si>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</si>
  <si>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</si>
  <si>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</si>
  <si>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</si>
  <si>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</si>
  <si>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</si>
  <si>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</si>
  <si>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</si>
  <si>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</si>
  <si>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</si>
  <si>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</si>
  <si>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</si>
  <si>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</si>
  <si>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</si>
  <si>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</si>
  <si>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</si>
  <si>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</si>
  <si>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</si>
  <si>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</si>
  <si>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</si>
  <si>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</si>
  <si>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</si>
  <si>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</si>
  <si>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</si>
  <si>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</si>
  <si>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</si>
  <si>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</si>
  <si>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</si>
  <si>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</si>
  <si>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</si>
  <si>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</si>
  <si>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</si>
  <si>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</si>
  <si>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</si>
  <si>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</si>
  <si>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</si>
  <si>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</si>
  <si>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</si>
  <si>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</si>
  <si>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</si>
  <si>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</si>
  <si>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</si>
  <si>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</si>
  <si>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</si>
  <si>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</si>
  <si>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</si>
  <si>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</si>
  <si>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</si>
  <si>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</si>
  <si>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</si>
  <si>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</si>
  <si>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</si>
  <si>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</si>
  <si>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</si>
  <si>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</si>
  <si>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</si>
  <si>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</si>
  <si>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</si>
  <si>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</si>
  <si>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</si>
  <si>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</si>
  <si>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</si>
  <si>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</si>
  <si>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</si>
  <si>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</si>
  <si>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</si>
  <si>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</si>
  <si>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</si>
  <si>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</si>
  <si>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</si>
  <si>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</si>
  <si>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</si>
  <si>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</si>
  <si>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</si>
  <si>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</si>
  <si>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</si>
  <si>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</si>
  <si>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</si>
  <si>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</si>
  <si>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</si>
  <si>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</si>
  <si>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</si>
  <si>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</si>
  <si>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</si>
  <si>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</si>
  <si>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</si>
  <si>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</si>
  <si>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</si>
  <si>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</si>
  <si>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</si>
  <si>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</si>
  <si>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</si>
  <si>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</si>
  <si>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</si>
  <si>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</si>
  <si>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</si>
  <si>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</si>
  <si>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</si>
  <si>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</si>
  <si>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</si>
  <si>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</si>
  <si>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</si>
  <si>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</si>
  <si>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</si>
  <si>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</si>
  <si>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</si>
  <si>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</si>
  <si>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</si>
  <si>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</si>
  <si>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</si>
  <si>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</si>
  <si>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</si>
  <si>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</si>
  <si>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</si>
  <si>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</si>
  <si>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</si>
  <si>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</si>
  <si>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</si>
  <si>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</si>
  <si>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</si>
  <si>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</si>
  <si>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</si>
  <si>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</si>
  <si>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</si>
  <si>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</si>
  <si>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</si>
  <si>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</si>
  <si>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</si>
  <si>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</si>
  <si>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</si>
  <si>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</si>
  <si>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</si>
  <si>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</si>
  <si>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</si>
  <si>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</si>
  <si>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</si>
  <si>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</si>
  <si>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</si>
  <si>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</si>
  <si>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</si>
  <si>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</si>
  <si>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</si>
  <si>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</si>
  <si>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</si>
  <si>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</si>
  <si>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</si>
  <si>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</si>
  <si>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</si>
  <si>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</si>
  <si>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</si>
  <si>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</si>
  <si>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</si>
  <si>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</si>
  <si>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</si>
  <si>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</si>
  <si>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</si>
  <si>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</si>
  <si>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</si>
  <si>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</si>
  <si>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</si>
  <si>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</si>
  <si>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</si>
  <si>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</si>
  <si>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</si>
  <si>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</si>
  <si>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</si>
  <si>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</si>
  <si>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</si>
  <si>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</si>
  <si>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</si>
  <si>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</si>
  <si>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</si>
  <si>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</si>
  <si>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</si>
  <si>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</si>
  <si>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</si>
  <si>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</si>
  <si>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</si>
  <si>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</si>
  <si>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</si>
  <si>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</si>
  <si>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</si>
  <si>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</si>
  <si>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</si>
  <si>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</si>
  <si>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</si>
  <si>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</si>
  <si>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</si>
  <si>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</si>
  <si>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</si>
  <si>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</si>
  <si>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</si>
  <si>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</si>
  <si>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</si>
  <si>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</si>
  <si>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</si>
  <si>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</si>
  <si>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</si>
  <si>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</si>
  <si>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</si>
  <si>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</si>
  <si>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</si>
  <si>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</si>
  <si>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</si>
  <si>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</si>
  <si>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</si>
  <si>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</si>
  <si>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</si>
  <si>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</si>
  <si>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</si>
  <si>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</si>
  <si>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</si>
  <si>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</si>
  <si>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</si>
  <si>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</si>
  <si>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</si>
  <si>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</si>
  <si>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</si>
  <si>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</si>
  <si>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</si>
  <si>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</si>
  <si>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</si>
  <si>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</si>
  <si>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</si>
  <si>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</si>
  <si>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</si>
  <si>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</si>
  <si>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</si>
  <si>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</si>
  <si>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</si>
  <si>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</si>
  <si>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</si>
  <si>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</si>
  <si>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</si>
  <si>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</si>
  <si>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</si>
  <si>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</si>
  <si>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</si>
  <si>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</si>
  <si>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</si>
  <si>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</si>
  <si>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</si>
  <si>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</si>
  <si>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</si>
  <si>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</si>
  <si>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</si>
  <si>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</si>
  <si>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</si>
  <si>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</si>
  <si>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</si>
  <si>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</si>
  <si>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</si>
  <si>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</si>
  <si>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</si>
  <si>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</si>
  <si>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</si>
  <si>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</si>
  <si>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</si>
  <si>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</si>
  <si>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</si>
  <si>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</si>
  <si>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</si>
  <si>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</si>
  <si>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</si>
  <si>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</si>
  <si>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</si>
  <si>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</si>
  <si>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</si>
  <si>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</si>
  <si>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</si>
  <si>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</si>
  <si>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</si>
  <si>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</si>
  <si>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</si>
  <si>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</si>
  <si>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</si>
  <si>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</si>
  <si>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</si>
  <si>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</si>
  <si>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</si>
  <si>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</si>
  <si>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</si>
  <si>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</si>
  <si>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</si>
  <si>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</si>
  <si>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</si>
  <si>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</si>
  <si>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</si>
  <si>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</si>
  <si>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</si>
  <si>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</si>
  <si>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</si>
  <si>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</si>
  <si>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</si>
  <si>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</si>
  <si>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</si>
  <si>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</si>
  <si>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</si>
  <si>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</si>
  <si>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</si>
  <si>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</si>
  <si>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</si>
  <si>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</si>
  <si>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</si>
  <si>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</si>
  <si>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</si>
  <si>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</si>
  <si>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</si>
  <si>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</si>
  <si>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</si>
  <si>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</si>
  <si>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</si>
  <si>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</si>
  <si>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</si>
  <si>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</si>
  <si>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</si>
  <si>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</si>
  <si>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</si>
  <si>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</si>
  <si>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</si>
  <si>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</si>
  <si>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</si>
  <si>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</si>
  <si>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</si>
  <si>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</si>
  <si>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</si>
  <si>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</si>
  <si>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</si>
  <si>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</si>
  <si>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</si>
  <si>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</si>
  <si>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</si>
  <si>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</si>
  <si>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</si>
  <si>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</si>
  <si>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</si>
  <si>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</si>
  <si>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</si>
  <si>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</si>
  <si>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</si>
  <si>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</si>
  <si>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</si>
  <si>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</si>
  <si>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</si>
  <si>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</si>
  <si>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</si>
  <si>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</si>
  <si>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</si>
  <si>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</si>
  <si>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</si>
  <si>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</si>
  <si>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</si>
  <si>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</si>
  <si>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</si>
  <si>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</si>
  <si>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</si>
  <si>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</si>
  <si>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</si>
  <si>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</si>
  <si>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</si>
  <si>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</si>
  <si>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</si>
  <si>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</si>
  <si>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</si>
  <si>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</si>
  <si>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</si>
  <si>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</si>
  <si>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</si>
  <si>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</si>
  <si>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</si>
  <si>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</si>
  <si>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</si>
  <si>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</si>
  <si>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</si>
  <si>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</si>
  <si>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</si>
  <si>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</si>
  <si>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</si>
  <si>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</si>
  <si>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</si>
  <si>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</si>
  <si>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</si>
  <si>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</si>
  <si>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</si>
  <si>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</si>
  <si>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</si>
  <si>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</si>
  <si>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</si>
  <si>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</si>
  <si>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</si>
  <si>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</si>
  <si>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</si>
  <si>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</si>
  <si>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</si>
  <si>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</si>
  <si>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</si>
  <si>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</si>
  <si>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</si>
  <si>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</si>
  <si>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</si>
  <si>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</si>
  <si>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</si>
  <si>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</si>
  <si>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</si>
  <si>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</si>
  <si>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</si>
  <si>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</si>
  <si>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</si>
  <si>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</si>
  <si>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</si>
  <si>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</si>
  <si>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</si>
  <si>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</si>
  <si>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</si>
  <si>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</si>
  <si>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</si>
  <si>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</si>
  <si>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</si>
  <si>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</si>
  <si>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</si>
  <si>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</si>
  <si>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</si>
  <si>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</si>
  <si>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</si>
  <si>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</si>
  <si>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</si>
  <si>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</si>
  <si>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</si>
  <si>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</si>
  <si>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</si>
  <si>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</si>
  <si>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</si>
  <si>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</si>
  <si>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</si>
  <si>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</si>
  <si>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</si>
  <si>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</si>
  <si>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</si>
  <si>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</si>
  <si>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</si>
  <si>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</si>
  <si>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</si>
  <si>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</si>
  <si>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</si>
  <si>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</si>
  <si>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</si>
  <si>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</si>
  <si>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</si>
  <si>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</si>
  <si>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</si>
  <si>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</si>
  <si>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</si>
  <si>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</si>
  <si>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</si>
  <si>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</si>
  <si>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</si>
  <si>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</si>
  <si>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</si>
  <si>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</si>
  <si>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</si>
  <si>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</si>
  <si>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</si>
  <si>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</si>
  <si>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</si>
  <si>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</si>
  <si>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</si>
  <si>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</si>
  <si>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</si>
  <si>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</si>
  <si>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</si>
  <si>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</si>
  <si>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</si>
  <si>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</si>
  <si>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</si>
  <si>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</si>
  <si>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</si>
  <si>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</si>
  <si>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</si>
  <si>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</si>
  <si>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</si>
  <si>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</si>
  <si>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</si>
  <si>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</si>
  <si>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</si>
  <si>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</si>
  <si>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</si>
  <si>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</si>
  <si>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</si>
  <si>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</si>
  <si>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</si>
  <si>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</si>
  <si>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</si>
  <si>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</si>
  <si>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</si>
  <si>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</si>
  <si>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</si>
  <si>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</si>
  <si>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</si>
  <si>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</si>
  <si>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</si>
  <si>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</si>
  <si>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</si>
  <si>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</si>
  <si>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</si>
  <si>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</si>
  <si>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</si>
  <si>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</si>
  <si>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</si>
  <si>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</si>
  <si>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</si>
  <si>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</si>
  <si>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</si>
  <si>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</si>
  <si>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</si>
  <si>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</si>
  <si>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</si>
  <si>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</si>
  <si>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</si>
  <si>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</si>
  <si>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</si>
  <si>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</si>
  <si>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</si>
  <si>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</si>
  <si>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</si>
  <si>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</si>
  <si>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</si>
  <si>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</si>
  <si>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</si>
  <si>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</si>
  <si>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</si>
  <si>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</si>
  <si>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</si>
  <si>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</si>
  <si>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</si>
  <si>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</si>
  <si>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</si>
  <si>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</si>
  <si>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</si>
  <si>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</si>
  <si>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</si>
  <si>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</si>
  <si>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</si>
  <si>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</si>
  <si>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</si>
  <si>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</si>
  <si>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</si>
  <si>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</si>
  <si>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</si>
  <si>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</si>
  <si>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</si>
  <si>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</si>
  <si>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</si>
  <si>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</si>
  <si>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</si>
  <si>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</si>
  <si>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</si>
  <si>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</si>
  <si>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</si>
  <si>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</si>
  <si>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</si>
  <si>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</si>
  <si>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</si>
  <si>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</si>
  <si>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</si>
  <si>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</si>
  <si>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</si>
  <si>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</si>
  <si>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</si>
  <si>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</si>
  <si>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</si>
  <si>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</si>
  <si>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</si>
  <si>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</si>
  <si>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</si>
  <si>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</si>
  <si>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</si>
  <si>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</si>
  <si>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</si>
  <si>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</si>
  <si>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</si>
  <si>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</si>
  <si>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</si>
  <si>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</si>
  <si>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</si>
  <si>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</si>
  <si>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</si>
  <si>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</si>
  <si>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</si>
  <si>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</si>
  <si>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</si>
  <si>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</si>
  <si>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</si>
  <si>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</si>
  <si>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</si>
  <si>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</si>
  <si>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</si>
  <si>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</si>
  <si>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</si>
  <si>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</si>
  <si>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</si>
  <si>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</si>
  <si>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</si>
  <si>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</si>
  <si>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</si>
  <si>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</si>
  <si>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</si>
  <si>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</si>
  <si>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</si>
  <si>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</si>
  <si>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</si>
  <si>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</si>
  <si>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</si>
  <si>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</si>
  <si>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</si>
  <si>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</si>
  <si>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</si>
  <si>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</si>
  <si>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</si>
  <si>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</si>
  <si>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</si>
  <si>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</si>
  <si>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</si>
  <si>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</si>
  <si>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</si>
  <si>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</si>
  <si>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</si>
  <si>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</si>
  <si>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</si>
  <si>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</si>
  <si>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</si>
  <si>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</si>
  <si>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</si>
  <si>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</si>
  <si>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</si>
  <si>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</si>
  <si>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</si>
  <si>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</si>
  <si>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</si>
  <si>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</si>
  <si>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</si>
  <si>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</si>
  <si>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</si>
  <si>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</si>
  <si>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</si>
  <si>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</si>
  <si>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</si>
  <si>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</si>
  <si>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</si>
  <si>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</si>
  <si>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</si>
  <si>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</si>
  <si>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</si>
  <si>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</si>
  <si>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</si>
  <si>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</si>
  <si>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</si>
  <si>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</si>
  <si>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</si>
  <si>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</si>
  <si>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</si>
  <si>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</si>
  <si>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</si>
  <si>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</si>
  <si>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</si>
  <si>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</si>
  <si>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</si>
  <si>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</si>
  <si>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</si>
  <si>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</si>
  <si>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</si>
  <si>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</si>
  <si>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</si>
  <si>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</si>
  <si>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</si>
  <si>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</si>
  <si>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</si>
  <si>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</si>
  <si>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</si>
  <si>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</si>
  <si>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</si>
  <si>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</si>
  <si>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</si>
  <si>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</si>
  <si>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</si>
  <si>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</si>
  <si>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</si>
  <si>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</si>
  <si>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</si>
  <si>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</si>
  <si>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</si>
  <si>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</si>
  <si>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</si>
  <si>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</si>
  <si>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</si>
  <si>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</si>
  <si>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</si>
  <si>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</si>
  <si>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</si>
  <si>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</si>
  <si>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</si>
  <si>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</si>
  <si>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</si>
  <si>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</si>
  <si>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</si>
  <si>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</si>
  <si>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</si>
  <si>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</si>
  <si>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</si>
  <si>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</si>
  <si>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</si>
  <si>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</si>
  <si>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</si>
  <si>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</si>
  <si>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</si>
  <si>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</si>
  <si>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</si>
  <si>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</si>
  <si>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</si>
  <si>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</si>
  <si>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</si>
  <si>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</si>
  <si>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</si>
  <si>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</si>
  <si>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</si>
  <si>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</si>
  <si>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</si>
  <si>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</si>
  <si>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</si>
  <si>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</si>
  <si>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</si>
  <si>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</si>
  <si>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</si>
  <si>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</si>
  <si>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</si>
  <si>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</si>
  <si>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</si>
  <si>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</si>
  <si>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</si>
  <si>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</si>
  <si>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</si>
  <si>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</si>
  <si>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</si>
  <si>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</si>
  <si>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</si>
  <si>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</si>
  <si>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</si>
  <si>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</si>
  <si>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</si>
  <si>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</si>
  <si>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</si>
  <si>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</si>
  <si>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</si>
  <si>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</si>
  <si>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</si>
  <si>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</si>
  <si>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</si>
  <si>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</si>
  <si>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</si>
  <si>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</si>
  <si>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</si>
  <si>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</si>
  <si>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</si>
  <si>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</si>
  <si>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</si>
  <si>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</si>
  <si>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</si>
  <si>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</si>
  <si>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</si>
  <si>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</si>
  <si>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</si>
  <si>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</si>
  <si>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</si>
  <si>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</si>
  <si>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</si>
  <si>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</si>
  <si>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</si>
  <si>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</si>
  <si>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</si>
  <si>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</si>
  <si>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</si>
  <si>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</si>
  <si>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</si>
  <si>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</si>
  <si>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</si>
  <si>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</si>
  <si>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</si>
  <si>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</si>
  <si>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</si>
  <si>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</si>
  <si>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</si>
  <si>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</si>
  <si>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</si>
  <si>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</si>
  <si>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</si>
  <si>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</si>
  <si>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</si>
  <si>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</si>
  <si>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</si>
  <si>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</si>
  <si>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</si>
  <si>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</si>
  <si>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</si>
  <si>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</si>
  <si>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</si>
  <si>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</si>
  <si>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</si>
  <si>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</si>
  <si>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</si>
  <si>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</si>
  <si>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</si>
  <si>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</si>
  <si>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</si>
  <si>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</si>
  <si>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</si>
  <si>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</si>
  <si>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</si>
  <si>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</si>
  <si>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</si>
  <si>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</si>
  <si>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</si>
  <si>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</si>
  <si>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</si>
  <si>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</si>
  <si>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</si>
  <si>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</si>
  <si>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</si>
  <si>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</si>
  <si>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</si>
  <si>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</si>
  <si>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</si>
  <si>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</si>
  <si>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</si>
  <si>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</si>
  <si>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</si>
  <si>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</si>
  <si>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</si>
  <si>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</si>
  <si>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</si>
  <si>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</si>
  <si>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</si>
  <si>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</si>
  <si>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</si>
  <si>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</si>
  <si>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</si>
  <si>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</si>
  <si>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</si>
  <si>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</si>
  <si>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</si>
  <si>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</si>
  <si>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</si>
  <si>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</si>
  <si>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</si>
  <si>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</si>
  <si>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</si>
  <si>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</si>
  <si>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</si>
  <si>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</si>
  <si>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</si>
  <si>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</si>
  <si>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</si>
  <si>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</si>
  <si>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</si>
  <si>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</si>
  <si>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</si>
  <si>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</si>
  <si>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</si>
  <si>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</si>
  <si>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</si>
  <si>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</si>
  <si>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</si>
  <si>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</si>
  <si>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</si>
  <si>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</si>
  <si>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</si>
  <si>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</si>
  <si>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</si>
  <si>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</si>
  <si>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</si>
  <si>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</si>
  <si>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</si>
  <si>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</si>
  <si>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</si>
  <si>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</si>
  <si>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</si>
  <si>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</si>
  <si>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</si>
  <si>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</si>
  <si>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</si>
  <si>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</si>
  <si>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</si>
  <si>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</si>
  <si>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</si>
  <si>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</si>
  <si>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</si>
  <si>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</si>
  <si>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</si>
  <si>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</si>
  <si>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</si>
  <si>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</si>
  <si>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</si>
  <si>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</si>
  <si>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</si>
  <si>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</si>
  <si>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</si>
  <si>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</si>
  <si>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</si>
  <si>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</si>
  <si>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</si>
  <si>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</si>
  <si>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</si>
  <si>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</si>
  <si>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</si>
  <si>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</si>
  <si>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</si>
  <si>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</si>
  <si>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</si>
  <si>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</si>
  <si>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</si>
  <si>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</si>
  <si>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</si>
  <si>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</si>
  <si>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</si>
  <si>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</si>
  <si>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</si>
  <si>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</si>
  <si>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</si>
  <si>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</si>
  <si>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</si>
  <si>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</si>
  <si>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</si>
  <si>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</si>
  <si>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</si>
  <si>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</si>
  <si>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</si>
  <si>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</si>
  <si>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</si>
  <si>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</si>
  <si>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</si>
  <si>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</si>
  <si>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</si>
  <si>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</si>
  <si>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</si>
  <si>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</si>
  <si>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</si>
  <si>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</si>
  <si>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</si>
  <si>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</si>
  <si>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</si>
  <si>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</si>
  <si>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</si>
  <si>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</si>
  <si>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</si>
  <si>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</si>
  <si>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</si>
  <si>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</si>
  <si>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</si>
  <si>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</si>
  <si>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</si>
  <si>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</si>
  <si>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</si>
  <si>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</si>
  <si>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</si>
  <si>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</si>
  <si>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</si>
  <si>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</si>
  <si>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</si>
  <si>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</si>
  <si>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</si>
  <si>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</si>
  <si>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</si>
  <si>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</si>
  <si>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</si>
  <si>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</si>
  <si>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</si>
  <si>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</si>
  <si>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</si>
  <si>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</si>
  <si>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</si>
  <si>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</si>
  <si>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</si>
  <si>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</si>
  <si>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</si>
  <si>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</si>
  <si>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</si>
  <si>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</si>
  <si>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</si>
  <si>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</si>
  <si>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</si>
  <si>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</si>
  <si>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</si>
  <si>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</si>
  <si>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</si>
  <si>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</si>
  <si>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</si>
  <si>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</si>
  <si>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</si>
  <si>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</si>
  <si>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</si>
  <si>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</si>
  <si>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</si>
  <si>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</si>
  <si>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</si>
  <si>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</si>
  <si>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</si>
  <si>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</si>
  <si>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</si>
  <si>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</si>
  <si>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</si>
  <si>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</si>
  <si>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</si>
  <si>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</si>
  <si>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</si>
  <si>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</si>
  <si>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</si>
  <si>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</si>
  <si>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</si>
  <si>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</si>
  <si>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</si>
  <si>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</si>
  <si>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</si>
  <si>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</si>
  <si>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</si>
  <si>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</si>
  <si>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</si>
  <si>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</si>
  <si>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</si>
  <si>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</si>
  <si>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</si>
  <si>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</si>
  <si>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</si>
  <si>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</si>
  <si>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</si>
  <si>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</si>
  <si>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</si>
  <si>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</si>
  <si>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</si>
  <si>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</si>
  <si>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</si>
  <si>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</si>
  <si>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</si>
  <si>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</si>
  <si>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</si>
  <si>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</si>
  <si>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</si>
  <si>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</si>
  <si>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</si>
  <si>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</si>
  <si>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</si>
  <si>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</si>
  <si>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</si>
  <si>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</si>
  <si>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</si>
  <si>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</si>
  <si>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</si>
  <si>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</si>
  <si>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</si>
  <si>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</si>
  <si>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</si>
  <si>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</si>
  <si>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</si>
  <si>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</si>
  <si>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</si>
  <si>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</si>
  <si>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</si>
  <si>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</si>
  <si>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</si>
  <si>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</si>
  <si>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</si>
  <si>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</si>
  <si>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</si>
  <si>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</si>
  <si>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</si>
  <si>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</si>
  <si>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</si>
  <si>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</si>
  <si>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</si>
  <si>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</si>
  <si>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</si>
  <si>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</si>
  <si>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</si>
  <si>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</si>
  <si>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</si>
  <si>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</si>
  <si>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</si>
  <si>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</si>
  <si>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</si>
  <si>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</si>
  <si>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</si>
  <si>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</si>
  <si>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</si>
  <si>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</si>
  <si>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</si>
  <si>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</si>
  <si>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</si>
  <si>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</si>
  <si>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</si>
  <si>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</si>
  <si>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</si>
  <si>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</si>
  <si>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</si>
  <si>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</si>
  <si>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</si>
  <si>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</si>
  <si>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</si>
  <si>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</si>
  <si>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</si>
  <si>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</si>
  <si>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</si>
  <si>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</si>
  <si>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</si>
  <si>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</si>
  <si>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</si>
  <si>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</si>
  <si>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</si>
  <si>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</si>
  <si>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</si>
  <si>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</si>
  <si>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</si>
  <si>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</si>
  <si>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</si>
  <si>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</si>
  <si>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</si>
  <si>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</si>
  <si>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</si>
  <si>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</si>
  <si>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</si>
  <si>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</si>
  <si>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</si>
  <si>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</si>
  <si>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</si>
  <si>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</si>
  <si>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</si>
  <si>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</si>
  <si>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</si>
  <si>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</si>
  <si>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</si>
  <si>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</si>
  <si>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</si>
  <si>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</si>
  <si>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</si>
  <si>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</si>
  <si>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</si>
  <si>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</si>
  <si>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</si>
  <si>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</si>
  <si>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</si>
  <si>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</si>
  <si>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</si>
  <si>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</si>
  <si>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</si>
  <si>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</si>
  <si>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</si>
  <si>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</si>
  <si>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</si>
  <si>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</si>
  <si>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</si>
  <si>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</si>
  <si>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</si>
  <si>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</si>
  <si>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</si>
  <si>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</si>
  <si>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</si>
  <si>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</si>
  <si>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</si>
  <si>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</si>
  <si>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</si>
  <si>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</si>
  <si>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</si>
  <si>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</si>
  <si>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</si>
  <si>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</si>
  <si>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</si>
  <si>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</si>
  <si>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</si>
  <si>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</si>
  <si>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</si>
  <si>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</si>
  <si>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</si>
  <si>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</si>
  <si>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</si>
  <si>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</si>
  <si>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</si>
  <si>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</si>
  <si>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</si>
  <si>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</si>
  <si>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</si>
  <si>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</si>
  <si>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</si>
  <si>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</si>
  <si>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</si>
  <si>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</si>
  <si>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</si>
  <si>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</si>
  <si>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</si>
  <si>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</si>
  <si>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</si>
  <si>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</si>
  <si>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</si>
  <si>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</si>
  <si>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</si>
  <si>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</si>
  <si>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</si>
  <si>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</si>
  <si>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</si>
  <si>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</si>
  <si>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</si>
  <si>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</si>
  <si>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</si>
  <si>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</si>
  <si>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</si>
  <si>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</si>
  <si>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</si>
  <si>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</si>
  <si>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</si>
  <si>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</si>
  <si>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</si>
  <si>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</si>
  <si>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</si>
  <si>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</si>
  <si>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</si>
  <si>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</si>
  <si>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</si>
  <si>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</si>
  <si>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</si>
  <si>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</si>
  <si>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</si>
  <si>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</si>
  <si>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</si>
  <si>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</si>
  <si>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</si>
  <si>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</si>
  <si>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</si>
  <si>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</si>
  <si>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</si>
  <si>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</si>
  <si>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</si>
  <si>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</si>
  <si>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</si>
  <si>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</si>
  <si>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</si>
  <si>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</si>
  <si>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</si>
  <si>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</si>
  <si>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</si>
  <si>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</si>
  <si>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</si>
  <si>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</si>
  <si>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</si>
  <si>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</si>
  <si>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</si>
  <si>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</si>
  <si>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</si>
  <si>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</si>
  <si>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</si>
  <si>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</si>
  <si>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</si>
  <si>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</si>
  <si>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</si>
  <si>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</si>
  <si>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</si>
  <si>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</si>
  <si>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</si>
  <si>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</si>
  <si>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</si>
  <si>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</si>
  <si>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</si>
  <si>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</si>
  <si>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</si>
  <si>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</si>
  <si>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</si>
  <si>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</si>
  <si>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</si>
  <si>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</si>
  <si>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</si>
  <si>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</si>
  <si>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</si>
  <si>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</si>
  <si>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</si>
  <si>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</si>
  <si>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</si>
  <si>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</si>
  <si>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</si>
  <si>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</si>
  <si>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</si>
  <si>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</si>
  <si>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</si>
  <si>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</si>
  <si>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</si>
  <si>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</si>
  <si>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</si>
  <si>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</si>
  <si>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</si>
  <si>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</si>
  <si>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</si>
  <si>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</si>
  <si>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</si>
  <si>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</si>
  <si>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</si>
  <si>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</si>
  <si>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</si>
  <si>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</si>
  <si>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</si>
  <si>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</si>
  <si>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</si>
  <si>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</si>
  <si>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</si>
  <si>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</si>
  <si>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</si>
  <si>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</si>
  <si>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</si>
  <si>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</si>
  <si>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</si>
  <si>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</si>
  <si>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</si>
  <si>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</si>
  <si>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</si>
  <si>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</si>
  <si>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</si>
  <si>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</si>
  <si>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</si>
  <si>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</si>
  <si>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</si>
  <si>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</si>
  <si>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</si>
  <si>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</si>
  <si>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</si>
  <si>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</si>
  <si>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</si>
  <si>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</si>
  <si>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</si>
  <si>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</si>
  <si>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</si>
  <si>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</si>
  <si>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</si>
  <si>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</si>
  <si>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</si>
  <si>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</si>
  <si>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</si>
  <si>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</si>
  <si>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</si>
  <si>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</si>
  <si>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</si>
  <si>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</si>
  <si>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</si>
  <si>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</si>
  <si>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</si>
  <si>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</si>
  <si>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</si>
  <si>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</si>
  <si>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</si>
  <si>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</si>
  <si>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</si>
  <si>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</si>
  <si>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</si>
  <si>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</si>
  <si>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</si>
  <si>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</si>
  <si>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</si>
  <si>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</si>
  <si>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</si>
  <si>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</si>
  <si>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</si>
  <si>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</si>
  <si>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</si>
  <si>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</si>
  <si>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</si>
  <si>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</si>
  <si>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</si>
  <si>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</si>
  <si>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</si>
  <si>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</si>
  <si>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</si>
  <si>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</si>
  <si>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</si>
  <si>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</si>
  <si>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</si>
  <si>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</si>
  <si>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</si>
  <si>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</si>
  <si>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</si>
  <si>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</si>
  <si>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</si>
  <si>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</si>
  <si>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</si>
  <si>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</si>
  <si>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</si>
  <si>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</si>
  <si>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</si>
  <si>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</si>
  <si>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</si>
  <si>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</si>
  <si>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</si>
  <si>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</si>
  <si>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</si>
  <si>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</si>
  <si>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</si>
  <si>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</si>
  <si>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</si>
  <si>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</si>
  <si>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</si>
  <si>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</si>
  <si>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</si>
  <si>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</si>
  <si>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</si>
  <si>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</si>
  <si>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</si>
  <si>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</si>
  <si>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</si>
  <si>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</si>
  <si>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</si>
  <si>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</si>
  <si>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</si>
  <si>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</si>
  <si>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</si>
  <si>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</si>
  <si>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</si>
  <si>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</si>
  <si>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</si>
  <si>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</si>
  <si>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</si>
  <si>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</si>
  <si>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</si>
  <si>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</si>
  <si>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</si>
  <si>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</si>
  <si>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</si>
  <si>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</si>
  <si>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</si>
  <si>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</si>
  <si>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</si>
  <si>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</si>
  <si>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</si>
  <si>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</si>
  <si>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</si>
  <si>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</si>
  <si>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</si>
  <si>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</si>
  <si>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</si>
  <si>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</si>
  <si>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</si>
  <si>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</si>
  <si>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</si>
  <si>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</si>
  <si>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</si>
  <si>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</si>
  <si>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</si>
  <si>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</si>
  <si>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</si>
  <si>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</si>
  <si>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</si>
  <si>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</si>
  <si>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</si>
  <si>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</si>
  <si>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</si>
  <si>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</si>
  <si>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</si>
  <si>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</si>
  <si>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</si>
  <si>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</si>
  <si>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</si>
  <si>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</si>
  <si>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</si>
  <si>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</si>
  <si>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</si>
  <si>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</si>
  <si>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</si>
  <si>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</si>
  <si>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</si>
  <si>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</si>
  <si>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</si>
  <si>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</si>
  <si>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</si>
  <si>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</si>
  <si>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</si>
  <si>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</si>
  <si>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</si>
  <si>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</si>
  <si>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</si>
  <si>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</si>
  <si>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</si>
  <si>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</si>
  <si>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</si>
  <si>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</si>
  <si>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</si>
  <si>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</si>
  <si>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</si>
  <si>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</si>
  <si>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</si>
  <si>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</si>
  <si>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</si>
  <si>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</si>
  <si>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</si>
  <si>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</si>
  <si>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</si>
  <si>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</si>
  <si>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</si>
  <si>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</si>
  <si>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</si>
  <si>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</si>
  <si>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</si>
  <si>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</si>
  <si>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</si>
  <si>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</si>
  <si>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</si>
  <si>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</si>
  <si>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</si>
  <si>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</si>
  <si>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</si>
  <si>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</si>
  <si>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</si>
  <si>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</si>
  <si>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</si>
  <si>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</si>
  <si>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</si>
  <si>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</si>
  <si>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</si>
  <si>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</si>
  <si>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</si>
  <si>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</si>
  <si>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</si>
  <si>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</si>
  <si>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</si>
  <si>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</si>
  <si>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</si>
  <si>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</si>
  <si>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</si>
  <si>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</si>
  <si>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</si>
  <si>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</si>
  <si>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</si>
  <si>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</si>
  <si>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</si>
  <si>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</si>
  <si>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</si>
  <si>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</si>
  <si>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</si>
  <si>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</si>
  <si>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</si>
  <si>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</si>
  <si>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</si>
  <si>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</si>
  <si>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</si>
  <si>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</si>
  <si>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</si>
  <si>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</si>
  <si>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</si>
  <si>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</si>
  <si>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</si>
  <si>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</si>
  <si>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</si>
  <si>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</si>
  <si>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</si>
  <si>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</si>
  <si>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</si>
  <si>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</si>
  <si>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</si>
  <si>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</si>
  <si>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</si>
  <si>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</si>
  <si>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</si>
  <si>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</si>
  <si>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</si>
  <si>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</si>
  <si>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</si>
  <si>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</si>
  <si>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</si>
  <si>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</si>
  <si>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</si>
  <si>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</si>
  <si>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</si>
  <si>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</si>
  <si>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</si>
  <si>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</si>
  <si>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</si>
  <si>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</si>
  <si>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</si>
  <si>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</si>
  <si>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</si>
  <si>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</si>
  <si>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</si>
  <si>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</si>
  <si>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</si>
  <si>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</si>
  <si>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</si>
  <si>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</si>
  <si>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</si>
  <si>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</si>
  <si>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</si>
  <si>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</si>
  <si>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</si>
  <si>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</si>
  <si>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</si>
  <si>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</si>
  <si>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</si>
  <si>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</si>
  <si>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</si>
  <si>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</si>
  <si>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</si>
  <si>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</si>
  <si>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</si>
  <si>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</si>
  <si>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</si>
  <si>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</si>
  <si>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</si>
  <si>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</si>
  <si>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</si>
  <si>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</si>
  <si>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</si>
  <si>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</si>
  <si>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</si>
  <si>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</si>
  <si>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</si>
  <si>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</si>
  <si>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</si>
  <si>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</si>
  <si>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</si>
  <si>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</si>
  <si>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</si>
  <si>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</si>
  <si>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</si>
  <si>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</si>
  <si>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</si>
  <si>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</si>
  <si>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</si>
  <si>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</si>
  <si>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</si>
  <si>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</si>
  <si>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</si>
  <si>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</si>
  <si>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</si>
  <si>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</si>
  <si>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</si>
  <si>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</si>
  <si>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</si>
  <si>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</si>
  <si>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</si>
  <si>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</si>
  <si>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</si>
  <si>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</si>
  <si>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</si>
  <si>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</si>
  <si>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</si>
  <si>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</si>
  <si>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</si>
  <si>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</si>
  <si>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</si>
  <si>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</si>
  <si>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</si>
  <si>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</si>
  <si>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</si>
  <si>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</si>
  <si>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</si>
  <si>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</si>
  <si>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</si>
  <si>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</si>
  <si>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</si>
  <si>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</si>
  <si>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</si>
  <si>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</si>
  <si>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</si>
  <si>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</si>
  <si>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</si>
  <si>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</si>
  <si>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</si>
  <si>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</si>
  <si>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</si>
  <si>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</si>
  <si>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</si>
  <si>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</si>
  <si>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</si>
  <si>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</si>
  <si>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</si>
  <si>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</si>
  <si>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</si>
  <si>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</si>
  <si>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</si>
  <si>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</si>
  <si>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</si>
  <si>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</si>
  <si>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</si>
  <si>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</si>
  <si>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</si>
  <si>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</si>
  <si>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</si>
  <si>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</si>
  <si>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</si>
  <si>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</si>
  <si>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</si>
  <si>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</si>
  <si>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</si>
  <si>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</si>
  <si>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</si>
  <si>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</si>
  <si>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</si>
  <si>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</si>
  <si>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</si>
  <si>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</si>
  <si>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</si>
  <si>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</si>
  <si>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</si>
  <si>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</si>
  <si>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</si>
  <si>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</si>
  <si>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</si>
  <si>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</si>
  <si>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</si>
  <si>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</si>
  <si>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</si>
  <si>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</si>
  <si>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</si>
  <si>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</si>
  <si>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</si>
  <si>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</si>
  <si>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</si>
  <si>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</si>
  <si>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</si>
  <si>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</si>
  <si>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</si>
  <si>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</si>
  <si>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</si>
  <si>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</si>
  <si>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</si>
  <si>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</si>
  <si>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</si>
  <si>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</si>
  <si>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</si>
  <si>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</si>
  <si>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</si>
  <si>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</si>
  <si>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</si>
  <si>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</si>
  <si>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</si>
  <si>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</si>
  <si>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</si>
  <si>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</si>
  <si>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</si>
  <si>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</si>
  <si>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</si>
  <si>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</si>
  <si>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</si>
  <si>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</si>
  <si>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</si>
  <si>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</si>
  <si>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</si>
  <si>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</si>
  <si>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</si>
  <si>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</si>
  <si>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</si>
  <si>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</si>
  <si>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</si>
  <si>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</si>
  <si>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</si>
  <si>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</si>
  <si>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</si>
  <si>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</si>
  <si>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</si>
  <si>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</si>
  <si>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</si>
  <si>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</si>
  <si>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</si>
  <si>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</si>
  <si>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</si>
  <si>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</si>
  <si>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</si>
  <si>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</si>
  <si>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</si>
  <si>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</si>
  <si>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</si>
  <si>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</si>
  <si>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</si>
  <si>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</si>
  <si>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</si>
  <si>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</si>
  <si>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</si>
  <si>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</si>
  <si>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</si>
  <si>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</si>
  <si>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</si>
  <si>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</si>
  <si>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</si>
  <si>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</si>
  <si>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</si>
  <si>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</si>
  <si>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</si>
  <si>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</si>
  <si>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</si>
  <si>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</si>
  <si>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</si>
  <si>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</si>
  <si>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</si>
  <si>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</si>
  <si>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</si>
  <si>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</si>
  <si>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</si>
  <si>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</si>
  <si>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</si>
  <si>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</si>
  <si>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</si>
  <si>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</si>
  <si>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</si>
  <si>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</si>
  <si>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</si>
  <si>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</si>
  <si>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</si>
  <si>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</si>
  <si>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</si>
  <si>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</si>
  <si>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</si>
  <si>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</si>
  <si>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</si>
  <si>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</si>
  <si>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</si>
  <si>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</si>
  <si>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</si>
  <si>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</si>
  <si>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</si>
  <si>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</si>
  <si>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</si>
  <si>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</si>
  <si>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</si>
  <si>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</si>
  <si>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</si>
  <si>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</si>
  <si>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</si>
  <si>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</si>
  <si>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</si>
  <si>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</si>
  <si>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</si>
  <si>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</si>
  <si>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</si>
  <si>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</si>
  <si>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</si>
  <si>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</si>
  <si>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</si>
  <si>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</si>
  <si>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</si>
  <si>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</si>
  <si>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</si>
  <si>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</si>
  <si>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</si>
  <si>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</si>
  <si>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</si>
  <si>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</si>
  <si>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</si>
  <si>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</si>
  <si>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</si>
  <si>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</si>
  <si>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</si>
  <si>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</si>
  <si>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</si>
  <si>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</si>
  <si>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</si>
  <si>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</si>
  <si>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</si>
  <si>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</si>
  <si>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</si>
  <si>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</si>
  <si>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</si>
  <si>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</si>
  <si>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</si>
  <si>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</si>
  <si>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</si>
  <si>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</si>
  <si>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</si>
  <si>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</si>
  <si>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</si>
  <si>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</si>
  <si>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</si>
  <si>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</si>
  <si>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</si>
  <si>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</si>
  <si>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</si>
  <si>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</si>
  <si>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</si>
  <si>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</si>
  <si>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</si>
  <si>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</si>
  <si>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</si>
  <si>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</si>
  <si>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</si>
  <si>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</si>
  <si>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</si>
  <si>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</si>
  <si>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</si>
  <si>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</si>
  <si>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</si>
  <si>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</si>
  <si>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</si>
  <si>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</si>
  <si>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</si>
  <si>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</si>
  <si>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</si>
  <si>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</si>
  <si>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</si>
  <si>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</si>
  <si>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</si>
  <si>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</si>
  <si>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</si>
  <si>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</si>
  <si>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</si>
  <si>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</si>
  <si>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</si>
  <si>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</si>
  <si>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</si>
  <si>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</si>
  <si>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</si>
  <si>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</si>
  <si>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</si>
  <si>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</si>
  <si>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</si>
  <si>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</si>
  <si>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</si>
  <si>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</si>
  <si>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</si>
  <si>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</si>
  <si>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</si>
  <si>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</si>
  <si>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</si>
  <si>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</si>
  <si>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</si>
  <si>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</si>
  <si>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</si>
  <si>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</si>
  <si>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</si>
  <si>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</si>
  <si>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</si>
  <si>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</si>
  <si>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</si>
  <si>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</si>
  <si>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</si>
  <si>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</si>
  <si>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</si>
  <si>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</si>
  <si>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</si>
  <si>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</si>
  <si>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</si>
  <si>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</si>
  <si>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</si>
  <si>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</si>
  <si>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</si>
  <si>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</si>
  <si>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</si>
  <si>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</si>
  <si>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</si>
  <si>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</si>
  <si>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</si>
  <si>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</si>
  <si>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</si>
  <si>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</si>
  <si>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</si>
  <si>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</si>
  <si>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</si>
  <si>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</si>
  <si>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</si>
  <si>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</si>
  <si>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</si>
  <si>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</si>
  <si>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</si>
  <si>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</si>
  <si>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</si>
  <si>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</si>
  <si>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</si>
  <si>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</si>
  <si>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</si>
  <si>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</si>
  <si>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</si>
  <si>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</si>
  <si>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</si>
  <si>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</si>
  <si>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</si>
  <si>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</si>
  <si>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</si>
  <si>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</si>
  <si>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</si>
  <si>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</si>
  <si>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</si>
  <si>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</si>
  <si>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</si>
  <si>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</si>
  <si>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</si>
  <si>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</si>
  <si>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</si>
  <si>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</si>
  <si>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</si>
  <si>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</si>
  <si>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</si>
  <si>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</si>
  <si>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</si>
  <si>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</si>
  <si>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</si>
  <si>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</si>
  <si>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</si>
  <si>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</si>
  <si>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</si>
  <si>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</si>
  <si>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</si>
  <si>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</si>
  <si>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</si>
  <si>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</si>
  <si>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</si>
  <si>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</si>
  <si>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</si>
  <si>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</si>
  <si>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</si>
  <si>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</si>
  <si>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</si>
  <si>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</si>
  <si>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</si>
  <si>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</si>
  <si>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</si>
  <si>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</si>
  <si>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</si>
  <si>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</si>
  <si>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</si>
  <si>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</si>
  <si>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</si>
  <si>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</si>
  <si>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</si>
  <si>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</si>
  <si>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</si>
  <si>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</si>
  <si>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</si>
  <si>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</si>
  <si>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</si>
  <si>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</si>
  <si>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</si>
  <si>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</si>
  <si>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</si>
  <si>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</si>
  <si>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</si>
  <si>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</si>
  <si>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</si>
  <si>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</si>
  <si>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</si>
  <si>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</si>
  <si>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</si>
  <si>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</si>
  <si>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</si>
  <si>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</si>
  <si>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</si>
  <si>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</si>
  <si>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</si>
  <si>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</si>
  <si>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</si>
  <si>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</si>
  <si>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</si>
  <si>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</si>
  <si>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</si>
  <si>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</si>
  <si>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</si>
  <si>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</si>
  <si>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</si>
  <si>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</si>
  <si>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</si>
  <si>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</si>
  <si>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</si>
  <si>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</si>
  <si>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</si>
  <si>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</si>
  <si>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</si>
  <si>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</si>
  <si>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</si>
  <si>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</si>
  <si>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</si>
  <si>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</si>
  <si>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</si>
  <si>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</si>
  <si>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</si>
  <si>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</si>
  <si>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</si>
  <si>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</si>
  <si>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</si>
  <si>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</si>
  <si>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</si>
  <si>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</si>
  <si>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</si>
  <si>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</si>
  <si>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</si>
  <si>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</si>
  <si>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</si>
  <si>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</si>
  <si>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</si>
  <si>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</si>
  <si>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</si>
  <si>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</si>
  <si>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</si>
  <si>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</si>
  <si>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</si>
  <si>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</si>
  <si>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</si>
  <si>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</si>
  <si>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</si>
  <si>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</si>
  <si>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</si>
  <si>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</si>
  <si>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</si>
  <si>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</si>
  <si>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</si>
  <si>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</si>
  <si>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</si>
  <si>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</si>
  <si>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</si>
  <si>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</si>
  <si>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</si>
  <si>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</si>
  <si>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</si>
  <si>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</si>
  <si>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</si>
  <si>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</si>
  <si>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</si>
  <si>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</si>
  <si>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</si>
  <si>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</si>
  <si>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</si>
  <si>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</si>
  <si>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</si>
  <si>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</si>
  <si>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</si>
  <si>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</si>
  <si>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</si>
  <si>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</si>
  <si>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</si>
  <si>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</si>
  <si>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</si>
  <si>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</si>
  <si>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</si>
  <si>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</si>
  <si>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</si>
  <si>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</si>
  <si>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</si>
  <si>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</si>
  <si>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</si>
  <si>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</si>
  <si>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</si>
  <si>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</si>
  <si>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</si>
  <si>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</si>
  <si>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</si>
  <si>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</si>
  <si>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</si>
  <si>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</si>
  <si>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</si>
  <si>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</si>
  <si>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</si>
  <si>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</si>
  <si>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</si>
  <si>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</si>
  <si>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</si>
  <si>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</si>
  <si>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</si>
  <si>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</si>
  <si>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</si>
  <si>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</si>
  <si>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</si>
  <si>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</si>
  <si>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</si>
  <si>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</si>
  <si>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</si>
  <si>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</si>
  <si>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</si>
  <si>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</si>
  <si>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</si>
  <si>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</si>
  <si>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</si>
  <si>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</si>
  <si>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</si>
  <si>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</si>
  <si>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</si>
  <si>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</si>
  <si>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</si>
  <si>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</si>
  <si>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</si>
  <si>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</si>
  <si>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</si>
  <si>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</si>
  <si>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</si>
  <si>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</si>
  <si>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</si>
  <si>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</si>
  <si>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</si>
  <si>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</si>
  <si>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</si>
  <si>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</si>
  <si>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</si>
  <si>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</si>
  <si>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</si>
  <si>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</si>
  <si>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</si>
  <si>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</si>
  <si>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</si>
  <si>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</si>
  <si>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</si>
  <si>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</si>
  <si>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</si>
  <si>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</si>
  <si>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</si>
  <si>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</si>
  <si>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</si>
  <si>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</si>
  <si>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</si>
  <si>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</si>
  <si>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</si>
  <si>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</si>
  <si>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</si>
  <si>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</si>
  <si>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</si>
  <si>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</si>
  <si>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</si>
  <si>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</si>
  <si>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</si>
  <si>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</si>
  <si>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</si>
  <si>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</si>
  <si>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</si>
  <si>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</si>
  <si>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</si>
  <si>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</si>
  <si>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</si>
  <si>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</si>
  <si>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</si>
  <si>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</si>
  <si>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</si>
  <si>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</si>
  <si>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</si>
  <si>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</si>
  <si>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</si>
  <si>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</si>
  <si>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</si>
  <si>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</si>
  <si>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</si>
  <si>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</si>
  <si>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</si>
  <si>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</si>
  <si>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</si>
  <si>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</si>
  <si>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</si>
  <si>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</si>
  <si>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</si>
  <si>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</si>
  <si>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</si>
  <si>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</si>
  <si>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</si>
  <si>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</si>
  <si>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</si>
  <si>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</si>
  <si>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</si>
  <si>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</si>
  <si>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</si>
  <si>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</si>
  <si>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</si>
  <si>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</si>
  <si>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</si>
  <si>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</si>
  <si>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</si>
  <si>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</si>
  <si>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</si>
  <si>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</si>
  <si>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</si>
  <si>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</si>
  <si>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</si>
  <si>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</si>
  <si>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</si>
  <si>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</si>
  <si>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</si>
  <si>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</si>
  <si>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</si>
  <si>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</si>
  <si>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</si>
  <si>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</si>
  <si>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</si>
  <si>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</si>
  <si>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</si>
  <si>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</si>
  <si>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</si>
  <si>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</si>
  <si>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</si>
  <si>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</si>
  <si>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</si>
  <si>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</si>
  <si>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</si>
  <si>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</si>
  <si>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</si>
  <si>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</si>
  <si>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</si>
  <si>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</si>
  <si>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</si>
  <si>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</si>
  <si>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</si>
  <si>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</si>
  <si>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</si>
  <si>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</si>
  <si>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</si>
  <si>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</si>
  <si>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</si>
  <si>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</si>
  <si>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</si>
  <si>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</si>
  <si>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</si>
  <si>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</si>
  <si>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</si>
  <si>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</si>
  <si>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</si>
  <si>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</si>
  <si>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</si>
  <si>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</si>
  <si>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</si>
  <si>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</si>
  <si>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</si>
  <si>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</si>
  <si>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</si>
  <si>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</si>
  <si>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</si>
  <si>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</si>
  <si>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</si>
  <si>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</si>
  <si>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</si>
  <si>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</si>
  <si>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</si>
  <si>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</si>
  <si>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</si>
  <si>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</si>
  <si>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</si>
  <si>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</si>
  <si>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</si>
  <si>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</si>
  <si>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</si>
  <si>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</si>
  <si>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</si>
  <si>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</si>
  <si>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</si>
  <si>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</si>
  <si>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</si>
  <si>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</si>
  <si>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</si>
  <si>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</si>
  <si>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</si>
  <si>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</si>
  <si>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</si>
  <si>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</si>
  <si>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</si>
  <si>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</si>
  <si>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</si>
  <si>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</si>
  <si>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</si>
  <si>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</si>
  <si>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</si>
  <si>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</si>
  <si>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</si>
  <si>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</si>
  <si>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</si>
  <si>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</si>
  <si>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</si>
  <si>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</si>
  <si>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</si>
  <si>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</si>
  <si>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</si>
  <si>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</si>
  <si>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</si>
  <si>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</si>
  <si>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</si>
  <si>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</si>
  <si>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</si>
  <si>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</si>
  <si>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</si>
  <si>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</si>
  <si>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</si>
  <si>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</si>
  <si>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</si>
  <si>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</si>
  <si>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</si>
  <si>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</si>
  <si>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</si>
  <si>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</si>
  <si>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</si>
  <si>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</si>
  <si>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</si>
  <si>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</si>
  <si>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</si>
  <si>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</si>
  <si>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</si>
  <si>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</si>
  <si>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</si>
  <si>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</si>
  <si>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</si>
  <si>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</si>
  <si>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</si>
  <si>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</si>
  <si>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</si>
  <si>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</si>
  <si>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</si>
  <si>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</si>
  <si>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</si>
  <si>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</si>
  <si>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</si>
  <si>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</si>
  <si>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</si>
  <si>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</si>
  <si>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</si>
  <si>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</si>
  <si>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</si>
  <si>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</si>
  <si>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</si>
  <si>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</si>
  <si>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</si>
  <si>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</si>
  <si>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</si>
  <si>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</si>
  <si>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</si>
  <si>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</si>
  <si>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</si>
  <si>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</si>
  <si>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</si>
  <si>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</si>
  <si>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</si>
  <si>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</si>
  <si>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</si>
  <si>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</si>
  <si>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</si>
  <si>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</si>
  <si>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</si>
  <si>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</si>
  <si>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</si>
  <si>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</si>
  <si>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</si>
  <si>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</si>
  <si>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</si>
  <si>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</si>
  <si>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</si>
  <si>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</si>
  <si>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</si>
  <si>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</si>
  <si>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</si>
  <si>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</si>
  <si>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</si>
  <si>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</si>
  <si>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</si>
  <si>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</si>
  <si>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</si>
  <si>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</si>
  <si>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</si>
  <si>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</si>
  <si>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</si>
  <si>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</si>
  <si>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</si>
  <si>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</si>
  <si>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</si>
  <si>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</si>
  <si>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</si>
  <si>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</si>
  <si>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</si>
  <si>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</si>
  <si>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</si>
  <si>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</si>
  <si>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</si>
  <si>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</si>
  <si>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</si>
  <si>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</si>
  <si>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</si>
  <si>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</si>
  <si>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</si>
  <si>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</si>
  <si>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</si>
  <si>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</si>
  <si>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</si>
  <si>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</si>
  <si>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</si>
  <si>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</si>
  <si>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</si>
  <si>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</si>
  <si>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</si>
  <si>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</si>
  <si>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</si>
  <si>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</si>
  <si>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</si>
  <si>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</si>
  <si>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</si>
  <si>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</si>
  <si>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</si>
  <si>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</si>
  <si>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</si>
  <si>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</si>
  <si>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</si>
  <si>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</si>
  <si>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</si>
  <si>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</si>
  <si>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</si>
  <si>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</si>
  <si>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</si>
  <si>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</si>
  <si>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</si>
  <si>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</si>
  <si>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</si>
  <si>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</si>
  <si>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</si>
  <si>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</si>
  <si>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</si>
  <si>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</si>
  <si>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</si>
  <si>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</si>
  <si>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</si>
  <si>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</si>
  <si>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</si>
  <si>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</si>
  <si>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</si>
  <si>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</si>
  <si>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</si>
  <si>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</si>
  <si>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</si>
  <si>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</si>
  <si>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</si>
  <si>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</si>
  <si>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</si>
  <si>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</si>
  <si>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</si>
  <si>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</si>
  <si>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</si>
  <si>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</si>
  <si>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</si>
  <si>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</si>
  <si>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</si>
  <si>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</si>
  <si>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</si>
  <si>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</si>
  <si>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</si>
  <si>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</si>
  <si>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</si>
  <si>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</si>
  <si>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</si>
  <si>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</si>
  <si>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</si>
  <si>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</si>
  <si>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</si>
  <si>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</si>
  <si>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</si>
  <si>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</si>
  <si>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</si>
  <si>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</si>
  <si>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</si>
  <si>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</si>
  <si>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</si>
  <si>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</si>
  <si>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</si>
  <si>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</si>
  <si>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</si>
  <si>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</si>
  <si>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</si>
  <si>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</si>
  <si>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</si>
  <si>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</si>
  <si>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</si>
  <si>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</si>
  <si>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</si>
  <si>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</si>
  <si>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</si>
  <si>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</si>
  <si>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</si>
  <si>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</si>
  <si>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</si>
  <si>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</si>
  <si>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</si>
  <si>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</si>
  <si>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</si>
  <si>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</si>
  <si>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</si>
  <si>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</si>
  <si>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</si>
  <si>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</si>
  <si>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</si>
  <si>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</si>
  <si>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</si>
  <si>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</si>
  <si>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</si>
  <si>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</si>
  <si>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</si>
  <si>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</si>
  <si>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</si>
  <si>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</si>
  <si>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</si>
  <si>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</si>
  <si>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</si>
  <si>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</si>
  <si>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</si>
  <si>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</si>
  <si>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</si>
  <si>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</si>
  <si>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</si>
  <si>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</si>
  <si>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</si>
  <si>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</si>
  <si>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</si>
  <si>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</si>
  <si>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</si>
  <si>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</si>
  <si>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</si>
  <si>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</si>
  <si>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</si>
  <si>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</si>
  <si>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</si>
  <si>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</si>
  <si>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</si>
  <si>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</si>
  <si>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</si>
  <si>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</si>
  <si>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</si>
  <si>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</si>
  <si>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</si>
  <si>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</si>
  <si>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</si>
  <si>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</si>
  <si>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</si>
  <si>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</si>
  <si>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</si>
  <si>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</si>
  <si>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</si>
  <si>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</si>
  <si>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</si>
  <si>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</si>
  <si>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</si>
  <si>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</si>
  <si>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</si>
  <si>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</si>
  <si>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</si>
  <si>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</si>
  <si>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</si>
  <si>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</si>
  <si>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</si>
  <si>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</si>
  <si>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</si>
  <si>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</si>
  <si>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</si>
  <si>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</si>
  <si>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</si>
  <si>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</si>
  <si>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</si>
  <si>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</si>
  <si>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</si>
  <si>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</si>
  <si>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</si>
  <si>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</si>
  <si>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</si>
  <si>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</si>
  <si>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</si>
  <si>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</si>
  <si>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</si>
  <si>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</si>
  <si>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</si>
  <si>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</si>
  <si>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</si>
  <si>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</si>
  <si>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</si>
  <si>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</si>
  <si>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</si>
  <si>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</si>
  <si>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</si>
  <si>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</si>
  <si>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</si>
  <si>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</si>
  <si>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</si>
  <si>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</si>
  <si>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</si>
  <si>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</si>
  <si>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</si>
  <si>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</si>
  <si>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</si>
  <si>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</si>
  <si>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</si>
  <si>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</si>
  <si>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</si>
  <si>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</si>
  <si>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</si>
  <si>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</si>
  <si>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</si>
  <si>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</si>
  <si>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</si>
  <si>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</si>
  <si>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</si>
  <si>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</si>
  <si>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</si>
  <si>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</si>
  <si>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</si>
  <si>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</si>
  <si>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</si>
  <si>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</si>
  <si>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</si>
  <si>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</si>
  <si>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</si>
  <si>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</si>
  <si>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</si>
  <si>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</si>
  <si>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</si>
  <si>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</si>
  <si>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</si>
  <si>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</si>
  <si>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</si>
  <si>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</si>
  <si>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</si>
  <si>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</si>
  <si>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</si>
  <si>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</si>
  <si>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</si>
  <si>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</si>
  <si>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</si>
  <si>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</si>
  <si>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</si>
  <si>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</si>
  <si>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</si>
  <si>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</si>
  <si>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</si>
  <si>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</si>
  <si>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</si>
  <si>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</si>
  <si>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</si>
  <si>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</si>
  <si>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</si>
  <si>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企业</t>
  </si>
  <si>
    <t>北京市</t>
  </si>
  <si>
    <t>房地产抵押价值</t>
  </si>
  <si>
    <t>抵押</t>
  </si>
  <si>
    <t>地上</t>
  </si>
  <si>
    <t>独立商业</t>
  </si>
  <si>
    <t>苹果社区</t>
    <phoneticPr fontId="140" type="noConversion"/>
  </si>
  <si>
    <t>双井、九龙山</t>
    <phoneticPr fontId="140" type="noConversion"/>
  </si>
  <si>
    <t>建筑面积</t>
  </si>
  <si>
    <t>建筑面积</t>
    <phoneticPr fontId="140" type="noConversion"/>
  </si>
  <si>
    <t>租金单价</t>
    <phoneticPr fontId="140" type="noConversion"/>
  </si>
  <si>
    <t>抵押物清单</t>
    <phoneticPr fontId="3" type="noConversion"/>
  </si>
  <si>
    <t>坐落：</t>
  </si>
  <si>
    <t>朝阳区百子湾路32号院6号楼</t>
    <phoneticPr fontId="3" type="noConversion"/>
  </si>
  <si>
    <t>:ID[4003]</t>
  </si>
  <si>
    <t>幢号</t>
  </si>
  <si>
    <t>房号</t>
  </si>
  <si>
    <t>结构</t>
  </si>
  <si>
    <t>竣工
日期</t>
  </si>
  <si>
    <t>层数</t>
  </si>
  <si>
    <t>房屋规划用途</t>
  </si>
  <si>
    <t>户型</t>
  </si>
  <si>
    <t>建筑面积 （平方米）</t>
  </si>
  <si>
    <t>所在</t>
  </si>
  <si>
    <t>或</t>
  </si>
  <si>
    <t>地下</t>
  </si>
  <si>
    <t>间数</t>
  </si>
  <si>
    <t>6号楼</t>
  </si>
  <si>
    <t>01层不分摊部位</t>
  </si>
  <si>
    <t>钢筋混凝土结构</t>
  </si>
  <si>
    <t/>
  </si>
  <si>
    <t>2/1</t>
  </si>
  <si>
    <t>1</t>
  </si>
  <si>
    <t xml:space="preserve">   </t>
  </si>
  <si>
    <t>其它</t>
  </si>
  <si>
    <t>02层不分摊部位</t>
  </si>
  <si>
    <t>2</t>
  </si>
  <si>
    <t>6-1</t>
  </si>
  <si>
    <t>1-2</t>
  </si>
  <si>
    <t>非配套公建</t>
  </si>
  <si>
    <t>复式</t>
  </si>
  <si>
    <t>6-10</t>
  </si>
  <si>
    <t>-1-2</t>
  </si>
  <si>
    <t>6-103</t>
  </si>
  <si>
    <t>-1</t>
  </si>
  <si>
    <t>6-105</t>
  </si>
  <si>
    <t>6-106</t>
  </si>
  <si>
    <t>6-107</t>
  </si>
  <si>
    <t>6-109</t>
  </si>
  <si>
    <t>6-11</t>
  </si>
  <si>
    <t>6-12</t>
  </si>
  <si>
    <t>6-15</t>
  </si>
  <si>
    <t>6-16</t>
  </si>
  <si>
    <t>6-17</t>
  </si>
  <si>
    <t>6-18</t>
  </si>
  <si>
    <t>6-19</t>
  </si>
  <si>
    <t>6-2</t>
  </si>
  <si>
    <t>6-20</t>
  </si>
  <si>
    <t>6-21</t>
  </si>
  <si>
    <t>6-22</t>
  </si>
  <si>
    <t>6-23</t>
  </si>
  <si>
    <t>6-25</t>
  </si>
  <si>
    <t>6-26</t>
  </si>
  <si>
    <t>6-27</t>
  </si>
  <si>
    <t>6-28</t>
  </si>
  <si>
    <t>6-29</t>
  </si>
  <si>
    <t>6-3</t>
  </si>
  <si>
    <t>6-30</t>
  </si>
  <si>
    <t>6-31</t>
  </si>
  <si>
    <t>6-32</t>
  </si>
  <si>
    <t>6-33</t>
  </si>
  <si>
    <t>6-35</t>
  </si>
  <si>
    <t>6-36</t>
  </si>
  <si>
    <t>6-37</t>
  </si>
  <si>
    <t>6-38</t>
  </si>
  <si>
    <t>6-39</t>
  </si>
  <si>
    <t>6-5</t>
  </si>
  <si>
    <t>6-50</t>
  </si>
  <si>
    <t>6-51</t>
  </si>
  <si>
    <t>6-52</t>
  </si>
  <si>
    <t>6-53</t>
  </si>
  <si>
    <t>6-55</t>
  </si>
  <si>
    <t>6-56</t>
  </si>
  <si>
    <t>6-57</t>
  </si>
  <si>
    <t>6-58</t>
  </si>
  <si>
    <t>6-59</t>
  </si>
  <si>
    <t>6-6</t>
  </si>
  <si>
    <t>6-60</t>
  </si>
  <si>
    <t>6-61</t>
  </si>
  <si>
    <t>6-62</t>
  </si>
  <si>
    <t>6-63</t>
  </si>
  <si>
    <t>6-65</t>
  </si>
  <si>
    <t>6-66</t>
  </si>
  <si>
    <t>6-67</t>
  </si>
  <si>
    <t>6-68</t>
  </si>
  <si>
    <t>6-69</t>
  </si>
  <si>
    <t>6-7</t>
  </si>
  <si>
    <t>6-70</t>
  </si>
  <si>
    <t>6-71</t>
  </si>
  <si>
    <t>6-72</t>
  </si>
  <si>
    <t>6-73</t>
  </si>
  <si>
    <t>6-75</t>
  </si>
  <si>
    <t>6-76</t>
  </si>
  <si>
    <t>6-77</t>
  </si>
  <si>
    <t>6-78</t>
  </si>
  <si>
    <t>6-79</t>
  </si>
  <si>
    <t>6-8</t>
  </si>
  <si>
    <t>6-80</t>
  </si>
  <si>
    <t>6-81</t>
  </si>
  <si>
    <t>6-82</t>
  </si>
  <si>
    <t>6-83</t>
  </si>
  <si>
    <t>6-85</t>
  </si>
  <si>
    <t>6-86</t>
  </si>
  <si>
    <t>6-87</t>
  </si>
  <si>
    <t>6-88</t>
  </si>
  <si>
    <t>6-89</t>
  </si>
  <si>
    <t>6-9</t>
  </si>
  <si>
    <t>6-90</t>
  </si>
  <si>
    <t>6-91</t>
  </si>
  <si>
    <t>6-92</t>
  </si>
  <si>
    <t>6-93</t>
  </si>
  <si>
    <t>6-95</t>
  </si>
  <si>
    <t>6-96</t>
  </si>
  <si>
    <t>6-97</t>
  </si>
  <si>
    <t>6-98</t>
  </si>
  <si>
    <t>总面积：</t>
  </si>
  <si>
    <t>房产证建筑面积</t>
    <phoneticPr fontId="140" type="noConversion"/>
  </si>
  <si>
    <t>测绘报告建筑面积</t>
    <phoneticPr fontId="140" type="noConversion"/>
  </si>
  <si>
    <r>
      <t>负</t>
    </r>
    <r>
      <rPr>
        <sz val="11"/>
        <color theme="1"/>
        <rFont val="宋体"/>
        <family val="3"/>
        <charset val="134"/>
        <scheme val="minor"/>
      </rPr>
      <t>1层</t>
    </r>
    <phoneticPr fontId="140" type="noConversion"/>
  </si>
  <si>
    <t>1层</t>
    <phoneticPr fontId="140" type="noConversion"/>
  </si>
  <si>
    <t>2层</t>
    <phoneticPr fontId="140" type="noConversion"/>
  </si>
  <si>
    <t>测算依据</t>
    <phoneticPr fontId="140" type="noConversion"/>
  </si>
  <si>
    <t>建筑面积</t>
    <phoneticPr fontId="140" type="noConversion"/>
  </si>
  <si>
    <t>收益面积</t>
    <phoneticPr fontId="140" type="noConversion"/>
  </si>
  <si>
    <t>负一层</t>
    <phoneticPr fontId="140" type="noConversion"/>
  </si>
  <si>
    <t>一层</t>
    <phoneticPr fontId="140" type="noConversion"/>
  </si>
  <si>
    <t>二层</t>
    <phoneticPr fontId="140" type="noConversion"/>
  </si>
  <si>
    <t>合计</t>
    <phoneticPr fontId="140" type="noConversion"/>
  </si>
  <si>
    <t>地上设备用房面积</t>
    <phoneticPr fontId="140" type="noConversion"/>
  </si>
  <si>
    <t>租金</t>
    <phoneticPr fontId="140" type="noConversion"/>
  </si>
  <si>
    <t>一层单价</t>
    <phoneticPr fontId="140" type="noConversion"/>
  </si>
  <si>
    <t>是</t>
  </si>
  <si>
    <t>编号</t>
    <phoneticPr fontId="258" type="noConversion"/>
  </si>
  <si>
    <t>楼号</t>
  </si>
  <si>
    <t>房间号</t>
  </si>
  <si>
    <t>开票名称</t>
  </si>
  <si>
    <t>乙方</t>
  </si>
  <si>
    <t>签订日期</t>
  </si>
  <si>
    <t>套内面积</t>
  </si>
  <si>
    <t>合同总金额（营改增后含物业费）</t>
  </si>
  <si>
    <t>合同起租日</t>
  </si>
  <si>
    <t>合同终止日</t>
  </si>
  <si>
    <t>合同期限(含免租期)</t>
  </si>
  <si>
    <t>年租金</t>
    <phoneticPr fontId="258" type="noConversion"/>
  </si>
  <si>
    <t>备注</t>
    <phoneticPr fontId="258" type="noConversion"/>
  </si>
  <si>
    <t>租金单价</t>
    <phoneticPr fontId="258" type="noConversion"/>
  </si>
  <si>
    <t>物业费</t>
    <phoneticPr fontId="258" type="noConversion"/>
  </si>
  <si>
    <t>供暖费</t>
    <phoneticPr fontId="258" type="noConversion"/>
  </si>
  <si>
    <t>净租金单价</t>
    <phoneticPr fontId="258" type="noConversion"/>
  </si>
  <si>
    <t>59、61</t>
  </si>
  <si>
    <t>北京余爱工坊商贸有限公司</t>
  </si>
  <si>
    <t>余成娟</t>
  </si>
  <si>
    <t>到期续签中</t>
    <phoneticPr fontId="258" type="noConversion"/>
  </si>
  <si>
    <t>9</t>
  </si>
  <si>
    <t>梵曦（北京）服饰有限责任公司</t>
  </si>
  <si>
    <t>北京盖娅传说服饰设计有限公司</t>
  </si>
  <si>
    <t>11</t>
  </si>
  <si>
    <t>到期续签中</t>
    <phoneticPr fontId="258" type="noConversion"/>
  </si>
  <si>
    <t>6</t>
  </si>
  <si>
    <t>龚思蒙</t>
  </si>
  <si>
    <t>12</t>
  </si>
  <si>
    <t>魔码（北京）科技有限公司</t>
  </si>
  <si>
    <t>63</t>
  </si>
  <si>
    <t>北京莫娜卡文化传媒有限公司</t>
  </si>
  <si>
    <t>弘喜（北京）教育咨询有限公司</t>
  </si>
  <si>
    <t>65</t>
  </si>
  <si>
    <t>潘珍玉、于志静</t>
  </si>
  <si>
    <t>39</t>
  </si>
  <si>
    <t>北京鼎极人合文化有限公司</t>
  </si>
  <si>
    <t>51</t>
  </si>
  <si>
    <t>李玮珉建筑设计咨询（上海）有限公司北京分公司</t>
  </si>
  <si>
    <t>北京成泉资本管理有限公司</t>
  </si>
  <si>
    <t>3</t>
  </si>
  <si>
    <t>58、60</t>
  </si>
  <si>
    <t>北京李子艺林服饰有限公司</t>
  </si>
  <si>
    <t>73</t>
  </si>
  <si>
    <t>靳朝晨</t>
  </si>
  <si>
    <t>32、35</t>
  </si>
  <si>
    <t>北京蓝城兄弟文化传媒有限公司</t>
  </si>
  <si>
    <t>23</t>
  </si>
  <si>
    <t>郭晓磊</t>
  </si>
  <si>
    <t>78.79.81</t>
  </si>
  <si>
    <t>北京青春你好文化传媒有限公司</t>
  </si>
  <si>
    <t>29</t>
  </si>
  <si>
    <t>芭蒂咔菲（北京）餐饮管理有限公司</t>
  </si>
  <si>
    <t>王峰</t>
  </si>
  <si>
    <t>5、7</t>
  </si>
  <si>
    <t>北京鲲鹏山水教育咨询有限公司</t>
  </si>
  <si>
    <t>17（1层）</t>
  </si>
  <si>
    <t>北京乐泉莱餐饮有限公司</t>
  </si>
  <si>
    <t>黄丹</t>
  </si>
  <si>
    <t>69</t>
  </si>
  <si>
    <t>吉所能好伙伴（北京）科技有限公司</t>
  </si>
  <si>
    <t>26</t>
  </si>
  <si>
    <t>北京四顺餐饮管理有限公司</t>
  </si>
  <si>
    <t>戴琨</t>
  </si>
  <si>
    <t>86、88、89、90、91、92、93、95</t>
    <phoneticPr fontId="258" type="noConversion"/>
  </si>
  <si>
    <t>国华颐和（北京）教育科技有限公司</t>
  </si>
  <si>
    <t>27</t>
  </si>
  <si>
    <t>北京饮见餐饮管理有限公司</t>
  </si>
  <si>
    <t>陈鸣宇</t>
  </si>
  <si>
    <t>70、72、75、76、77</t>
  </si>
  <si>
    <t>北京斯芬克留学咨询有限公司</t>
  </si>
  <si>
    <t>北京斯芬克教育咨询有限公司</t>
  </si>
  <si>
    <t>38、50、53、55</t>
  </si>
  <si>
    <t>20</t>
  </si>
  <si>
    <t>北京哼蟹三将餐饮有限公司</t>
  </si>
  <si>
    <t>赵成功</t>
  </si>
  <si>
    <t>22</t>
  </si>
  <si>
    <t>王兰奎</t>
  </si>
  <si>
    <t>25</t>
  </si>
  <si>
    <t>北京乐纯悠品食品科技有限公司</t>
  </si>
  <si>
    <t>21</t>
  </si>
  <si>
    <t>北京乐纯悠品食品科技有限公司（扩租）</t>
  </si>
  <si>
    <t>62</t>
  </si>
  <si>
    <t>雅诗柏建筑规划设计咨询（北京）有限公司、思迈建筑咨询（上海）有限公司北京分公司</t>
  </si>
  <si>
    <t>北京雅思迈建筑咨询有限公司、思迈建筑咨询（上海）有限公司北京分公司</t>
  </si>
  <si>
    <t>66</t>
  </si>
  <si>
    <t>雅诗柏建筑规划设计咨询（北京）有限公司</t>
  </si>
  <si>
    <t>北京雅思迈建筑咨询有限公司</t>
  </si>
  <si>
    <t>16、18-1</t>
  </si>
  <si>
    <t>町屋日向（北京）餐饮管理有限公司</t>
  </si>
  <si>
    <t>邢子唐</t>
  </si>
  <si>
    <t>18-2</t>
  </si>
  <si>
    <t>北京唐园餐饮管理有限公司-町屋日向（北京）餐饮管理有限公司</t>
  </si>
  <si>
    <t>北京唐园餐饮管理有限公司</t>
  </si>
  <si>
    <t>68</t>
  </si>
  <si>
    <t>晋佳伟</t>
  </si>
  <si>
    <t>79K</t>
  </si>
  <si>
    <t>北京昂肯迪诺咖啡有限公司</t>
  </si>
  <si>
    <t>33</t>
  </si>
  <si>
    <t>北京紫金鹏成文化传播有限公司</t>
  </si>
  <si>
    <t>31</t>
  </si>
  <si>
    <t>似非而是（北京）文化传播有限公司</t>
  </si>
  <si>
    <t>刘源</t>
  </si>
  <si>
    <t>20（2层）</t>
  </si>
  <si>
    <t>北京花语棠娱乐文化传媒有限公司</t>
  </si>
  <si>
    <t>李妮</t>
  </si>
  <si>
    <t>26（2层）</t>
  </si>
  <si>
    <t>57</t>
  </si>
  <si>
    <t>10</t>
  </si>
  <si>
    <t>于宁</t>
  </si>
  <si>
    <t>合计</t>
    <phoneticPr fontId="258" type="noConversion"/>
  </si>
  <si>
    <t>利息：取LPR加浮动点数</t>
  </si>
  <si>
    <t>成新度</t>
  </si>
  <si>
    <t>按租金收入计税</t>
  </si>
  <si>
    <t>钢混</t>
  </si>
  <si>
    <t>非生产用房</t>
  </si>
  <si>
    <t>收益法-已出租</t>
    <phoneticPr fontId="16" type="noConversion"/>
  </si>
  <si>
    <t>收益法-未出租</t>
    <phoneticPr fontId="16" type="noConversion"/>
  </si>
  <si>
    <t>总价</t>
  </si>
  <si>
    <t>成本比率</t>
  </si>
  <si>
    <t>成本法</t>
  </si>
  <si>
    <t>收益法（汇总）</t>
  </si>
  <si>
    <t>未包含在土地购买价格中</t>
  </si>
  <si>
    <t>全部缴纳</t>
  </si>
  <si>
    <t>已包含在土地取得成本中</t>
  </si>
  <si>
    <t>商业</t>
    <phoneticPr fontId="7" type="noConversion"/>
  </si>
  <si>
    <t>收益法</t>
  </si>
  <si>
    <t>序号</t>
    <phoneticPr fontId="140" type="noConversion"/>
  </si>
  <si>
    <t>编号</t>
    <phoneticPr fontId="258" type="noConversion"/>
  </si>
  <si>
    <t>年租金</t>
    <phoneticPr fontId="258" type="noConversion"/>
  </si>
  <si>
    <t>备注</t>
    <phoneticPr fontId="258" type="noConversion"/>
  </si>
  <si>
    <t>套内面积租金单价</t>
  </si>
  <si>
    <t>到期续签中</t>
    <phoneticPr fontId="258" type="noConversion"/>
  </si>
  <si>
    <t>86、88、89、90、91、92、93、95</t>
    <phoneticPr fontId="258" type="noConversion"/>
  </si>
  <si>
    <t>合计</t>
    <phoneticPr fontId="258" type="noConversion"/>
  </si>
  <si>
    <t>合同编号</t>
    <phoneticPr fontId="258" type="noConversion"/>
  </si>
  <si>
    <t>艺术家村</t>
  </si>
  <si>
    <t>6号楼地下一层B3-5</t>
  </si>
  <si>
    <t>D2019-05-05-211</t>
    <phoneticPr fontId="258" type="noConversion"/>
  </si>
  <si>
    <t>6号楼地下一层A2-3</t>
  </si>
  <si>
    <t>方禾（北京）文化传媒有限公司</t>
  </si>
  <si>
    <t>郝国柱</t>
  </si>
  <si>
    <t>D2019-05-23-214</t>
    <phoneticPr fontId="258" type="noConversion"/>
  </si>
  <si>
    <t>6号楼地下一层A2-4</t>
  </si>
  <si>
    <t>D2019-05-23-215</t>
    <phoneticPr fontId="258" type="noConversion"/>
  </si>
  <si>
    <t>6号楼地下一层B2-6</t>
  </si>
  <si>
    <t>北京米苏视觉婚纱摄影工作室</t>
  </si>
  <si>
    <t>D2019-05-28-216</t>
    <phoneticPr fontId="258" type="noConversion"/>
  </si>
  <si>
    <t>6号楼地下一层A3-6</t>
  </si>
  <si>
    <t>北京木兰艺源文化艺术咨询服务有限公司</t>
  </si>
  <si>
    <t>李晓虎</t>
  </si>
  <si>
    <t>D2019-12-25-047X3</t>
    <phoneticPr fontId="258" type="noConversion"/>
  </si>
  <si>
    <t>6号楼地下一层B3-11</t>
  </si>
  <si>
    <t>D2020-03-26-236</t>
    <phoneticPr fontId="258" type="noConversion"/>
  </si>
  <si>
    <t>6号楼地下一层A3-4\A3-7</t>
  </si>
  <si>
    <t>北京旻朗文化传媒有限公司（无佣金）</t>
  </si>
  <si>
    <t>北京绿色世界文化有限公司</t>
  </si>
  <si>
    <t>D2020-06-08-238</t>
    <phoneticPr fontId="258" type="noConversion"/>
  </si>
  <si>
    <t>6号楼地下一层B3-2</t>
  </si>
  <si>
    <t>路明宇</t>
  </si>
  <si>
    <t>D2020-08-25-243</t>
    <phoneticPr fontId="258" type="noConversion"/>
  </si>
  <si>
    <t>6号楼地下一层A2-9</t>
  </si>
  <si>
    <t>D2020-11-15-249</t>
    <phoneticPr fontId="258" type="noConversion"/>
  </si>
  <si>
    <t>6号楼地下一层B1-25、B2-22</t>
  </si>
  <si>
    <t>北京凌耀体育管理有限公司</t>
  </si>
  <si>
    <t>马志明</t>
  </si>
  <si>
    <t>D2020-12-10-251</t>
    <phoneticPr fontId="258" type="noConversion"/>
  </si>
  <si>
    <t>6号楼地下一层B2-13、20</t>
  </si>
  <si>
    <t>石啸</t>
  </si>
  <si>
    <t>D2021-03-20-260</t>
    <phoneticPr fontId="258" type="noConversion"/>
  </si>
  <si>
    <t>6号楼地下一层B2-18</t>
  </si>
  <si>
    <t>方禾（北京）文化传媒有限公司（扩租）</t>
  </si>
  <si>
    <t>D2021-03-20-264</t>
    <phoneticPr fontId="258" type="noConversion"/>
  </si>
  <si>
    <t>6号楼地下一层B1-21</t>
  </si>
  <si>
    <t>陈丙清</t>
  </si>
  <si>
    <t>D2021-04-16-270</t>
    <phoneticPr fontId="258" type="noConversion"/>
  </si>
  <si>
    <t>6号楼地下一层B2-21</t>
  </si>
  <si>
    <t>李想</t>
  </si>
  <si>
    <t>D2021-04-15-272</t>
    <phoneticPr fontId="258" type="noConversion"/>
  </si>
  <si>
    <t>6号楼地下一层A3-3</t>
  </si>
  <si>
    <t>飓风卓越体育发展(北京）有限公司</t>
  </si>
  <si>
    <t>D2021-05-06-209</t>
    <phoneticPr fontId="258" type="noConversion"/>
  </si>
  <si>
    <t>6号楼地下一层A3-9\A3-12</t>
  </si>
  <si>
    <t>D2021-01-01-176</t>
    <phoneticPr fontId="258" type="noConversion"/>
  </si>
  <si>
    <t>6号楼地下一层A3-10\A3-11</t>
  </si>
  <si>
    <t>D2021-01-01-177</t>
    <phoneticPr fontId="258" type="noConversion"/>
  </si>
  <si>
    <t>6号楼地下一层B3-7</t>
  </si>
  <si>
    <t>北京华星远大文化传媒有限公司（扩租）</t>
  </si>
  <si>
    <t>北京华星远大文化传媒有限公司</t>
  </si>
  <si>
    <t>D2021-05-08-288</t>
    <phoneticPr fontId="258" type="noConversion"/>
  </si>
  <si>
    <t>6号楼地下一层B1-20</t>
  </si>
  <si>
    <t>卢尚弘</t>
  </si>
  <si>
    <t>D2021-05-21-290</t>
    <phoneticPr fontId="258" type="noConversion"/>
  </si>
  <si>
    <t>6号楼地下一层B2-9、10、11</t>
  </si>
  <si>
    <t>北京墨魂文化传播有限公司</t>
  </si>
  <si>
    <t>D2021-06-01-291</t>
    <phoneticPr fontId="258" type="noConversion"/>
  </si>
  <si>
    <t>6号楼地下一层A2-7</t>
  </si>
  <si>
    <t>陈德勇</t>
  </si>
  <si>
    <t>D2021-04-19-194X</t>
    <phoneticPr fontId="258" type="noConversion"/>
  </si>
  <si>
    <t>6号楼地下一层A2-6</t>
  </si>
  <si>
    <t>杨凯</t>
  </si>
  <si>
    <t>D2021-05-01-212X</t>
    <phoneticPr fontId="258" type="noConversion"/>
  </si>
  <si>
    <t>6号楼地下一层A2-5</t>
  </si>
  <si>
    <t>周永刚</t>
  </si>
  <si>
    <t>D2021-05-01-213X</t>
    <phoneticPr fontId="258" type="noConversion"/>
  </si>
  <si>
    <t>6号楼地下一层B3-9\10</t>
  </si>
  <si>
    <t>刘怀勋</t>
  </si>
  <si>
    <t>D2021-07-12-296</t>
    <phoneticPr fontId="258" type="noConversion"/>
  </si>
  <si>
    <t>6号楼地下一层B2-12\19</t>
  </si>
  <si>
    <t>北京魔指教育咨询有限公司（扩租）</t>
  </si>
  <si>
    <t>D2021-07-01-297</t>
    <phoneticPr fontId="258" type="noConversion"/>
  </si>
  <si>
    <t>6号楼地下一层B2-8</t>
  </si>
  <si>
    <t>钱珊</t>
  </si>
  <si>
    <t>D2021-08-01-298</t>
    <phoneticPr fontId="258" type="noConversion"/>
  </si>
  <si>
    <t>6号楼地下一层B1-18</t>
  </si>
  <si>
    <t>D2021-08-01-300</t>
    <phoneticPr fontId="258" type="noConversion"/>
  </si>
  <si>
    <t>6号楼地下一层B2-1</t>
  </si>
  <si>
    <t>北京卉倾城商贸有限公司</t>
  </si>
  <si>
    <t>D2021-09-15-301</t>
    <phoneticPr fontId="258" type="noConversion"/>
  </si>
  <si>
    <t>6号楼地下一层A2-1</t>
  </si>
  <si>
    <t>刘敏</t>
  </si>
  <si>
    <t>D2021-08-01-169X1</t>
    <phoneticPr fontId="258" type="noConversion"/>
  </si>
  <si>
    <t>6号楼地下一层B3-15</t>
  </si>
  <si>
    <t>唐园（北京)餐饮管理有限公司</t>
  </si>
  <si>
    <t>D2021-12-15-302</t>
    <phoneticPr fontId="258" type="noConversion"/>
  </si>
  <si>
    <t>6号楼地下一层B2-4</t>
  </si>
  <si>
    <t>北京沉银文化有限公司</t>
  </si>
  <si>
    <t>D2021-12-12-188X3</t>
    <phoneticPr fontId="258" type="noConversion"/>
  </si>
  <si>
    <t>6号楼地下一层B2-7</t>
  </si>
  <si>
    <t>北京银河国际拍卖有限公司</t>
  </si>
  <si>
    <t>D2022-02-10-098X4</t>
    <phoneticPr fontId="258" type="noConversion"/>
  </si>
  <si>
    <t>6号楼地下一层B3-3、4</t>
  </si>
  <si>
    <t>北京艾多文化传媒有限公司</t>
  </si>
  <si>
    <t>D2022-02-15-304</t>
    <phoneticPr fontId="258" type="noConversion"/>
  </si>
  <si>
    <t>6号楼地下一层B2-15</t>
  </si>
  <si>
    <t>D2022-04-01-307</t>
    <phoneticPr fontId="258" type="noConversion"/>
  </si>
  <si>
    <t>6号楼地下一层B3-8</t>
  </si>
  <si>
    <t>黄鑫</t>
  </si>
  <si>
    <t>D2022-05-06-308</t>
    <phoneticPr fontId="258" type="noConversion"/>
  </si>
  <si>
    <t>6号楼地下一层B2-17</t>
  </si>
  <si>
    <t>北京大勤快文化传播限公司</t>
  </si>
  <si>
    <t>北京大勤快文化传播有限公司</t>
  </si>
  <si>
    <t>D2022-04-25-309</t>
    <phoneticPr fontId="258" type="noConversion"/>
  </si>
  <si>
    <t>D2022-03-26-236X1</t>
    <phoneticPr fontId="258" type="noConversion"/>
  </si>
  <si>
    <t>6号楼地下一层A2-03</t>
  </si>
  <si>
    <t>D2022-05-23-214X1</t>
    <phoneticPr fontId="258" type="noConversion"/>
  </si>
  <si>
    <t>6号楼地下一层A2-04</t>
  </si>
  <si>
    <t>D2022-05-23-215X1</t>
    <phoneticPr fontId="258" type="noConversion"/>
  </si>
  <si>
    <t>6号楼地下一层B3-18A</t>
  </si>
  <si>
    <t>宋小静</t>
  </si>
  <si>
    <t>D2022-06-25-311</t>
    <phoneticPr fontId="258" type="noConversion"/>
  </si>
  <si>
    <t>D2022-05-05-211X1</t>
    <phoneticPr fontId="258" type="noConversion"/>
  </si>
  <si>
    <t>合计</t>
    <phoneticPr fontId="258" type="noConversion"/>
  </si>
  <si>
    <t>租金单价</t>
    <phoneticPr fontId="140" type="noConversion"/>
  </si>
  <si>
    <t>物业费</t>
    <phoneticPr fontId="140" type="noConversion"/>
  </si>
  <si>
    <t>净租金</t>
    <phoneticPr fontId="140" type="noConversion"/>
  </si>
  <si>
    <t>1层</t>
    <phoneticPr fontId="140" type="noConversion"/>
  </si>
  <si>
    <t>2层</t>
    <phoneticPr fontId="140" type="noConversion"/>
  </si>
  <si>
    <t>地下</t>
    <phoneticPr fontId="258" type="noConversion"/>
  </si>
  <si>
    <t>1-2层</t>
    <phoneticPr fontId="140" type="noConversion"/>
  </si>
  <si>
    <t>押二</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</si>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</sst>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22"/>
      <name val="宋体"/>
      <family val="3"/>
      <charset val="134"/>
    </font>
    <font>
      <sz val="10"/>
      <name val="Times New Roman"/>
      <family val="1"/>
    </font>
    <font>
      <sz val="9"/>
      <name val="宋体"/>
      <family val="2"/>
      <charset val="134"/>
      <scheme val="minor"/>
    </font>
    <font>
      <b/>
      <sz val="9"/>
      <name val="宋体"/>
      <family val="3"/>
      <charset val="134"/>
    </font>
    <font>
      <b/>
      <sz val="9"/>
      <name val="Tahoma"/>
      <family val="2"/>
      <charset val="134"/>
    </font>
    <font>
      <sz val="9"/>
      <name val="Tahoma"/>
      <family val="2"/>
      <charset val="134"/>
    </font>
    <font>
      <sz val="10"/>
      <name val="宋体"/>
      <family val="3"/>
      <charset val="134"/>
      <scheme val="minor"/>
    </font>
    <font>
      <sz val="11"/>
      <color rgb="FFFF0000"/>
      <name val="宋体"/>
      <family val="3"/>
      <charset val="134"/>
      <scheme val="minor"/>
    </font>
    <font>
      <b/>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9"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7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98" fillId="0" borderId="0" xfId="0" applyFont="1">
      <alignment vertical="center"/>
    </xf>
    <xf numFmtId="49" fontId="19" fillId="0" borderId="0" xfId="0" applyNumberFormat="1" applyFont="1" applyFill="1" applyAlignment="1" applyProtection="1">
      <alignment horizontal="left" vertical="center"/>
    </xf>
    <xf numFmtId="49" fontId="0" fillId="0" borderId="9" xfId="0" applyNumberFormat="1" applyFont="1" applyFill="1" applyBorder="1" applyAlignment="1" applyProtection="1">
      <alignment horizontal="center" vertical="center" wrapText="1"/>
    </xf>
    <xf numFmtId="49" fontId="0" fillId="0" borderId="1" xfId="0" applyNumberFormat="1" applyFont="1" applyFill="1" applyBorder="1" applyAlignment="1" applyProtection="1">
      <alignment horizontal="center" vertical="center" wrapText="1"/>
    </xf>
    <xf numFmtId="49" fontId="0" fillId="0" borderId="1" xfId="0" applyNumberFormat="1" applyFill="1" applyBorder="1" applyAlignment="1" applyProtection="1">
      <alignment horizontal="center" vertical="center" wrapText="1"/>
    </xf>
    <xf numFmtId="49" fontId="19" fillId="0" borderId="13" xfId="0" applyNumberFormat="1" applyFont="1" applyFill="1" applyBorder="1" applyAlignment="1" applyProtection="1">
      <alignment horizontal="center" vertical="center" wrapText="1"/>
    </xf>
    <xf numFmtId="49" fontId="257" fillId="0" borderId="13" xfId="0" applyNumberFormat="1" applyFont="1" applyFill="1" applyBorder="1" applyAlignment="1" applyProtection="1">
      <alignment horizontal="center" vertical="center" wrapText="1"/>
    </xf>
    <xf numFmtId="49" fontId="257" fillId="0" borderId="61" xfId="0" applyNumberFormat="1" applyFont="1" applyFill="1" applyBorder="1" applyAlignment="1" applyProtection="1">
      <alignment horizontal="center" vertical="center" wrapText="1"/>
    </xf>
    <xf numFmtId="49" fontId="19" fillId="0" borderId="46" xfId="0" applyNumberFormat="1" applyFont="1" applyFill="1" applyBorder="1" applyAlignment="1" applyProtection="1">
      <alignment horizontal="center" vertical="center" wrapText="1"/>
    </xf>
    <xf numFmtId="49" fontId="257" fillId="0" borderId="46" xfId="0" applyNumberFormat="1" applyFont="1" applyFill="1" applyBorder="1" applyAlignment="1" applyProtection="1">
      <alignment horizontal="center" vertical="center" wrapText="1"/>
    </xf>
    <xf numFmtId="49" fontId="257" fillId="0" borderId="24"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257" fillId="0" borderId="5" xfId="0" applyNumberFormat="1" applyFont="1" applyFill="1" applyBorder="1" applyAlignment="1" applyProtection="1">
      <alignment horizontal="center" vertical="center" wrapText="1"/>
    </xf>
    <xf numFmtId="49" fontId="0" fillId="0" borderId="25" xfId="0" applyNumberFormat="1" applyFont="1" applyFill="1" applyBorder="1" applyAlignment="1" applyProtection="1">
      <alignment horizontal="center" vertical="center" wrapText="1"/>
    </xf>
    <xf numFmtId="49" fontId="0" fillId="0" borderId="32" xfId="0" applyNumberFormat="1" applyFont="1" applyFill="1" applyBorder="1" applyAlignment="1" applyProtection="1">
      <alignment horizontal="center" vertical="center" wrapText="1"/>
    </xf>
    <xf numFmtId="49" fontId="19" fillId="0" borderId="32" xfId="0" applyNumberFormat="1" applyFont="1" applyFill="1" applyBorder="1" applyAlignment="1" applyProtection="1">
      <alignment horizontal="center" vertical="center" wrapText="1"/>
    </xf>
    <xf numFmtId="2" fontId="19" fillId="0" borderId="49" xfId="0" applyNumberFormat="1" applyFont="1" applyFill="1" applyBorder="1" applyAlignment="1" applyProtection="1">
      <alignment horizontal="left" vertical="center" wrapText="1"/>
    </xf>
    <xf numFmtId="49" fontId="19" fillId="0" borderId="0" xfId="0" applyNumberFormat="1" applyFont="1" applyFill="1" applyAlignment="1" applyProtection="1">
      <alignment vertical="center" wrapText="1"/>
    </xf>
    <xf numFmtId="49" fontId="19" fillId="0" borderId="0" xfId="0" applyNumberFormat="1" applyFont="1" applyFill="1" applyAlignment="1" applyProtection="1">
      <alignment horizontal="center" vertical="center" wrapText="1"/>
    </xf>
    <xf numFmtId="0" fontId="37" fillId="0" borderId="0" xfId="0" applyFont="1" applyAlignment="1"/>
    <xf numFmtId="0" fontId="98" fillId="5" borderId="0" xfId="0" applyFont="1" applyFill="1">
      <alignment vertical="center"/>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19" fillId="0" borderId="1" xfId="0" applyFont="1" applyFill="1" applyBorder="1" applyAlignment="1">
      <alignment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shrinkToFit="1"/>
    </xf>
    <xf numFmtId="14" fontId="19" fillId="0" borderId="1" xfId="0" applyNumberFormat="1" applyFont="1" applyFill="1" applyBorder="1" applyAlignment="1">
      <alignment horizontal="center" vertical="center" wrapText="1"/>
    </xf>
    <xf numFmtId="197" fontId="19" fillId="0" borderId="1" xfId="0" applyNumberFormat="1" applyFont="1" applyFill="1" applyBorder="1" applyAlignment="1">
      <alignment horizontal="center" vertical="center" wrapText="1"/>
    </xf>
    <xf numFmtId="192" fontId="19" fillId="0" borderId="1" xfId="0" applyNumberFormat="1" applyFont="1" applyFill="1" applyBorder="1" applyAlignment="1">
      <alignment horizontal="center" vertical="center" wrapText="1"/>
    </xf>
    <xf numFmtId="43" fontId="19" fillId="0" borderId="1" xfId="17" applyFont="1" applyBorder="1" applyAlignment="1">
      <alignment horizontal="center" vertical="center" shrinkToFit="1"/>
    </xf>
    <xf numFmtId="0" fontId="19" fillId="0" borderId="0" xfId="0" applyFont="1" applyFill="1" applyBorder="1" applyAlignment="1">
      <alignment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left" vertical="center"/>
    </xf>
    <xf numFmtId="14" fontId="19" fillId="0" borderId="1" xfId="0" applyNumberFormat="1" applyFont="1" applyFill="1" applyBorder="1" applyAlignment="1">
      <alignment vertical="center"/>
    </xf>
    <xf numFmtId="198" fontId="19" fillId="0" borderId="1" xfId="0" applyNumberFormat="1" applyFont="1" applyFill="1" applyBorder="1" applyAlignment="1">
      <alignment horizontal="right" vertical="center"/>
    </xf>
    <xf numFmtId="197" fontId="19" fillId="0" borderId="1" xfId="0" applyNumberFormat="1" applyFont="1" applyFill="1" applyBorder="1" applyAlignment="1">
      <alignment vertical="center"/>
    </xf>
    <xf numFmtId="176" fontId="19" fillId="0" borderId="1" xfId="0" applyNumberFormat="1" applyFont="1" applyFill="1" applyBorder="1" applyAlignment="1">
      <alignment horizontal="center" vertical="center"/>
    </xf>
    <xf numFmtId="43" fontId="19" fillId="0" borderId="1" xfId="17" applyFont="1" applyFill="1" applyBorder="1" applyAlignment="1">
      <alignment vertical="center" shrinkToFit="1"/>
    </xf>
    <xf numFmtId="0" fontId="19" fillId="0" borderId="1" xfId="0" applyFont="1" applyFill="1" applyBorder="1" applyAlignment="1">
      <alignment vertical="center"/>
    </xf>
    <xf numFmtId="198" fontId="19" fillId="0" borderId="1" xfId="0" applyNumberFormat="1" applyFont="1" applyFill="1" applyBorder="1" applyAlignment="1">
      <alignment vertical="center"/>
    </xf>
    <xf numFmtId="14" fontId="19" fillId="5" borderId="1" xfId="0" applyNumberFormat="1" applyFont="1" applyFill="1" applyBorder="1" applyAlignment="1">
      <alignment vertical="center"/>
    </xf>
    <xf numFmtId="0" fontId="19" fillId="0" borderId="1" xfId="0" applyFont="1" applyFill="1" applyBorder="1" applyAlignment="1">
      <alignment horizontal="left" vertical="center" shrinkToFit="1"/>
    </xf>
    <xf numFmtId="14" fontId="19" fillId="7" borderId="1" xfId="0" applyNumberFormat="1" applyFont="1" applyFill="1" applyBorder="1" applyAlignment="1">
      <alignment vertical="center"/>
    </xf>
    <xf numFmtId="177" fontId="79" fillId="0" borderId="1" xfId="1" applyNumberFormat="1" applyFont="1" applyFill="1" applyBorder="1" applyAlignment="1" applyProtection="1">
      <alignment vertical="center"/>
      <protection locked="0" hidden="1"/>
    </xf>
    <xf numFmtId="49" fontId="19" fillId="0" borderId="22" xfId="0" applyNumberFormat="1" applyFont="1" applyFill="1" applyBorder="1" applyAlignment="1" applyProtection="1">
      <alignment horizontal="center" vertical="center" wrapText="1"/>
    </xf>
    <xf numFmtId="49" fontId="19" fillId="0" borderId="36" xfId="0" applyNumberFormat="1" applyFont="1" applyFill="1" applyBorder="1" applyAlignment="1" applyProtection="1">
      <alignment horizontal="center" vertical="center" wrapText="1"/>
    </xf>
    <xf numFmtId="49" fontId="19" fillId="0" borderId="54" xfId="0" applyNumberFormat="1" applyFont="1" applyFill="1" applyBorder="1" applyAlignment="1" applyProtection="1">
      <alignment horizontal="center" vertical="center" wrapText="1"/>
    </xf>
    <xf numFmtId="0" fontId="0" fillId="0" borderId="1" xfId="0" applyBorder="1" applyAlignment="1"/>
    <xf numFmtId="0" fontId="262" fillId="0" borderId="1" xfId="0" applyFont="1" applyBorder="1">
      <alignment vertical="center"/>
    </xf>
    <xf numFmtId="0" fontId="262" fillId="0" borderId="0" xfId="0" applyFont="1">
      <alignment vertical="center"/>
    </xf>
    <xf numFmtId="0" fontId="262" fillId="0" borderId="1" xfId="0" applyFont="1" applyBorder="1" applyAlignment="1">
      <alignment vertical="center" wrapText="1"/>
    </xf>
    <xf numFmtId="198" fontId="262" fillId="0" borderId="1" xfId="0" applyNumberFormat="1" applyFont="1" applyBorder="1">
      <alignment vertical="center"/>
    </xf>
    <xf numFmtId="43" fontId="262" fillId="0" borderId="1" xfId="17" applyFont="1" applyBorder="1">
      <alignment vertical="center"/>
    </xf>
    <xf numFmtId="0" fontId="262" fillId="0" borderId="0" xfId="0" applyFont="1" applyAlignment="1">
      <alignment vertical="center" wrapText="1"/>
    </xf>
    <xf numFmtId="43" fontId="262" fillId="0" borderId="0" xfId="17" applyFont="1">
      <alignment vertical="center"/>
    </xf>
    <xf numFmtId="179" fontId="19" fillId="0" borderId="160" xfId="0" applyNumberFormat="1" applyFont="1" applyFill="1" applyBorder="1" applyAlignment="1">
      <alignment horizontal="right" vertical="center" wrapText="1"/>
    </xf>
    <xf numFmtId="179" fontId="19" fillId="0" borderId="161" xfId="0" applyNumberFormat="1" applyFont="1" applyFill="1" applyBorder="1" applyAlignment="1">
      <alignment horizontal="right" vertical="center"/>
    </xf>
    <xf numFmtId="179" fontId="19" fillId="0" borderId="162" xfId="0" applyNumberFormat="1" applyFont="1" applyFill="1" applyBorder="1" applyAlignment="1">
      <alignment horizontal="right" vertical="center"/>
    </xf>
    <xf numFmtId="0" fontId="99" fillId="0" borderId="1" xfId="0" applyFont="1" applyBorder="1">
      <alignment vertical="center"/>
    </xf>
    <xf numFmtId="0" fontId="99" fillId="0" borderId="1" xfId="0" applyFont="1" applyBorder="1" applyAlignment="1">
      <alignment vertical="center" wrapText="1"/>
    </xf>
    <xf numFmtId="198" fontId="99" fillId="0" borderId="1" xfId="0" applyNumberFormat="1" applyFont="1" applyBorder="1">
      <alignment vertical="center"/>
    </xf>
    <xf numFmtId="43" fontId="99" fillId="0" borderId="1" xfId="17" applyFont="1" applyBorder="1">
      <alignment vertical="center"/>
    </xf>
    <xf numFmtId="0" fontId="99" fillId="0" borderId="0" xfId="0" applyFont="1">
      <alignment vertical="center"/>
    </xf>
    <xf numFmtId="43" fontId="0" fillId="0" borderId="0" xfId="17" applyFont="1">
      <alignment vertical="center"/>
    </xf>
    <xf numFmtId="0" fontId="0" fillId="5" borderId="0" xfId="0" applyFill="1">
      <alignment vertical="center"/>
    </xf>
    <xf numFmtId="0" fontId="19" fillId="5" borderId="1" xfId="0" applyFont="1" applyFill="1" applyBorder="1" applyAlignment="1">
      <alignment horizontal="center" vertical="center"/>
    </xf>
    <xf numFmtId="49" fontId="19" fillId="5" borderId="1" xfId="0" applyNumberFormat="1" applyFont="1" applyFill="1" applyBorder="1" applyAlignment="1">
      <alignment horizontal="center" vertical="center" shrinkToFit="1"/>
    </xf>
    <xf numFmtId="0" fontId="19" fillId="5" borderId="1" xfId="0" applyFont="1" applyFill="1" applyBorder="1" applyAlignment="1">
      <alignment horizontal="left" vertical="center"/>
    </xf>
    <xf numFmtId="179" fontId="19" fillId="0" borderId="1" xfId="0" applyNumberFormat="1" applyFont="1" applyFill="1" applyBorder="1" applyAlignment="1">
      <alignment horizontal="right" vertical="center"/>
    </xf>
    <xf numFmtId="0" fontId="19" fillId="5" borderId="0" xfId="0" applyFont="1" applyFill="1" applyBorder="1" applyAlignment="1">
      <alignment vertical="center"/>
    </xf>
    <xf numFmtId="0" fontId="19" fillId="0" borderId="0" xfId="0" applyFont="1" applyFill="1" applyBorder="1" applyAlignment="1">
      <alignment vertical="center"/>
    </xf>
    <xf numFmtId="57" fontId="19" fillId="0" borderId="1" xfId="0" applyNumberFormat="1" applyFont="1" applyFill="1" applyBorder="1" applyAlignment="1">
      <alignment vertical="center"/>
    </xf>
    <xf numFmtId="0" fontId="3" fillId="0" borderId="0" xfId="0" applyFont="1" applyFill="1" applyBorder="1" applyAlignment="1">
      <alignment vertical="center"/>
    </xf>
    <xf numFmtId="0" fontId="19" fillId="9" borderId="0" xfId="0" applyFont="1" applyFill="1" applyBorder="1" applyAlignment="1">
      <alignment vertical="center"/>
    </xf>
    <xf numFmtId="0" fontId="19" fillId="5"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43" fontId="0" fillId="0" borderId="0" xfId="0" applyNumberFormat="1">
      <alignment vertical="center"/>
    </xf>
    <xf numFmtId="43" fontId="99" fillId="0" borderId="0" xfId="0" applyNumberFormat="1" applyFont="1">
      <alignment vertical="center"/>
    </xf>
    <xf numFmtId="0" fontId="263" fillId="0" borderId="1" xfId="0" applyFont="1" applyBorder="1">
      <alignment vertical="center"/>
    </xf>
    <xf numFmtId="0" fontId="135" fillId="0" borderId="1" xfId="0" applyFont="1" applyFill="1" applyBorder="1" applyAlignment="1">
      <alignment horizontal="center" vertical="center"/>
    </xf>
    <xf numFmtId="49" fontId="135" fillId="0" borderId="1" xfId="0" applyNumberFormat="1" applyFont="1" applyFill="1" applyBorder="1" applyAlignment="1">
      <alignment horizontal="center" vertical="center" shrinkToFit="1"/>
    </xf>
    <xf numFmtId="0" fontId="135" fillId="0" borderId="1" xfId="0" applyFont="1" applyFill="1" applyBorder="1" applyAlignment="1">
      <alignment vertical="center"/>
    </xf>
    <xf numFmtId="14" fontId="135" fillId="0" borderId="1" xfId="0" applyNumberFormat="1" applyFont="1" applyFill="1" applyBorder="1" applyAlignment="1">
      <alignment vertical="center"/>
    </xf>
    <xf numFmtId="198" fontId="135" fillId="0" borderId="1" xfId="0" applyNumberFormat="1" applyFont="1" applyFill="1" applyBorder="1" applyAlignment="1">
      <alignment vertical="center"/>
    </xf>
    <xf numFmtId="43" fontId="135" fillId="0" borderId="1" xfId="17" applyFont="1" applyFill="1" applyBorder="1" applyAlignment="1">
      <alignment vertical="center" shrinkToFit="1"/>
    </xf>
    <xf numFmtId="198" fontId="135" fillId="0" borderId="161" xfId="0" applyNumberFormat="1" applyFont="1" applyFill="1" applyBorder="1" applyAlignment="1">
      <alignment vertical="center"/>
    </xf>
    <xf numFmtId="0" fontId="263" fillId="0" borderId="0" xfId="0" applyFont="1">
      <alignment vertical="center"/>
    </xf>
    <xf numFmtId="43" fontId="263" fillId="0" borderId="0" xfId="0" applyNumberFormat="1" applyFont="1">
      <alignment vertical="center"/>
    </xf>
    <xf numFmtId="0" fontId="135" fillId="0" borderId="1" xfId="0" applyFont="1" applyFill="1" applyBorder="1" applyAlignment="1">
      <alignment horizontal="left" vertical="center"/>
    </xf>
    <xf numFmtId="198" fontId="135" fillId="0" borderId="1" xfId="0" applyNumberFormat="1" applyFont="1" applyFill="1" applyBorder="1" applyAlignment="1">
      <alignment horizontal="right" vertical="center"/>
    </xf>
    <xf numFmtId="197" fontId="135" fillId="0" borderId="1" xfId="0" applyNumberFormat="1" applyFont="1" applyFill="1" applyBorder="1" applyAlignment="1">
      <alignment vertical="center"/>
    </xf>
    <xf numFmtId="176" fontId="135" fillId="0" borderId="1" xfId="0" applyNumberFormat="1" applyFont="1" applyFill="1" applyBorder="1" applyAlignment="1">
      <alignment horizontal="center" vertical="center"/>
    </xf>
    <xf numFmtId="179" fontId="135" fillId="0" borderId="161" xfId="0" applyNumberFormat="1" applyFont="1" applyFill="1" applyBorder="1" applyAlignment="1">
      <alignment horizontal="right" vertical="center"/>
    </xf>
    <xf numFmtId="0" fontId="0" fillId="20" borderId="1" xfId="0" applyFill="1" applyBorder="1">
      <alignment vertical="center"/>
    </xf>
    <xf numFmtId="0" fontId="19" fillId="20" borderId="1" xfId="0" applyFont="1" applyFill="1" applyBorder="1" applyAlignment="1">
      <alignment horizontal="center" vertical="center"/>
    </xf>
    <xf numFmtId="49" fontId="19" fillId="20" borderId="1" xfId="0" applyNumberFormat="1" applyFont="1" applyFill="1" applyBorder="1" applyAlignment="1">
      <alignment horizontal="center" vertical="center" shrinkToFit="1"/>
    </xf>
    <xf numFmtId="0" fontId="19" fillId="20" borderId="1" xfId="0" applyFont="1" applyFill="1" applyBorder="1" applyAlignment="1">
      <alignment vertical="center"/>
    </xf>
    <xf numFmtId="14" fontId="19" fillId="20" borderId="1" xfId="0" applyNumberFormat="1" applyFont="1" applyFill="1" applyBorder="1" applyAlignment="1">
      <alignment vertical="center"/>
    </xf>
    <xf numFmtId="198" fontId="19" fillId="20" borderId="1" xfId="0" applyNumberFormat="1" applyFont="1" applyFill="1" applyBorder="1" applyAlignment="1">
      <alignment vertical="center"/>
    </xf>
    <xf numFmtId="197" fontId="19" fillId="20" borderId="1" xfId="0" applyNumberFormat="1" applyFont="1" applyFill="1" applyBorder="1" applyAlignment="1">
      <alignment vertical="center"/>
    </xf>
    <xf numFmtId="176" fontId="19" fillId="20" borderId="1" xfId="0" applyNumberFormat="1" applyFont="1" applyFill="1" applyBorder="1" applyAlignment="1">
      <alignment horizontal="center" vertical="center"/>
    </xf>
    <xf numFmtId="43" fontId="19" fillId="20" borderId="1" xfId="17" applyFont="1" applyFill="1" applyBorder="1" applyAlignment="1">
      <alignment vertical="center" shrinkToFit="1"/>
    </xf>
    <xf numFmtId="179" fontId="19" fillId="20" borderId="161" xfId="0" applyNumberFormat="1" applyFont="1" applyFill="1" applyBorder="1" applyAlignment="1">
      <alignment horizontal="right" vertical="center"/>
    </xf>
    <xf numFmtId="0" fontId="0" fillId="20" borderId="0" xfId="0" applyFill="1">
      <alignment vertical="center"/>
    </xf>
    <xf numFmtId="43" fontId="0" fillId="20" borderId="0" xfId="0" applyNumberFormat="1" applyFill="1">
      <alignment vertical="center"/>
    </xf>
    <xf numFmtId="0" fontId="19" fillId="20" borderId="1" xfId="0" applyFont="1" applyFill="1" applyBorder="1" applyAlignment="1">
      <alignment horizontal="left" vertical="center"/>
    </xf>
    <xf numFmtId="198" fontId="19" fillId="20" borderId="1" xfId="0" applyNumberFormat="1" applyFont="1" applyFill="1" applyBorder="1" applyAlignment="1">
      <alignment horizontal="right" vertical="center"/>
    </xf>
    <xf numFmtId="0" fontId="0" fillId="21" borderId="1" xfId="0" applyFill="1" applyBorder="1">
      <alignment vertical="center"/>
    </xf>
    <xf numFmtId="0" fontId="19" fillId="21" borderId="1" xfId="0" applyFont="1" applyFill="1" applyBorder="1" applyAlignment="1">
      <alignment horizontal="center" vertical="center"/>
    </xf>
    <xf numFmtId="49" fontId="19" fillId="21" borderId="1" xfId="0" applyNumberFormat="1" applyFont="1" applyFill="1" applyBorder="1" applyAlignment="1">
      <alignment horizontal="center" vertical="center" shrinkToFit="1"/>
    </xf>
    <xf numFmtId="0" fontId="19" fillId="21" borderId="1" xfId="0" applyFont="1" applyFill="1" applyBorder="1" applyAlignment="1">
      <alignment horizontal="left" vertical="center"/>
    </xf>
    <xf numFmtId="14" fontId="19" fillId="21" borderId="1" xfId="0" applyNumberFormat="1" applyFont="1" applyFill="1" applyBorder="1" applyAlignment="1">
      <alignment vertical="center"/>
    </xf>
    <xf numFmtId="197" fontId="19" fillId="21" borderId="1" xfId="0" applyNumberFormat="1" applyFont="1" applyFill="1" applyBorder="1" applyAlignment="1">
      <alignment vertical="center"/>
    </xf>
    <xf numFmtId="176" fontId="19" fillId="21" borderId="1" xfId="0" applyNumberFormat="1" applyFont="1" applyFill="1" applyBorder="1" applyAlignment="1">
      <alignment horizontal="center" vertical="center"/>
    </xf>
    <xf numFmtId="43" fontId="19" fillId="21" borderId="1" xfId="17" applyFont="1" applyFill="1" applyBorder="1" applyAlignment="1">
      <alignment vertical="center" shrinkToFit="1"/>
    </xf>
    <xf numFmtId="179" fontId="19" fillId="21" borderId="161" xfId="0" applyNumberFormat="1" applyFont="1" applyFill="1" applyBorder="1" applyAlignment="1">
      <alignment horizontal="right" vertical="center"/>
    </xf>
    <xf numFmtId="0" fontId="0" fillId="21" borderId="0" xfId="0" applyFill="1">
      <alignment vertical="center"/>
    </xf>
    <xf numFmtId="43" fontId="0" fillId="21" borderId="0" xfId="0" applyNumberFormat="1" applyFill="1">
      <alignment vertical="center"/>
    </xf>
    <xf numFmtId="198" fontId="19" fillId="21" borderId="1" xfId="0" applyNumberFormat="1" applyFont="1" applyFill="1" applyBorder="1" applyAlignment="1">
      <alignment horizontal="right" vertical="center"/>
    </xf>
    <xf numFmtId="0" fontId="19" fillId="21" borderId="1" xfId="0" applyFont="1" applyFill="1" applyBorder="1" applyAlignment="1">
      <alignment vertical="center"/>
    </xf>
    <xf numFmtId="198" fontId="19" fillId="21" borderId="1" xfId="0" applyNumberFormat="1" applyFont="1" applyFill="1" applyBorder="1" applyAlignment="1">
      <alignment vertical="center"/>
    </xf>
    <xf numFmtId="0" fontId="99" fillId="0" borderId="0" xfId="0" applyFont="1" applyAlignment="1">
      <alignment horizontal="left" vertical="center"/>
    </xf>
    <xf numFmtId="0" fontId="117" fillId="21" borderId="0" xfId="0" applyFont="1" applyFill="1" applyAlignment="1">
      <alignment horizontal="left" vertical="center"/>
    </xf>
    <xf numFmtId="0" fontId="264" fillId="0" borderId="0" xfId="0" applyFont="1" applyAlignment="1">
      <alignment horizontal="left" vertical="center" wrapText="1"/>
    </xf>
    <xf numFmtId="0" fontId="117" fillId="20" borderId="0" xfId="0" applyFont="1" applyFill="1" applyAlignment="1">
      <alignment horizontal="left" vertical="center"/>
    </xf>
    <xf numFmtId="0" fontId="117" fillId="0" borderId="0" xfId="0" applyFont="1" applyAlignment="1">
      <alignment horizontal="left" vertical="center"/>
    </xf>
    <xf numFmtId="43" fontId="117" fillId="0" borderId="0" xfId="0" applyNumberFormat="1" applyFont="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98" fillId="0" borderId="40" xfId="0" applyNumberFormat="1" applyFont="1" applyFill="1" applyBorder="1" applyAlignment="1" applyProtection="1">
      <alignment horizontal="center" vertical="center" wrapText="1"/>
    </xf>
    <xf numFmtId="49" fontId="0" fillId="0" borderId="14" xfId="0" applyNumberFormat="1" applyFont="1" applyFill="1" applyBorder="1" applyAlignment="1" applyProtection="1">
      <alignment horizontal="center" vertical="center" wrapText="1"/>
    </xf>
    <xf numFmtId="49" fontId="0" fillId="0" borderId="41"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19" fillId="0" borderId="3" xfId="0" applyNumberFormat="1" applyFont="1" applyFill="1" applyBorder="1" applyAlignment="1" applyProtection="1">
      <alignment horizontal="center" vertical="center" wrapText="1"/>
    </xf>
    <xf numFmtId="49" fontId="0" fillId="0" borderId="32" xfId="0" applyNumberFormat="1" applyFont="1" applyFill="1" applyBorder="1" applyAlignment="1" applyProtection="1">
      <alignment horizontal="center" vertical="center" wrapText="1"/>
    </xf>
    <xf numFmtId="49" fontId="256" fillId="0" borderId="0" xfId="0" applyNumberFormat="1" applyFont="1" applyFill="1" applyAlignment="1" applyProtection="1">
      <alignment horizontal="center" vertical="center"/>
    </xf>
    <xf numFmtId="49" fontId="19" fillId="0" borderId="0" xfId="0" applyNumberFormat="1" applyFont="1" applyFill="1" applyBorder="1" applyAlignment="1" applyProtection="1">
      <alignment horizontal="left" vertical="center" wrapText="1"/>
    </xf>
    <xf numFmtId="49" fontId="19" fillId="0" borderId="0" xfId="0" applyNumberFormat="1" applyFont="1" applyFill="1" applyAlignment="1" applyProtection="1">
      <alignment horizontal="left" vertical="center" wrapText="1"/>
    </xf>
    <xf numFmtId="49" fontId="0" fillId="0" borderId="40" xfId="0" applyNumberFormat="1" applyFont="1" applyFill="1" applyBorder="1" applyAlignment="1" applyProtection="1">
      <alignment horizontal="center" vertical="center" wrapText="1"/>
    </xf>
    <xf numFmtId="49" fontId="0" fillId="0" borderId="17" xfId="0" applyNumberFormat="1" applyFont="1" applyFill="1" applyBorder="1" applyAlignment="1" applyProtection="1">
      <alignment horizontal="center" vertical="center" wrapText="1"/>
    </xf>
    <xf numFmtId="49" fontId="0" fillId="0" borderId="15" xfId="0" applyNumberFormat="1" applyFont="1" applyFill="1" applyBorder="1" applyAlignment="1" applyProtection="1">
      <alignment horizontal="center" vertical="center" wrapText="1"/>
    </xf>
    <xf numFmtId="49" fontId="0" fillId="0" borderId="2" xfId="0" applyNumberFormat="1" applyFont="1" applyFill="1" applyBorder="1" applyAlignment="1" applyProtection="1">
      <alignment horizontal="center" vertical="center" wrapText="1"/>
    </xf>
    <xf numFmtId="49" fontId="0" fillId="0" borderId="9" xfId="0" applyNumberFormat="1" applyFont="1" applyFill="1" applyBorder="1" applyAlignment="1" applyProtection="1">
      <alignment horizontal="center" vertical="center" wrapText="1"/>
    </xf>
    <xf numFmtId="49" fontId="0" fillId="0" borderId="1" xfId="0" applyNumberFormat="1" applyFont="1" applyFill="1" applyBorder="1" applyAlignment="1" applyProtection="1">
      <alignment horizontal="center" vertical="center" wrapText="1"/>
    </xf>
    <xf numFmtId="49" fontId="0" fillId="0" borderId="10" xfId="0" applyNumberFormat="1" applyFont="1" applyFill="1" applyBorder="1" applyAlignment="1" applyProtection="1">
      <alignment horizontal="center" vertical="center" wrapText="1"/>
    </xf>
    <xf numFmtId="49" fontId="0" fillId="0" borderId="24"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V2">
            <v>34373</v>
          </cell>
        </row>
        <row r="3">
          <cell r="V3">
            <v>27918</v>
          </cell>
        </row>
        <row r="37">
          <cell r="E37">
            <v>22332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估价对象为北京市房地产，为所有。根据《国有土地使用证》[]，估价对象（分摊）出让国有建设用地使用权面积为12272.21平方米，建筑面积为34459.17平方米。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估价对象为北京市房地产,属开发建设的，该项目尚在开发建设中。根据《国有土地使用证》[]，估价对象（分摊）出让国有建设用地使用权面积为12272.21平方米，规划建筑面积为34459.17平方米。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2022年8月10日（评估专业人员实地查勘之日）</v>
      </c>
    </row>
    <row r="13" spans="1:2" s="1318" customFormat="1">
      <c r="A13" s="1316" t="s">
        <v>954</v>
      </c>
      <c r="B13" s="1317"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122733</v>
      </c>
    </row>
    <row r="21" spans="1:2" s="1318" customFormat="1">
      <c r="A21" s="1316" t="s">
        <v>962</v>
      </c>
      <c r="B21" s="1317">
        <f ca="1">'预评函-2'!D7</f>
        <v>35617</v>
      </c>
    </row>
    <row r="22" spans="1:2" s="1318" customFormat="1">
      <c r="A22" s="1316" t="s">
        <v>963</v>
      </c>
      <c r="B22" s="1317" t="str">
        <f ca="1">'预评函-2'!D6</f>
        <v>壹拾贰亿贰仟柒佰叁拾叁万元整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122733</v>
      </c>
    </row>
    <row r="31" spans="1:2" s="1318" customFormat="1">
      <c r="A31" s="1316" t="s">
        <v>1001</v>
      </c>
      <c r="B31" s="1317">
        <f ca="1">'预评函-2'!D15</f>
        <v>35617</v>
      </c>
    </row>
    <row r="32" spans="1:2" s="1318" customFormat="1">
      <c r="A32" s="1316" t="s">
        <v>968</v>
      </c>
      <c r="B32" s="1317" t="str">
        <f ca="1">'预评函-2'!D14</f>
        <v>壹拾贰亿贰仟柒佰叁拾叁万元整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34459.17</v>
      </c>
    </row>
    <row r="44" spans="1:2" s="1318" customFormat="1">
      <c r="A44" s="1316" t="s">
        <v>1000</v>
      </c>
      <c r="B44" s="1317" t="str">
        <f>'预评函-3'!C2</f>
        <v>(分摊)土地面积</v>
      </c>
    </row>
    <row r="45" spans="1:2" s="1318" customFormat="1">
      <c r="A45" s="1316" t="s">
        <v>972</v>
      </c>
      <c r="B45" s="1317">
        <f>'预评函-3'!C4</f>
        <v>12272.21</v>
      </c>
    </row>
    <row r="46" spans="1:2" s="1318" customFormat="1">
      <c r="A46" s="1316" t="s">
        <v>998</v>
      </c>
      <c r="B46" s="1317" t="str">
        <f>'预评函-3'!D2</f>
        <v>出让国有建设用地使用权价值</v>
      </c>
    </row>
    <row r="47" spans="1:2" s="1318" customFormat="1">
      <c r="A47" s="1316" t="s">
        <v>973</v>
      </c>
      <c r="B47" s="1317">
        <f ca="1">'预评函-3'!D4</f>
        <v>109355</v>
      </c>
    </row>
    <row r="48" spans="1:2" s="1318" customFormat="1">
      <c r="A48" s="1316" t="s">
        <v>974</v>
      </c>
      <c r="B48" s="1317">
        <f ca="1">'预评函-3'!E4</f>
        <v>31735</v>
      </c>
    </row>
    <row r="49" spans="1:2" s="1318" customFormat="1">
      <c r="A49" s="1316" t="s">
        <v>975</v>
      </c>
      <c r="B49" s="1317" t="str">
        <f ca="1">'预评函-3'!D5</f>
        <v>壹拾亿玖仟叁佰伍拾伍万元整</v>
      </c>
    </row>
    <row r="50" spans="1:2" s="1318" customFormat="1">
      <c r="A50" s="1316" t="s">
        <v>999</v>
      </c>
      <c r="B50" s="1317" t="str">
        <f>'预评函-3'!F2</f>
        <v>在建建筑物价值</v>
      </c>
    </row>
    <row r="51" spans="1:2" s="1318" customFormat="1">
      <c r="A51" s="1316" t="s">
        <v>976</v>
      </c>
      <c r="B51" s="1317">
        <f ca="1">'预评函-3'!F4</f>
        <v>13378</v>
      </c>
    </row>
    <row r="52" spans="1:2" s="1318" customFormat="1">
      <c r="A52" s="1316" t="s">
        <v>977</v>
      </c>
      <c r="B52" s="1317">
        <f ca="1">'预评函-3'!G4</f>
        <v>3882</v>
      </c>
    </row>
    <row r="53" spans="1:2" s="1318" customFormat="1">
      <c r="A53" s="1316" t="s">
        <v>1005</v>
      </c>
      <c r="B53" s="1317" t="str">
        <f ca="1">'预评函-3'!F5</f>
        <v>壹亿叁仟叁佰柒拾捌万元整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9" sqref="H3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3434</v>
      </c>
      <c r="C19" s="1683"/>
    </row>
    <row r="20" spans="1:3">
      <c r="A20" s="1682" t="s">
        <v>1493</v>
      </c>
      <c r="B20" s="1682" t="s">
        <v>3435</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40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3"/>
      <c r="B54" s="1690" t="s">
        <v>651</v>
      </c>
      <c r="C54" s="1687" t="s">
        <v>1008</v>
      </c>
    </row>
    <row r="55" spans="1:4">
      <c r="A55" s="3403"/>
      <c r="B55" s="1690" t="s">
        <v>652</v>
      </c>
      <c r="C55" s="1687" t="s">
        <v>1009</v>
      </c>
    </row>
    <row r="56" spans="1:4">
      <c r="A56" s="3403"/>
      <c r="B56" s="1690" t="s">
        <v>653</v>
      </c>
      <c r="C56" s="1687" t="s">
        <v>1013</v>
      </c>
    </row>
    <row r="57" spans="1:4">
      <c r="A57" s="340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8" sqref="I4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404" t="str">
        <f>IF(B10="北京市","北京市",C10)&amp;F10&amp;IF(结果表!G1="在建","出让国有建设用地使用权及在建建筑物",IF(结果表!G1="土地","出让国有建设用地使用权",))&amp;B9&amp;"预评估"</f>
        <v>北京市房地产抵押价值预评估</v>
      </c>
      <c r="C1" s="3405"/>
      <c r="D1" s="3405"/>
      <c r="E1" s="3405"/>
      <c r="F1" s="3405"/>
      <c r="G1" s="3405"/>
      <c r="H1" s="3405"/>
      <c r="I1" s="340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44783</v>
      </c>
      <c r="C3" s="2548" t="s">
        <v>2672</v>
      </c>
      <c r="D3" s="2547">
        <v>44783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3179</v>
      </c>
      <c r="C8" s="2564"/>
      <c r="D8" s="3407" t="s">
        <v>2678</v>
      </c>
      <c r="E8" s="2565" t="s">
        <v>3178</v>
      </c>
      <c r="F8" s="2566"/>
      <c r="G8" s="2840"/>
      <c r="H8" s="2840"/>
      <c r="I8" s="2840"/>
      <c r="J8" s="2615"/>
      <c r="K8" s="2790"/>
      <c r="L8" s="2789"/>
      <c r="M8" s="2789"/>
      <c r="N8" s="2615"/>
      <c r="O8" s="2626"/>
      <c r="P8" s="2615"/>
      <c r="Q8" s="2615"/>
      <c r="R8" s="2615"/>
    </row>
    <row r="9" spans="1:28" ht="13.5" thickBot="1">
      <c r="A9" s="2567" t="s">
        <v>2679</v>
      </c>
      <c r="B9" s="2568" t="s">
        <v>3178</v>
      </c>
      <c r="C9" s="2569"/>
      <c r="D9" s="3408"/>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3176</v>
      </c>
      <c r="C11" s="2577"/>
      <c r="D11" s="2578"/>
      <c r="E11" s="2544"/>
      <c r="F11" s="2544"/>
      <c r="G11" s="2544"/>
      <c r="H11" s="2544"/>
      <c r="I11" s="2544"/>
      <c r="J11" s="2615"/>
      <c r="K11" s="2792"/>
      <c r="L11" s="2789"/>
      <c r="M11" s="2789"/>
      <c r="N11" s="2615"/>
      <c r="O11" s="2626"/>
      <c r="P11" s="2615"/>
      <c r="Q11" s="2615"/>
      <c r="R11" s="2615"/>
    </row>
    <row r="12" spans="1:28">
      <c r="A12" s="2579" t="s">
        <v>2683</v>
      </c>
      <c r="B12" s="2576" t="s">
        <v>3175</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52838</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22.06</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414"/>
      <c r="C16" s="3415"/>
      <c r="D16" s="3416"/>
      <c r="E16" s="2589" t="s">
        <v>2695</v>
      </c>
      <c r="F16" s="3417"/>
      <c r="G16" s="3418"/>
      <c r="H16" s="3418"/>
      <c r="I16" s="3419"/>
      <c r="J16" s="2615"/>
      <c r="K16" s="2794"/>
      <c r="L16" s="2627"/>
      <c r="M16" s="2627"/>
      <c r="N16" s="2685"/>
      <c r="O16" s="2627"/>
      <c r="P16" s="2685"/>
      <c r="Q16" s="2615"/>
      <c r="R16" s="2615"/>
    </row>
    <row r="17" spans="1:28">
      <c r="A17" s="319" t="s">
        <v>2696</v>
      </c>
      <c r="B17" s="308" t="s">
        <v>2697</v>
      </c>
      <c r="C17" s="11">
        <f>'数据-汇总表'!E3</f>
        <v>34459.17</v>
      </c>
      <c r="D17" s="2496" t="s">
        <v>2698</v>
      </c>
      <c r="E17" s="3420" t="s">
        <v>2699</v>
      </c>
      <c r="F17" s="3421"/>
      <c r="G17" s="3421"/>
      <c r="H17" s="3421"/>
      <c r="I17" s="3422"/>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12272.21</v>
      </c>
      <c r="D18" s="1205" t="s">
        <v>2702</v>
      </c>
      <c r="E18" s="3423" t="s">
        <v>2703</v>
      </c>
      <c r="F18" s="3424"/>
      <c r="G18" s="3424"/>
      <c r="H18" s="3424"/>
      <c r="I18" s="3425"/>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410" t="s">
        <v>2707</v>
      </c>
      <c r="C20" s="3411"/>
      <c r="D20" s="3412" t="s">
        <v>2708</v>
      </c>
      <c r="E20" s="3413"/>
      <c r="F20" s="2824" t="s">
        <v>1501</v>
      </c>
      <c r="G20" s="2841"/>
      <c r="H20" s="2841"/>
      <c r="I20" s="2841"/>
      <c r="J20" s="2615"/>
      <c r="K20" s="3409"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4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4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427"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427"/>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427"/>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428"/>
      <c r="B30" s="308" t="s">
        <v>2719</v>
      </c>
      <c r="C30" s="3429"/>
      <c r="D30" s="3430"/>
      <c r="E30" s="2841"/>
      <c r="F30" s="2841"/>
      <c r="G30" s="2841"/>
      <c r="H30" s="2841"/>
      <c r="I30" s="2841"/>
      <c r="J30" s="2615"/>
      <c r="K30" s="2792"/>
      <c r="L30" s="2789"/>
      <c r="M30" s="2789"/>
      <c r="N30" s="2615"/>
      <c r="O30" s="2626"/>
      <c r="P30" s="2615"/>
      <c r="Q30" s="2615"/>
      <c r="R30" s="2615"/>
      <c r="S30" s="2615"/>
      <c r="T30" s="2615"/>
      <c r="U30" s="2615"/>
      <c r="V30" s="2615"/>
    </row>
    <row r="31" spans="1:28">
      <c r="A31" s="3431"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43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43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426" t="s">
        <v>2729</v>
      </c>
      <c r="T34" s="2604" t="str">
        <f>NUMBERSTRING(7-K34,1)&amp;"通"</f>
        <v>七通</v>
      </c>
      <c r="U34" s="2615"/>
      <c r="V34" s="2615"/>
    </row>
    <row r="35" spans="1:30">
      <c r="A35" s="2605"/>
      <c r="B35" s="3433" t="s">
        <v>2730</v>
      </c>
      <c r="C35" s="3433"/>
      <c r="D35" s="3433"/>
      <c r="E35" s="3433"/>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26"/>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t="s">
        <v>268</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t="s">
        <v>290</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34" t="s">
        <v>0</v>
      </c>
      <c r="B1" s="3434" t="s">
        <v>4</v>
      </c>
      <c r="C1" s="3434" t="s">
        <v>5</v>
      </c>
      <c r="D1" s="3435" t="s">
        <v>53</v>
      </c>
      <c r="E1" s="3435" t="s">
        <v>54</v>
      </c>
      <c r="F1" s="3435"/>
      <c r="G1" s="3435"/>
      <c r="H1" s="3435"/>
      <c r="I1" s="3435"/>
      <c r="J1" s="3435"/>
      <c r="K1" s="3435"/>
      <c r="L1" s="3435"/>
      <c r="M1" s="3435"/>
    </row>
    <row r="2" spans="1:13" ht="27" customHeight="1">
      <c r="A2" s="3434"/>
      <c r="B2" s="3434"/>
      <c r="C2" s="3434"/>
      <c r="D2" s="3435"/>
      <c r="E2" s="3435" t="s">
        <v>37</v>
      </c>
      <c r="F2" s="3435" t="s">
        <v>38</v>
      </c>
      <c r="G2" s="3435"/>
      <c r="H2" s="3435"/>
      <c r="I2" s="3435"/>
      <c r="J2" s="3435" t="s">
        <v>39</v>
      </c>
      <c r="K2" s="3435"/>
      <c r="L2" s="3435"/>
      <c r="M2" s="3435"/>
    </row>
    <row r="3" spans="1:13" ht="28.5">
      <c r="A3" s="3434"/>
      <c r="B3" s="3434"/>
      <c r="C3" s="3434"/>
      <c r="D3" s="3435"/>
      <c r="E3" s="34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35" t="s">
        <v>55</v>
      </c>
      <c r="B9" s="3435"/>
      <c r="C9" s="34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V13" activePane="bottomRight" state="frozen"/>
      <selection activeCell="C50" sqref="C50"/>
      <selection pane="topRight" activeCell="C50" sqref="C50"/>
      <selection pane="bottomLeft" activeCell="C50" sqref="C50"/>
      <selection pane="bottomRight" activeCell="U39" sqref="U3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12272.21</v>
      </c>
      <c r="B3" s="14">
        <f>IF(C3="否",G5-AT5,G5)</f>
        <v>34459.17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34459.17</v>
      </c>
      <c r="H5" s="16">
        <f t="shared" ref="H5:AT5" si="0">SUM(H13:H656)</f>
        <v>34303.85</v>
      </c>
      <c r="I5" s="16">
        <f t="shared" si="0"/>
        <v>20206.989999999998</v>
      </c>
      <c r="J5" s="16">
        <f t="shared" si="0"/>
        <v>0</v>
      </c>
      <c r="K5" s="16">
        <f t="shared" si="0"/>
        <v>14096.86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155.31999999999971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155.31999999999971</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34459.17</v>
      </c>
      <c r="BA5" s="18">
        <f t="shared" si="1"/>
        <v>34303.85</v>
      </c>
      <c r="BB5" s="18">
        <f t="shared" si="1"/>
        <v>20206.989999999998</v>
      </c>
      <c r="BC5" s="18">
        <f t="shared" si="1"/>
        <v>14096.86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155.31999999999971</v>
      </c>
      <c r="BM5" s="18">
        <f t="shared" si="1"/>
        <v>0</v>
      </c>
      <c r="BN5" s="18">
        <f t="shared" si="1"/>
        <v>0</v>
      </c>
      <c r="BO5" s="18">
        <f t="shared" si="1"/>
        <v>0</v>
      </c>
      <c r="BP5" s="18">
        <f t="shared" si="1"/>
        <v>0</v>
      </c>
      <c r="BQ5" s="18">
        <f t="shared" si="1"/>
        <v>155.31999999999971</v>
      </c>
      <c r="BR5" s="18">
        <f t="shared" si="1"/>
        <v>0</v>
      </c>
      <c r="BS5" s="18">
        <f t="shared" si="1"/>
        <v>0</v>
      </c>
      <c r="BT5" s="19">
        <f t="shared" si="1"/>
        <v>0</v>
      </c>
    </row>
    <row r="6" spans="1:72" s="1725" customFormat="1" ht="12.75">
      <c r="A6" s="15" t="s">
        <v>1517</v>
      </c>
      <c r="B6" s="1722"/>
      <c r="C6" s="1722"/>
      <c r="D6" s="1723"/>
      <c r="E6" s="16">
        <f>H6+AC6+AT6</f>
        <v>12272.21</v>
      </c>
      <c r="F6" s="16" t="s">
        <v>1</v>
      </c>
      <c r="G6" s="16" t="s">
        <v>2</v>
      </c>
      <c r="H6" s="20">
        <f>SUMIF(I$12:AB$12,"总值",I6:AB6)</f>
        <v>12216.89</v>
      </c>
      <c r="I6" s="16">
        <f t="shared" ref="I6:AB6" si="2">ROUND($A$3*I5/$B$3,2)</f>
        <v>7196.47</v>
      </c>
      <c r="J6" s="16">
        <f t="shared" si="2"/>
        <v>0</v>
      </c>
      <c r="K6" s="16">
        <f t="shared" si="2"/>
        <v>5020.42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55.32</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12272.21</v>
      </c>
      <c r="AZ6" s="16" t="s">
        <v>3</v>
      </c>
      <c r="BA6" s="16">
        <f>ROUND($AY$6*BA5/$AZ$5,2)</f>
        <v>12216.89</v>
      </c>
      <c r="BB6" s="16">
        <f>ROUND($AY$6*BB5/$AZ$5,2)</f>
        <v>7196.47</v>
      </c>
      <c r="BC6" s="16">
        <f t="shared" ref="BC6:BH6" si="4">ROUND($AY$6*BC5/$AZ$5,2)</f>
        <v>5020.42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55.32</v>
      </c>
      <c r="BM6" s="16">
        <f t="shared" si="5"/>
        <v>0</v>
      </c>
      <c r="BN6" s="16">
        <f t="shared" si="5"/>
        <v>0</v>
      </c>
      <c r="BO6" s="16">
        <f t="shared" si="5"/>
        <v>0</v>
      </c>
      <c r="BP6" s="16">
        <f t="shared" si="5"/>
        <v>0</v>
      </c>
      <c r="BQ6" s="16">
        <f t="shared" si="5"/>
        <v>55.32</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3231" t="s">
        <v>3180</v>
      </c>
      <c r="J9" s="899"/>
      <c r="K9" s="1739" t="s">
        <v>3201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3231" t="s">
        <v>1102</v>
      </c>
      <c r="J10" s="899"/>
      <c r="K10" s="3231"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3232" t="s">
        <v>3181</v>
      </c>
      <c r="J11" s="1751"/>
      <c r="K11" s="3232" t="s">
        <v>3181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独立商业</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3317</v>
      </c>
      <c r="E13" s="16">
        <f>IF($C$3="是",ROUND($A$3*G13/$B$3,2),ROUND($A$3*(G13-AT13)/$B$3,2))</f>
        <v>12272.21</v>
      </c>
      <c r="F13" s="32"/>
      <c r="G13" s="33">
        <f>H13+AC13+AT13</f>
        <v>34459.17</v>
      </c>
      <c r="H13" s="20">
        <f>SUMIF(I$12:AB$12,"总值",I13:AB13)</f>
        <v>34303.85</v>
      </c>
      <c r="I13" s="1762">
        <f>面积表!E109+面积表!E110</f>
        <v>20206.989999999998</v>
      </c>
      <c r="J13" s="1762"/>
      <c r="K13" s="1762">
        <f>面积表!E108</f>
        <v>14096.86</v>
      </c>
      <c r="L13" s="1762"/>
      <c r="M13" s="1762"/>
      <c r="N13" s="1762"/>
      <c r="O13" s="1762"/>
      <c r="P13" s="1762"/>
      <c r="Q13" s="1762"/>
      <c r="R13" s="1762"/>
      <c r="S13" s="1762"/>
      <c r="T13" s="1762"/>
      <c r="U13" s="1762"/>
      <c r="V13" s="1762"/>
      <c r="W13" s="1762"/>
      <c r="X13" s="1762"/>
      <c r="Y13" s="1762"/>
      <c r="Z13" s="1762"/>
      <c r="AA13" s="1762"/>
      <c r="AB13" s="1762"/>
      <c r="AC13" s="16">
        <f>SUMIF(AD$12:AS$12,"总值",AD13:AS13)</f>
        <v>155.31999999999971</v>
      </c>
      <c r="AD13" s="1763"/>
      <c r="AE13" s="1763"/>
      <c r="AF13" s="1763"/>
      <c r="AG13" s="1763"/>
      <c r="AH13" s="1763"/>
      <c r="AI13" s="1763"/>
      <c r="AJ13" s="1763"/>
      <c r="AK13" s="1763"/>
      <c r="AL13" s="1763">
        <f>面积表!G109</f>
        <v>155.31999999999971</v>
      </c>
      <c r="AM13" s="1763"/>
      <c r="AN13" s="1763"/>
      <c r="AO13" s="1763"/>
      <c r="AP13" s="1763"/>
      <c r="AQ13" s="1763"/>
      <c r="AR13" s="1763"/>
      <c r="AS13" s="1763"/>
      <c r="AT13" s="1764"/>
      <c r="AU13" s="1765"/>
      <c r="AV13" s="11">
        <f t="shared" ref="AV13:AX17" si="6">A13</f>
        <v>0</v>
      </c>
      <c r="AW13" s="11">
        <f t="shared" si="6"/>
        <v>0</v>
      </c>
      <c r="AX13" s="11">
        <f t="shared" si="6"/>
        <v>0</v>
      </c>
      <c r="AY13" s="1484">
        <f>ROUND($AY$6*AZ13/$AZ$5,2)</f>
        <v>12272.21</v>
      </c>
      <c r="AZ13" s="16">
        <f>BA13+BL13</f>
        <v>34459.17</v>
      </c>
      <c r="BA13" s="16">
        <f>SUM(BB13:BK13)</f>
        <v>34303.85</v>
      </c>
      <c r="BB13" s="16">
        <f>IF($D13="是",I13-J13,0)</f>
        <v>20206.989999999998</v>
      </c>
      <c r="BC13" s="16">
        <f>IF($D13="是",K13-L13,0)</f>
        <v>14096.86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155.31999999999971</v>
      </c>
      <c r="BM13" s="16">
        <f>IF($D13="是",AD13-AE13,0)</f>
        <v>0</v>
      </c>
      <c r="BN13" s="16">
        <f>IF($D13="是",AF13-AG13,0)</f>
        <v>0</v>
      </c>
      <c r="BO13" s="16">
        <f>IF($D13="是",AH13-AI13,0)</f>
        <v>0</v>
      </c>
      <c r="BP13" s="16">
        <f>IF($D13="是",AJ13-AK13,0)</f>
        <v>0</v>
      </c>
      <c r="BQ13" s="16">
        <f>IF($D13="是",AL13-AM13,0)</f>
        <v>155.31999999999971</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15"/>
  <sheetViews>
    <sheetView topLeftCell="A73" zoomScale="85" zoomScaleNormal="85" workbookViewId="0">
      <selection activeCell="G117" sqref="G117"/>
    </sheetView>
  </sheetViews>
  <sheetFormatPr defaultColWidth="10.125" defaultRowHeight="13.5"/>
  <cols>
    <col min="1" max="1" width="10.125" style="1360"/>
    <col min="2" max="2" width="9.5" style="1360" customWidth="1"/>
    <col min="3" max="3" width="15.5" style="1360" customWidth="1"/>
    <col min="4" max="4" width="16.125" style="1360" customWidth="1"/>
    <col min="5" max="5" width="7.75" style="1360" customWidth="1"/>
    <col min="6" max="7" width="11.125" style="1360" customWidth="1"/>
    <col min="8" max="8" width="9.375" style="1360" customWidth="1"/>
    <col min="9" max="9" width="7.375" style="1360" customWidth="1"/>
    <col min="10" max="10" width="9.5" style="1360" customWidth="1"/>
    <col min="11" max="11" width="13.5" style="1360" customWidth="1"/>
    <col min="12" max="16384" width="10.125" style="1360"/>
  </cols>
  <sheetData>
    <row r="1" spans="1:11" ht="25.5" customHeight="1">
      <c r="B1" s="3442" t="s">
        <v>3187</v>
      </c>
      <c r="C1" s="3442"/>
      <c r="D1" s="3442"/>
      <c r="E1" s="3442"/>
      <c r="F1" s="3442"/>
      <c r="G1" s="3442"/>
      <c r="H1" s="3442"/>
      <c r="I1" s="3442"/>
      <c r="J1" s="3442"/>
      <c r="K1" s="3442"/>
    </row>
    <row r="2" spans="1:11" ht="28.5" customHeight="1" thickBot="1">
      <c r="B2" s="3234" t="s">
        <v>3188</v>
      </c>
      <c r="C2" s="3443" t="s">
        <v>3189</v>
      </c>
      <c r="D2" s="3443" t="s">
        <v>3190</v>
      </c>
      <c r="E2" s="3443"/>
      <c r="F2" s="3444"/>
      <c r="G2" s="3444"/>
      <c r="H2" s="3444"/>
      <c r="I2" s="3444"/>
      <c r="J2" s="3443"/>
      <c r="K2" s="3443"/>
    </row>
    <row r="3" spans="1:11" ht="14.25" customHeight="1">
      <c r="A3" s="3436" t="s">
        <v>3445</v>
      </c>
      <c r="B3" s="3445" t="s">
        <v>3191</v>
      </c>
      <c r="C3" s="3446" t="s">
        <v>3192</v>
      </c>
      <c r="D3" s="3446" t="s">
        <v>3193</v>
      </c>
      <c r="E3" s="3449" t="s">
        <v>3194</v>
      </c>
      <c r="F3" s="3449" t="s">
        <v>3195</v>
      </c>
      <c r="G3" s="3449"/>
      <c r="H3" s="3449" t="s">
        <v>3196</v>
      </c>
      <c r="I3" s="3449"/>
      <c r="J3" s="3235" t="s">
        <v>3197</v>
      </c>
      <c r="K3" s="3451" t="s">
        <v>3198</v>
      </c>
    </row>
    <row r="4" spans="1:11" ht="14.25" customHeight="1">
      <c r="A4" s="3437"/>
      <c r="B4" s="3437"/>
      <c r="C4" s="3447"/>
      <c r="D4" s="3447"/>
      <c r="E4" s="3450"/>
      <c r="F4" s="3236" t="s">
        <v>3180</v>
      </c>
      <c r="G4" s="3450" t="s">
        <v>3199</v>
      </c>
      <c r="H4" s="3450"/>
      <c r="I4" s="3450"/>
      <c r="J4" s="3236" t="s">
        <v>3200</v>
      </c>
      <c r="K4" s="3452"/>
    </row>
    <row r="5" spans="1:11" ht="14.25" customHeight="1">
      <c r="A5" s="3438"/>
      <c r="B5" s="3438"/>
      <c r="C5" s="3448"/>
      <c r="D5" s="3448"/>
      <c r="E5" s="3450"/>
      <c r="F5" s="3237" t="s">
        <v>3201</v>
      </c>
      <c r="G5" s="3450"/>
      <c r="H5" s="3450"/>
      <c r="I5" s="3450"/>
      <c r="J5" s="3236" t="s">
        <v>3202</v>
      </c>
      <c r="K5" s="3452"/>
    </row>
    <row r="6" spans="1:11" ht="18" customHeight="1">
      <c r="A6" s="3281">
        <v>1</v>
      </c>
      <c r="B6" s="3278" t="s">
        <v>3203</v>
      </c>
      <c r="C6" s="3238" t="s">
        <v>3204</v>
      </c>
      <c r="D6" s="3238" t="s">
        <v>3205</v>
      </c>
      <c r="E6" s="3236" t="s">
        <v>3206</v>
      </c>
      <c r="F6" s="3238" t="s">
        <v>3207</v>
      </c>
      <c r="G6" s="3238" t="s">
        <v>3208</v>
      </c>
      <c r="H6" s="3439" t="s">
        <v>3209</v>
      </c>
      <c r="I6" s="3440"/>
      <c r="J6" s="3239" t="s">
        <v>3210</v>
      </c>
      <c r="K6" s="3240">
        <v>107.54</v>
      </c>
    </row>
    <row r="7" spans="1:11" ht="18" customHeight="1">
      <c r="A7" s="3281">
        <v>2</v>
      </c>
      <c r="B7" s="3279" t="s">
        <v>3203</v>
      </c>
      <c r="C7" s="3241" t="s">
        <v>3211</v>
      </c>
      <c r="D7" s="3241" t="s">
        <v>3205</v>
      </c>
      <c r="E7" s="3236" t="s">
        <v>3206</v>
      </c>
      <c r="F7" s="3241" t="s">
        <v>3207</v>
      </c>
      <c r="G7" s="3241" t="s">
        <v>3212</v>
      </c>
      <c r="H7" s="3439" t="s">
        <v>3209</v>
      </c>
      <c r="I7" s="3440" t="s">
        <v>3209</v>
      </c>
      <c r="J7" s="3242" t="s">
        <v>3210</v>
      </c>
      <c r="K7" s="3243">
        <v>47.78</v>
      </c>
    </row>
    <row r="8" spans="1:11" ht="18" customHeight="1">
      <c r="A8" s="3281">
        <v>3</v>
      </c>
      <c r="B8" s="3279" t="s">
        <v>3203</v>
      </c>
      <c r="C8" s="3241" t="s">
        <v>3213</v>
      </c>
      <c r="D8" s="3241" t="s">
        <v>3205</v>
      </c>
      <c r="E8" s="3236" t="s">
        <v>3206</v>
      </c>
      <c r="F8" s="3241" t="s">
        <v>3207</v>
      </c>
      <c r="G8" s="3241" t="s">
        <v>3214</v>
      </c>
      <c r="H8" s="3439" t="s">
        <v>3215</v>
      </c>
      <c r="I8" s="3440" t="s">
        <v>3215</v>
      </c>
      <c r="J8" s="3242" t="s">
        <v>3216</v>
      </c>
      <c r="K8" s="3243">
        <v>312.91000000000003</v>
      </c>
    </row>
    <row r="9" spans="1:11" ht="18" customHeight="1">
      <c r="A9" s="3281">
        <v>4</v>
      </c>
      <c r="B9" s="3279" t="s">
        <v>3203</v>
      </c>
      <c r="C9" s="3241" t="s">
        <v>3217</v>
      </c>
      <c r="D9" s="3241" t="s">
        <v>3205</v>
      </c>
      <c r="E9" s="3236" t="s">
        <v>3206</v>
      </c>
      <c r="F9" s="3241" t="s">
        <v>3207</v>
      </c>
      <c r="G9" s="3241" t="s">
        <v>3218</v>
      </c>
      <c r="H9" s="3439" t="s">
        <v>3215</v>
      </c>
      <c r="I9" s="3440" t="s">
        <v>3215</v>
      </c>
      <c r="J9" s="3242" t="s">
        <v>3216</v>
      </c>
      <c r="K9" s="3243">
        <v>540.13</v>
      </c>
    </row>
    <row r="10" spans="1:11" ht="18" customHeight="1">
      <c r="A10" s="3281">
        <v>5</v>
      </c>
      <c r="B10" s="3279" t="s">
        <v>3203</v>
      </c>
      <c r="C10" s="3241" t="s">
        <v>3219</v>
      </c>
      <c r="D10" s="3241" t="s">
        <v>3205</v>
      </c>
      <c r="E10" s="3236" t="s">
        <v>3206</v>
      </c>
      <c r="F10" s="3241" t="s">
        <v>3207</v>
      </c>
      <c r="G10" s="3241" t="s">
        <v>3220</v>
      </c>
      <c r="H10" s="3439" t="s">
        <v>3215</v>
      </c>
      <c r="I10" s="3440" t="s">
        <v>3215</v>
      </c>
      <c r="J10" s="3242" t="s">
        <v>3210</v>
      </c>
      <c r="K10" s="3243">
        <v>2145.08</v>
      </c>
    </row>
    <row r="11" spans="1:11" ht="18" customHeight="1">
      <c r="A11" s="3281">
        <v>6</v>
      </c>
      <c r="B11" s="3279" t="s">
        <v>3203</v>
      </c>
      <c r="C11" s="3241" t="s">
        <v>3221</v>
      </c>
      <c r="D11" s="3241" t="s">
        <v>3205</v>
      </c>
      <c r="E11" s="3236" t="s">
        <v>3206</v>
      </c>
      <c r="F11" s="3241" t="s">
        <v>3207</v>
      </c>
      <c r="G11" s="3241" t="s">
        <v>3220</v>
      </c>
      <c r="H11" s="3439" t="s">
        <v>3215</v>
      </c>
      <c r="I11" s="3440" t="s">
        <v>3215</v>
      </c>
      <c r="J11" s="3242" t="s">
        <v>3210</v>
      </c>
      <c r="K11" s="3243">
        <v>205.25</v>
      </c>
    </row>
    <row r="12" spans="1:11" ht="18" customHeight="1">
      <c r="A12" s="3281">
        <v>7</v>
      </c>
      <c r="B12" s="3279" t="s">
        <v>3203</v>
      </c>
      <c r="C12" s="3241" t="s">
        <v>3222</v>
      </c>
      <c r="D12" s="3241" t="s">
        <v>3205</v>
      </c>
      <c r="E12" s="3236" t="s">
        <v>3206</v>
      </c>
      <c r="F12" s="3241" t="s">
        <v>3207</v>
      </c>
      <c r="G12" s="3241" t="s">
        <v>3220</v>
      </c>
      <c r="H12" s="3439" t="s">
        <v>3215</v>
      </c>
      <c r="I12" s="3440" t="s">
        <v>3215</v>
      </c>
      <c r="J12" s="3242" t="s">
        <v>3210</v>
      </c>
      <c r="K12" s="3243">
        <v>173.09</v>
      </c>
    </row>
    <row r="13" spans="1:11" ht="18" customHeight="1">
      <c r="A13" s="3281">
        <v>8</v>
      </c>
      <c r="B13" s="3279" t="s">
        <v>3203</v>
      </c>
      <c r="C13" s="3241" t="s">
        <v>3223</v>
      </c>
      <c r="D13" s="3241" t="s">
        <v>3205</v>
      </c>
      <c r="E13" s="3236" t="s">
        <v>3206</v>
      </c>
      <c r="F13" s="3241" t="s">
        <v>3207</v>
      </c>
      <c r="G13" s="3241" t="s">
        <v>3220</v>
      </c>
      <c r="H13" s="3439" t="s">
        <v>3215</v>
      </c>
      <c r="I13" s="3440" t="s">
        <v>3215</v>
      </c>
      <c r="J13" s="3242" t="s">
        <v>3210</v>
      </c>
      <c r="K13" s="3243">
        <v>73.63</v>
      </c>
    </row>
    <row r="14" spans="1:11" ht="18" customHeight="1">
      <c r="A14" s="3281">
        <v>9</v>
      </c>
      <c r="B14" s="3279" t="s">
        <v>3203</v>
      </c>
      <c r="C14" s="3241" t="s">
        <v>3224</v>
      </c>
      <c r="D14" s="3241" t="s">
        <v>3205</v>
      </c>
      <c r="E14" s="3236" t="s">
        <v>3206</v>
      </c>
      <c r="F14" s="3241" t="s">
        <v>3207</v>
      </c>
      <c r="G14" s="3241" t="s">
        <v>3220</v>
      </c>
      <c r="H14" s="3439" t="s">
        <v>3215</v>
      </c>
      <c r="I14" s="3440" t="s">
        <v>3215</v>
      </c>
      <c r="J14" s="3242" t="s">
        <v>3210</v>
      </c>
      <c r="K14" s="3243">
        <v>144.61000000000001</v>
      </c>
    </row>
    <row r="15" spans="1:11" ht="18" customHeight="1">
      <c r="A15" s="3281">
        <v>10</v>
      </c>
      <c r="B15" s="3279" t="s">
        <v>3203</v>
      </c>
      <c r="C15" s="3241" t="s">
        <v>3225</v>
      </c>
      <c r="D15" s="3241" t="s">
        <v>3205</v>
      </c>
      <c r="E15" s="3236" t="s">
        <v>3206</v>
      </c>
      <c r="F15" s="3241" t="s">
        <v>3207</v>
      </c>
      <c r="G15" s="3241" t="s">
        <v>3214</v>
      </c>
      <c r="H15" s="3439" t="s">
        <v>3215</v>
      </c>
      <c r="I15" s="3440" t="s">
        <v>3215</v>
      </c>
      <c r="J15" s="3242" t="s">
        <v>3216</v>
      </c>
      <c r="K15" s="3243">
        <v>300.42</v>
      </c>
    </row>
    <row r="16" spans="1:11" ht="18" customHeight="1">
      <c r="A16" s="3281">
        <v>11</v>
      </c>
      <c r="B16" s="3279" t="s">
        <v>3203</v>
      </c>
      <c r="C16" s="3241" t="s">
        <v>3226</v>
      </c>
      <c r="D16" s="3241" t="s">
        <v>3205</v>
      </c>
      <c r="E16" s="3236" t="s">
        <v>3206</v>
      </c>
      <c r="F16" s="3241" t="s">
        <v>3207</v>
      </c>
      <c r="G16" s="3241" t="s">
        <v>3218</v>
      </c>
      <c r="H16" s="3439" t="s">
        <v>3215</v>
      </c>
      <c r="I16" s="3440" t="s">
        <v>3215</v>
      </c>
      <c r="J16" s="3242" t="s">
        <v>3216</v>
      </c>
      <c r="K16" s="3243">
        <v>458.55</v>
      </c>
    </row>
    <row r="17" spans="1:11" ht="18" customHeight="1">
      <c r="A17" s="3281">
        <v>12</v>
      </c>
      <c r="B17" s="3279" t="s">
        <v>3203</v>
      </c>
      <c r="C17" s="3241" t="s">
        <v>3227</v>
      </c>
      <c r="D17" s="3241" t="s">
        <v>3205</v>
      </c>
      <c r="E17" s="3236" t="s">
        <v>3206</v>
      </c>
      <c r="F17" s="3241" t="s">
        <v>3207</v>
      </c>
      <c r="G17" s="3241" t="s">
        <v>3208</v>
      </c>
      <c r="H17" s="3439" t="s">
        <v>3215</v>
      </c>
      <c r="I17" s="3440" t="s">
        <v>3215</v>
      </c>
      <c r="J17" s="3242" t="s">
        <v>3210</v>
      </c>
      <c r="K17" s="3243">
        <v>96.27</v>
      </c>
    </row>
    <row r="18" spans="1:11" ht="18" customHeight="1">
      <c r="A18" s="3281">
        <v>13</v>
      </c>
      <c r="B18" s="3279" t="s">
        <v>3203</v>
      </c>
      <c r="C18" s="3241" t="s">
        <v>3228</v>
      </c>
      <c r="D18" s="3241" t="s">
        <v>3205</v>
      </c>
      <c r="E18" s="3236" t="s">
        <v>3206</v>
      </c>
      <c r="F18" s="3241" t="s">
        <v>3207</v>
      </c>
      <c r="G18" s="3241" t="s">
        <v>3208</v>
      </c>
      <c r="H18" s="3439" t="s">
        <v>3215</v>
      </c>
      <c r="I18" s="3440" t="s">
        <v>3215</v>
      </c>
      <c r="J18" s="3242" t="s">
        <v>3210</v>
      </c>
      <c r="K18" s="3243">
        <v>122.04</v>
      </c>
    </row>
    <row r="19" spans="1:11" ht="18" customHeight="1">
      <c r="A19" s="3281">
        <v>14</v>
      </c>
      <c r="B19" s="3279" t="s">
        <v>3203</v>
      </c>
      <c r="C19" s="3241" t="s">
        <v>3229</v>
      </c>
      <c r="D19" s="3241" t="s">
        <v>3205</v>
      </c>
      <c r="E19" s="3236" t="s">
        <v>3206</v>
      </c>
      <c r="F19" s="3241" t="s">
        <v>3207</v>
      </c>
      <c r="G19" s="3241" t="s">
        <v>3214</v>
      </c>
      <c r="H19" s="3439" t="s">
        <v>3215</v>
      </c>
      <c r="I19" s="3440" t="s">
        <v>3215</v>
      </c>
      <c r="J19" s="3242" t="s">
        <v>3216</v>
      </c>
      <c r="K19" s="3243">
        <v>339.43</v>
      </c>
    </row>
    <row r="20" spans="1:11" ht="18" customHeight="1">
      <c r="A20" s="3281">
        <v>15</v>
      </c>
      <c r="B20" s="3279" t="s">
        <v>3203</v>
      </c>
      <c r="C20" s="3241" t="s">
        <v>3230</v>
      </c>
      <c r="D20" s="3241" t="s">
        <v>3205</v>
      </c>
      <c r="E20" s="3236" t="s">
        <v>3206</v>
      </c>
      <c r="F20" s="3241" t="s">
        <v>3207</v>
      </c>
      <c r="G20" s="3241" t="s">
        <v>3218</v>
      </c>
      <c r="H20" s="3439" t="s">
        <v>3215</v>
      </c>
      <c r="I20" s="3440" t="s">
        <v>3215</v>
      </c>
      <c r="J20" s="3242" t="s">
        <v>3216</v>
      </c>
      <c r="K20" s="3243">
        <v>524.82000000000005</v>
      </c>
    </row>
    <row r="21" spans="1:11" ht="18" customHeight="1">
      <c r="A21" s="3281">
        <v>16</v>
      </c>
      <c r="B21" s="3279" t="s">
        <v>3203</v>
      </c>
      <c r="C21" s="3241" t="s">
        <v>3231</v>
      </c>
      <c r="D21" s="3241" t="s">
        <v>3205</v>
      </c>
      <c r="E21" s="3236" t="s">
        <v>3206</v>
      </c>
      <c r="F21" s="3241" t="s">
        <v>3207</v>
      </c>
      <c r="G21" s="3241" t="s">
        <v>3218</v>
      </c>
      <c r="H21" s="3439" t="s">
        <v>3215</v>
      </c>
      <c r="I21" s="3440" t="s">
        <v>3215</v>
      </c>
      <c r="J21" s="3242" t="s">
        <v>3216</v>
      </c>
      <c r="K21" s="3243">
        <v>655.01</v>
      </c>
    </row>
    <row r="22" spans="1:11" ht="18" customHeight="1">
      <c r="A22" s="3281">
        <v>17</v>
      </c>
      <c r="B22" s="3279" t="s">
        <v>3203</v>
      </c>
      <c r="C22" s="3241" t="s">
        <v>3232</v>
      </c>
      <c r="D22" s="3241" t="s">
        <v>3205</v>
      </c>
      <c r="E22" s="3236" t="s">
        <v>3206</v>
      </c>
      <c r="F22" s="3241" t="s">
        <v>3207</v>
      </c>
      <c r="G22" s="3241" t="s">
        <v>3214</v>
      </c>
      <c r="H22" s="3439" t="s">
        <v>3215</v>
      </c>
      <c r="I22" s="3440" t="s">
        <v>3215</v>
      </c>
      <c r="J22" s="3242" t="s">
        <v>3216</v>
      </c>
      <c r="K22" s="3243">
        <v>244.32</v>
      </c>
    </row>
    <row r="23" spans="1:11" ht="18" customHeight="1">
      <c r="A23" s="3281">
        <v>18</v>
      </c>
      <c r="B23" s="3279" t="s">
        <v>3203</v>
      </c>
      <c r="C23" s="3241" t="s">
        <v>3233</v>
      </c>
      <c r="D23" s="3241" t="s">
        <v>3205</v>
      </c>
      <c r="E23" s="3236" t="s">
        <v>3206</v>
      </c>
      <c r="F23" s="3241" t="s">
        <v>3207</v>
      </c>
      <c r="G23" s="3241" t="s">
        <v>3218</v>
      </c>
      <c r="H23" s="3439" t="s">
        <v>3215</v>
      </c>
      <c r="I23" s="3440" t="s">
        <v>3215</v>
      </c>
      <c r="J23" s="3242" t="s">
        <v>3216</v>
      </c>
      <c r="K23" s="3243">
        <v>577.64</v>
      </c>
    </row>
    <row r="24" spans="1:11" ht="18" customHeight="1">
      <c r="A24" s="3281">
        <v>19</v>
      </c>
      <c r="B24" s="3279" t="s">
        <v>3203</v>
      </c>
      <c r="C24" s="3241" t="s">
        <v>3234</v>
      </c>
      <c r="D24" s="3241" t="s">
        <v>3205</v>
      </c>
      <c r="E24" s="3236" t="s">
        <v>3206</v>
      </c>
      <c r="F24" s="3241" t="s">
        <v>3207</v>
      </c>
      <c r="G24" s="3241" t="s">
        <v>3218</v>
      </c>
      <c r="H24" s="3439" t="s">
        <v>3215</v>
      </c>
      <c r="I24" s="3440" t="s">
        <v>3215</v>
      </c>
      <c r="J24" s="3242" t="s">
        <v>3216</v>
      </c>
      <c r="K24" s="3243">
        <v>580.49</v>
      </c>
    </row>
    <row r="25" spans="1:11" ht="18" customHeight="1">
      <c r="A25" s="3281">
        <v>20</v>
      </c>
      <c r="B25" s="3279" t="s">
        <v>3203</v>
      </c>
      <c r="C25" s="3241" t="s">
        <v>3235</v>
      </c>
      <c r="D25" s="3241" t="s">
        <v>3205</v>
      </c>
      <c r="E25" s="3236" t="s">
        <v>3206</v>
      </c>
      <c r="F25" s="3241" t="s">
        <v>3207</v>
      </c>
      <c r="G25" s="3241" t="s">
        <v>3208</v>
      </c>
      <c r="H25" s="3439" t="s">
        <v>3215</v>
      </c>
      <c r="I25" s="3440" t="s">
        <v>3215</v>
      </c>
      <c r="J25" s="3242" t="s">
        <v>3210</v>
      </c>
      <c r="K25" s="3243">
        <v>188.93</v>
      </c>
    </row>
    <row r="26" spans="1:11" ht="18" customHeight="1">
      <c r="A26" s="3281">
        <v>21</v>
      </c>
      <c r="B26" s="3279" t="s">
        <v>3203</v>
      </c>
      <c r="C26" s="3241" t="s">
        <v>3236</v>
      </c>
      <c r="D26" s="3241" t="s">
        <v>3205</v>
      </c>
      <c r="E26" s="3236" t="s">
        <v>3206</v>
      </c>
      <c r="F26" s="3241" t="s">
        <v>3207</v>
      </c>
      <c r="G26" s="3241" t="s">
        <v>3208</v>
      </c>
      <c r="H26" s="3439" t="s">
        <v>3215</v>
      </c>
      <c r="I26" s="3440" t="s">
        <v>3215</v>
      </c>
      <c r="J26" s="3242" t="s">
        <v>3210</v>
      </c>
      <c r="K26" s="3243">
        <v>68.790000000000006</v>
      </c>
    </row>
    <row r="27" spans="1:11" ht="18" customHeight="1">
      <c r="A27" s="3281">
        <v>22</v>
      </c>
      <c r="B27" s="3279" t="s">
        <v>3203</v>
      </c>
      <c r="C27" s="3241" t="s">
        <v>3237</v>
      </c>
      <c r="D27" s="3241" t="s">
        <v>3205</v>
      </c>
      <c r="E27" s="3236" t="s">
        <v>3206</v>
      </c>
      <c r="F27" s="3241" t="s">
        <v>3207</v>
      </c>
      <c r="G27" s="3241" t="s">
        <v>3218</v>
      </c>
      <c r="H27" s="3439" t="s">
        <v>3215</v>
      </c>
      <c r="I27" s="3440" t="s">
        <v>3215</v>
      </c>
      <c r="J27" s="3242" t="s">
        <v>3216</v>
      </c>
      <c r="K27" s="3243">
        <v>658.65</v>
      </c>
    </row>
    <row r="28" spans="1:11" ht="18" customHeight="1">
      <c r="A28" s="3281">
        <v>23</v>
      </c>
      <c r="B28" s="3279" t="s">
        <v>3203</v>
      </c>
      <c r="C28" s="3241" t="s">
        <v>3238</v>
      </c>
      <c r="D28" s="3241" t="s">
        <v>3205</v>
      </c>
      <c r="E28" s="3236" t="s">
        <v>3206</v>
      </c>
      <c r="F28" s="3241" t="s">
        <v>3207</v>
      </c>
      <c r="G28" s="3241" t="s">
        <v>3218</v>
      </c>
      <c r="H28" s="3439" t="s">
        <v>3215</v>
      </c>
      <c r="I28" s="3440" t="s">
        <v>3215</v>
      </c>
      <c r="J28" s="3242" t="s">
        <v>3216</v>
      </c>
      <c r="K28" s="3243">
        <v>574.51</v>
      </c>
    </row>
    <row r="29" spans="1:11" ht="18" customHeight="1">
      <c r="A29" s="3281">
        <v>24</v>
      </c>
      <c r="B29" s="3279" t="s">
        <v>3203</v>
      </c>
      <c r="C29" s="3241" t="s">
        <v>3239</v>
      </c>
      <c r="D29" s="3241" t="s">
        <v>3205</v>
      </c>
      <c r="E29" s="3236" t="s">
        <v>3206</v>
      </c>
      <c r="F29" s="3241" t="s">
        <v>3207</v>
      </c>
      <c r="G29" s="3241" t="s">
        <v>3218</v>
      </c>
      <c r="H29" s="3439" t="s">
        <v>3215</v>
      </c>
      <c r="I29" s="3440" t="s">
        <v>3215</v>
      </c>
      <c r="J29" s="3242" t="s">
        <v>3216</v>
      </c>
      <c r="K29" s="3243">
        <v>420.29</v>
      </c>
    </row>
    <row r="30" spans="1:11" ht="18" customHeight="1">
      <c r="A30" s="3281">
        <v>25</v>
      </c>
      <c r="B30" s="3279" t="s">
        <v>3203</v>
      </c>
      <c r="C30" s="3241" t="s">
        <v>3240</v>
      </c>
      <c r="D30" s="3241" t="s">
        <v>3205</v>
      </c>
      <c r="E30" s="3236" t="s">
        <v>3206</v>
      </c>
      <c r="F30" s="3241" t="s">
        <v>3207</v>
      </c>
      <c r="G30" s="3241" t="s">
        <v>3218</v>
      </c>
      <c r="H30" s="3439" t="s">
        <v>3215</v>
      </c>
      <c r="I30" s="3440" t="s">
        <v>3215</v>
      </c>
      <c r="J30" s="3242" t="s">
        <v>3216</v>
      </c>
      <c r="K30" s="3243">
        <v>661.19</v>
      </c>
    </row>
    <row r="31" spans="1:11" ht="18" customHeight="1">
      <c r="A31" s="3281">
        <v>26</v>
      </c>
      <c r="B31" s="3279" t="s">
        <v>3203</v>
      </c>
      <c r="C31" s="3241" t="s">
        <v>3241</v>
      </c>
      <c r="D31" s="3241" t="s">
        <v>3205</v>
      </c>
      <c r="E31" s="3236" t="s">
        <v>3206</v>
      </c>
      <c r="F31" s="3241" t="s">
        <v>3207</v>
      </c>
      <c r="G31" s="3241" t="s">
        <v>3208</v>
      </c>
      <c r="H31" s="3439" t="s">
        <v>3215</v>
      </c>
      <c r="I31" s="3440" t="s">
        <v>3215</v>
      </c>
      <c r="J31" s="3242" t="s">
        <v>3210</v>
      </c>
      <c r="K31" s="3243">
        <v>44.66</v>
      </c>
    </row>
    <row r="32" spans="1:11" ht="18" customHeight="1">
      <c r="A32" s="3281">
        <v>27</v>
      </c>
      <c r="B32" s="3279" t="s">
        <v>3203</v>
      </c>
      <c r="C32" s="3241" t="s">
        <v>3242</v>
      </c>
      <c r="D32" s="3241" t="s">
        <v>3205</v>
      </c>
      <c r="E32" s="3236" t="s">
        <v>3206</v>
      </c>
      <c r="F32" s="3241" t="s">
        <v>3207</v>
      </c>
      <c r="G32" s="3241" t="s">
        <v>3214</v>
      </c>
      <c r="H32" s="3439" t="s">
        <v>3215</v>
      </c>
      <c r="I32" s="3440" t="s">
        <v>3215</v>
      </c>
      <c r="J32" s="3242" t="s">
        <v>3216</v>
      </c>
      <c r="K32" s="3243">
        <v>256.01</v>
      </c>
    </row>
    <row r="33" spans="1:11" ht="18" customHeight="1">
      <c r="A33" s="3281">
        <v>28</v>
      </c>
      <c r="B33" s="3279" t="s">
        <v>3203</v>
      </c>
      <c r="C33" s="3241" t="s">
        <v>3243</v>
      </c>
      <c r="D33" s="3241" t="s">
        <v>3205</v>
      </c>
      <c r="E33" s="3236" t="s">
        <v>3206</v>
      </c>
      <c r="F33" s="3241" t="s">
        <v>3207</v>
      </c>
      <c r="G33" s="3241" t="s">
        <v>3218</v>
      </c>
      <c r="H33" s="3439" t="s">
        <v>3215</v>
      </c>
      <c r="I33" s="3440" t="s">
        <v>3215</v>
      </c>
      <c r="J33" s="3242" t="s">
        <v>3216</v>
      </c>
      <c r="K33" s="3243">
        <v>518.20000000000005</v>
      </c>
    </row>
    <row r="34" spans="1:11" ht="18" customHeight="1">
      <c r="A34" s="3281">
        <v>29</v>
      </c>
      <c r="B34" s="3279" t="s">
        <v>3203</v>
      </c>
      <c r="C34" s="3241" t="s">
        <v>3244</v>
      </c>
      <c r="D34" s="3241" t="s">
        <v>3205</v>
      </c>
      <c r="E34" s="3236" t="s">
        <v>3206</v>
      </c>
      <c r="F34" s="3241" t="s">
        <v>3207</v>
      </c>
      <c r="G34" s="3241" t="s">
        <v>3212</v>
      </c>
      <c r="H34" s="3439" t="s">
        <v>3215</v>
      </c>
      <c r="I34" s="3440" t="s">
        <v>3215</v>
      </c>
      <c r="J34" s="3242" t="s">
        <v>3210</v>
      </c>
      <c r="K34" s="3243">
        <v>212.8</v>
      </c>
    </row>
    <row r="35" spans="1:11" ht="18" customHeight="1">
      <c r="A35" s="3281">
        <v>30</v>
      </c>
      <c r="B35" s="3279" t="s">
        <v>3203</v>
      </c>
      <c r="C35" s="3241" t="s">
        <v>3245</v>
      </c>
      <c r="D35" s="3241" t="s">
        <v>3205</v>
      </c>
      <c r="E35" s="3236" t="s">
        <v>3206</v>
      </c>
      <c r="F35" s="3241" t="s">
        <v>3207</v>
      </c>
      <c r="G35" s="3241" t="s">
        <v>3208</v>
      </c>
      <c r="H35" s="3439" t="s">
        <v>3215</v>
      </c>
      <c r="I35" s="3440" t="s">
        <v>3215</v>
      </c>
      <c r="J35" s="3242" t="s">
        <v>3210</v>
      </c>
      <c r="K35" s="3243">
        <v>99.66</v>
      </c>
    </row>
    <row r="36" spans="1:11" ht="18" customHeight="1">
      <c r="A36" s="3281">
        <v>31</v>
      </c>
      <c r="B36" s="3279" t="s">
        <v>3203</v>
      </c>
      <c r="C36" s="3241" t="s">
        <v>3246</v>
      </c>
      <c r="D36" s="3241" t="s">
        <v>3205</v>
      </c>
      <c r="E36" s="3236" t="s">
        <v>3206</v>
      </c>
      <c r="F36" s="3241" t="s">
        <v>3207</v>
      </c>
      <c r="G36" s="3241" t="s">
        <v>3218</v>
      </c>
      <c r="H36" s="3439" t="s">
        <v>3215</v>
      </c>
      <c r="I36" s="3440" t="s">
        <v>3215</v>
      </c>
      <c r="J36" s="3242" t="s">
        <v>3216</v>
      </c>
      <c r="K36" s="3243">
        <v>591.23</v>
      </c>
    </row>
    <row r="37" spans="1:11" ht="18" customHeight="1">
      <c r="A37" s="3281">
        <v>32</v>
      </c>
      <c r="B37" s="3279" t="s">
        <v>3203</v>
      </c>
      <c r="C37" s="3241" t="s">
        <v>3247</v>
      </c>
      <c r="D37" s="3241" t="s">
        <v>3205</v>
      </c>
      <c r="E37" s="3236" t="s">
        <v>3206</v>
      </c>
      <c r="F37" s="3241" t="s">
        <v>3207</v>
      </c>
      <c r="G37" s="3241" t="s">
        <v>3218</v>
      </c>
      <c r="H37" s="3439" t="s">
        <v>3215</v>
      </c>
      <c r="I37" s="3440" t="s">
        <v>3215</v>
      </c>
      <c r="J37" s="3242" t="s">
        <v>3216</v>
      </c>
      <c r="K37" s="3243">
        <v>505.86</v>
      </c>
    </row>
    <row r="38" spans="1:11" ht="18" customHeight="1">
      <c r="A38" s="3281">
        <v>33</v>
      </c>
      <c r="B38" s="3279" t="s">
        <v>3203</v>
      </c>
      <c r="C38" s="3241" t="s">
        <v>3248</v>
      </c>
      <c r="D38" s="3241" t="s">
        <v>3205</v>
      </c>
      <c r="E38" s="3236" t="s">
        <v>3206</v>
      </c>
      <c r="F38" s="3241" t="s">
        <v>3207</v>
      </c>
      <c r="G38" s="3241" t="s">
        <v>3218</v>
      </c>
      <c r="H38" s="3439" t="s">
        <v>3215</v>
      </c>
      <c r="I38" s="3440" t="s">
        <v>3215</v>
      </c>
      <c r="J38" s="3242" t="s">
        <v>3216</v>
      </c>
      <c r="K38" s="3243">
        <v>377.78</v>
      </c>
    </row>
    <row r="39" spans="1:11" ht="18" customHeight="1">
      <c r="A39" s="3281">
        <v>34</v>
      </c>
      <c r="B39" s="3279" t="s">
        <v>3203</v>
      </c>
      <c r="C39" s="3241" t="s">
        <v>3249</v>
      </c>
      <c r="D39" s="3241" t="s">
        <v>3205</v>
      </c>
      <c r="E39" s="3236" t="s">
        <v>3206</v>
      </c>
      <c r="F39" s="3241" t="s">
        <v>3207</v>
      </c>
      <c r="G39" s="3241" t="s">
        <v>3218</v>
      </c>
      <c r="H39" s="3439" t="s">
        <v>3215</v>
      </c>
      <c r="I39" s="3440" t="s">
        <v>3215</v>
      </c>
      <c r="J39" s="3242" t="s">
        <v>3216</v>
      </c>
      <c r="K39" s="3243">
        <v>407.26</v>
      </c>
    </row>
    <row r="40" spans="1:11" ht="18" customHeight="1">
      <c r="A40" s="3281">
        <v>35</v>
      </c>
      <c r="B40" s="3279" t="s">
        <v>3203</v>
      </c>
      <c r="C40" s="3241" t="s">
        <v>3250</v>
      </c>
      <c r="D40" s="3241" t="s">
        <v>3205</v>
      </c>
      <c r="E40" s="3236" t="s">
        <v>3206</v>
      </c>
      <c r="F40" s="3241" t="s">
        <v>3207</v>
      </c>
      <c r="G40" s="3241" t="s">
        <v>3208</v>
      </c>
      <c r="H40" s="3439" t="s">
        <v>3215</v>
      </c>
      <c r="I40" s="3440" t="s">
        <v>3215</v>
      </c>
      <c r="J40" s="3242" t="s">
        <v>3210</v>
      </c>
      <c r="K40" s="3243">
        <v>98.64</v>
      </c>
    </row>
    <row r="41" spans="1:11" ht="18" customHeight="1">
      <c r="A41" s="3281">
        <v>36</v>
      </c>
      <c r="B41" s="3279" t="s">
        <v>3203</v>
      </c>
      <c r="C41" s="3241" t="s">
        <v>3251</v>
      </c>
      <c r="D41" s="3241" t="s">
        <v>3205</v>
      </c>
      <c r="E41" s="3236" t="s">
        <v>3206</v>
      </c>
      <c r="F41" s="3241" t="s">
        <v>3207</v>
      </c>
      <c r="G41" s="3241" t="s">
        <v>3218</v>
      </c>
      <c r="H41" s="3439" t="s">
        <v>3215</v>
      </c>
      <c r="I41" s="3440" t="s">
        <v>3215</v>
      </c>
      <c r="J41" s="3242" t="s">
        <v>3216</v>
      </c>
      <c r="K41" s="3243">
        <v>474.47</v>
      </c>
    </row>
    <row r="42" spans="1:11" ht="18" customHeight="1">
      <c r="A42" s="3281">
        <v>37</v>
      </c>
      <c r="B42" s="3279" t="s">
        <v>3203</v>
      </c>
      <c r="C42" s="3241" t="s">
        <v>3252</v>
      </c>
      <c r="D42" s="3241" t="s">
        <v>3205</v>
      </c>
      <c r="E42" s="3236" t="s">
        <v>3206</v>
      </c>
      <c r="F42" s="3241" t="s">
        <v>3207</v>
      </c>
      <c r="G42" s="3241" t="s">
        <v>3214</v>
      </c>
      <c r="H42" s="3439" t="s">
        <v>3215</v>
      </c>
      <c r="I42" s="3440" t="s">
        <v>3215</v>
      </c>
      <c r="J42" s="3242" t="s">
        <v>3216</v>
      </c>
      <c r="K42" s="3243">
        <v>246.11</v>
      </c>
    </row>
    <row r="43" spans="1:11" ht="18" customHeight="1">
      <c r="A43" s="3281">
        <v>38</v>
      </c>
      <c r="B43" s="3279" t="s">
        <v>3203</v>
      </c>
      <c r="C43" s="3241" t="s">
        <v>3253</v>
      </c>
      <c r="D43" s="3241" t="s">
        <v>3205</v>
      </c>
      <c r="E43" s="3236" t="s">
        <v>3206</v>
      </c>
      <c r="F43" s="3241" t="s">
        <v>3207</v>
      </c>
      <c r="G43" s="3241" t="s">
        <v>3218</v>
      </c>
      <c r="H43" s="3439" t="s">
        <v>3215</v>
      </c>
      <c r="I43" s="3440" t="s">
        <v>3215</v>
      </c>
      <c r="J43" s="3242" t="s">
        <v>3216</v>
      </c>
      <c r="K43" s="3243">
        <v>783.51</v>
      </c>
    </row>
    <row r="44" spans="1:11" ht="18" customHeight="1">
      <c r="A44" s="3281">
        <v>39</v>
      </c>
      <c r="B44" s="3279" t="s">
        <v>3203</v>
      </c>
      <c r="C44" s="3241" t="s">
        <v>3254</v>
      </c>
      <c r="D44" s="3241" t="s">
        <v>3205</v>
      </c>
      <c r="E44" s="3236" t="s">
        <v>3206</v>
      </c>
      <c r="F44" s="3241" t="s">
        <v>3207</v>
      </c>
      <c r="G44" s="3241" t="s">
        <v>3208</v>
      </c>
      <c r="H44" s="3439" t="s">
        <v>3215</v>
      </c>
      <c r="I44" s="3440" t="s">
        <v>3215</v>
      </c>
      <c r="J44" s="3242" t="s">
        <v>3210</v>
      </c>
      <c r="K44" s="3243">
        <v>130.15</v>
      </c>
    </row>
    <row r="45" spans="1:11" ht="18" customHeight="1">
      <c r="A45" s="3281">
        <v>40</v>
      </c>
      <c r="B45" s="3279" t="s">
        <v>3203</v>
      </c>
      <c r="C45" s="3241" t="s">
        <v>3255</v>
      </c>
      <c r="D45" s="3241" t="s">
        <v>3205</v>
      </c>
      <c r="E45" s="3236" t="s">
        <v>3206</v>
      </c>
      <c r="F45" s="3241" t="s">
        <v>3207</v>
      </c>
      <c r="G45" s="3241" t="s">
        <v>3218</v>
      </c>
      <c r="H45" s="3439" t="s">
        <v>3215</v>
      </c>
      <c r="I45" s="3440" t="s">
        <v>3215</v>
      </c>
      <c r="J45" s="3242" t="s">
        <v>3216</v>
      </c>
      <c r="K45" s="3243">
        <v>527.45000000000005</v>
      </c>
    </row>
    <row r="46" spans="1:11" ht="18" customHeight="1">
      <c r="A46" s="3281">
        <v>41</v>
      </c>
      <c r="B46" s="3279" t="s">
        <v>3203</v>
      </c>
      <c r="C46" s="3241" t="s">
        <v>3256</v>
      </c>
      <c r="D46" s="3241" t="s">
        <v>3205</v>
      </c>
      <c r="E46" s="3236" t="s">
        <v>3206</v>
      </c>
      <c r="F46" s="3241" t="s">
        <v>3207</v>
      </c>
      <c r="G46" s="3241" t="s">
        <v>3218</v>
      </c>
      <c r="H46" s="3439" t="s">
        <v>3215</v>
      </c>
      <c r="I46" s="3440" t="s">
        <v>3215</v>
      </c>
      <c r="J46" s="3242" t="s">
        <v>3216</v>
      </c>
      <c r="K46" s="3243">
        <v>394.7</v>
      </c>
    </row>
    <row r="47" spans="1:11" ht="18" customHeight="1">
      <c r="A47" s="3281">
        <v>42</v>
      </c>
      <c r="B47" s="3279" t="s">
        <v>3203</v>
      </c>
      <c r="C47" s="3241" t="s">
        <v>3257</v>
      </c>
      <c r="D47" s="3241" t="s">
        <v>3205</v>
      </c>
      <c r="E47" s="3236" t="s">
        <v>3206</v>
      </c>
      <c r="F47" s="3241" t="s">
        <v>3207</v>
      </c>
      <c r="G47" s="3241" t="s">
        <v>3218</v>
      </c>
      <c r="H47" s="3439" t="s">
        <v>3215</v>
      </c>
      <c r="I47" s="3440" t="s">
        <v>3215</v>
      </c>
      <c r="J47" s="3242" t="s">
        <v>3216</v>
      </c>
      <c r="K47" s="3243">
        <v>421.99</v>
      </c>
    </row>
    <row r="48" spans="1:11" ht="18" customHeight="1">
      <c r="A48" s="3281">
        <v>43</v>
      </c>
      <c r="B48" s="3279" t="s">
        <v>3203</v>
      </c>
      <c r="C48" s="3241" t="s">
        <v>3258</v>
      </c>
      <c r="D48" s="3241" t="s">
        <v>3205</v>
      </c>
      <c r="E48" s="3236" t="s">
        <v>3206</v>
      </c>
      <c r="F48" s="3241" t="s">
        <v>3207</v>
      </c>
      <c r="G48" s="3241" t="s">
        <v>3218</v>
      </c>
      <c r="H48" s="3439" t="s">
        <v>3215</v>
      </c>
      <c r="I48" s="3440" t="s">
        <v>3215</v>
      </c>
      <c r="J48" s="3242" t="s">
        <v>3216</v>
      </c>
      <c r="K48" s="3243">
        <v>510.85</v>
      </c>
    </row>
    <row r="49" spans="1:11" ht="18" customHeight="1">
      <c r="A49" s="3281">
        <v>44</v>
      </c>
      <c r="B49" s="3279" t="s">
        <v>3203</v>
      </c>
      <c r="C49" s="3241" t="s">
        <v>3259</v>
      </c>
      <c r="D49" s="3241" t="s">
        <v>3205</v>
      </c>
      <c r="E49" s="3236" t="s">
        <v>3206</v>
      </c>
      <c r="F49" s="3241" t="s">
        <v>3207</v>
      </c>
      <c r="G49" s="3241" t="s">
        <v>3218</v>
      </c>
      <c r="H49" s="3439" t="s">
        <v>3215</v>
      </c>
      <c r="I49" s="3440" t="s">
        <v>3215</v>
      </c>
      <c r="J49" s="3242" t="s">
        <v>3216</v>
      </c>
      <c r="K49" s="3243">
        <v>535.24</v>
      </c>
    </row>
    <row r="50" spans="1:11" ht="18" customHeight="1">
      <c r="A50" s="3281">
        <v>45</v>
      </c>
      <c r="B50" s="3279" t="s">
        <v>3203</v>
      </c>
      <c r="C50" s="3241" t="s">
        <v>3260</v>
      </c>
      <c r="D50" s="3241" t="s">
        <v>3205</v>
      </c>
      <c r="E50" s="3236" t="s">
        <v>3206</v>
      </c>
      <c r="F50" s="3241" t="s">
        <v>3207</v>
      </c>
      <c r="G50" s="3241" t="s">
        <v>3218</v>
      </c>
      <c r="H50" s="3439" t="s">
        <v>3215</v>
      </c>
      <c r="I50" s="3440" t="s">
        <v>3215</v>
      </c>
      <c r="J50" s="3242" t="s">
        <v>3216</v>
      </c>
      <c r="K50" s="3243">
        <v>592.12</v>
      </c>
    </row>
    <row r="51" spans="1:11" ht="18" customHeight="1">
      <c r="A51" s="3281">
        <v>46</v>
      </c>
      <c r="B51" s="3279" t="s">
        <v>3203</v>
      </c>
      <c r="C51" s="3241" t="s">
        <v>3261</v>
      </c>
      <c r="D51" s="3241" t="s">
        <v>3205</v>
      </c>
      <c r="E51" s="3236" t="s">
        <v>3206</v>
      </c>
      <c r="F51" s="3241" t="s">
        <v>3207</v>
      </c>
      <c r="G51" s="3241" t="s">
        <v>3208</v>
      </c>
      <c r="H51" s="3439" t="s">
        <v>3215</v>
      </c>
      <c r="I51" s="3440" t="s">
        <v>3215</v>
      </c>
      <c r="J51" s="3242" t="s">
        <v>3210</v>
      </c>
      <c r="K51" s="3243">
        <v>87.24</v>
      </c>
    </row>
    <row r="52" spans="1:11" ht="18" customHeight="1">
      <c r="A52" s="3281">
        <v>47</v>
      </c>
      <c r="B52" s="3279" t="s">
        <v>3203</v>
      </c>
      <c r="C52" s="3241" t="s">
        <v>3262</v>
      </c>
      <c r="D52" s="3241" t="s">
        <v>3205</v>
      </c>
      <c r="E52" s="3236" t="s">
        <v>3206</v>
      </c>
      <c r="F52" s="3241" t="s">
        <v>3207</v>
      </c>
      <c r="G52" s="3241" t="s">
        <v>3208</v>
      </c>
      <c r="H52" s="3439" t="s">
        <v>3215</v>
      </c>
      <c r="I52" s="3440" t="s">
        <v>3215</v>
      </c>
      <c r="J52" s="3242" t="s">
        <v>3210</v>
      </c>
      <c r="K52" s="3243">
        <v>95.97</v>
      </c>
    </row>
    <row r="53" spans="1:11" ht="18" customHeight="1">
      <c r="A53" s="3281">
        <v>48</v>
      </c>
      <c r="B53" s="3279" t="s">
        <v>3203</v>
      </c>
      <c r="C53" s="3241" t="s">
        <v>3263</v>
      </c>
      <c r="D53" s="3241" t="s">
        <v>3205</v>
      </c>
      <c r="E53" s="3236" t="s">
        <v>3206</v>
      </c>
      <c r="F53" s="3241" t="s">
        <v>3207</v>
      </c>
      <c r="G53" s="3241" t="s">
        <v>3208</v>
      </c>
      <c r="H53" s="3439" t="s">
        <v>3215</v>
      </c>
      <c r="I53" s="3440" t="s">
        <v>3215</v>
      </c>
      <c r="J53" s="3242" t="s">
        <v>3210</v>
      </c>
      <c r="K53" s="3243">
        <v>113.21</v>
      </c>
    </row>
    <row r="54" spans="1:11" ht="18" customHeight="1">
      <c r="A54" s="3281">
        <v>49</v>
      </c>
      <c r="B54" s="3279" t="s">
        <v>3203</v>
      </c>
      <c r="C54" s="3241" t="s">
        <v>3264</v>
      </c>
      <c r="D54" s="3241" t="s">
        <v>3205</v>
      </c>
      <c r="E54" s="3236" t="s">
        <v>3206</v>
      </c>
      <c r="F54" s="3241" t="s">
        <v>3207</v>
      </c>
      <c r="G54" s="3241" t="s">
        <v>3208</v>
      </c>
      <c r="H54" s="3439" t="s">
        <v>3215</v>
      </c>
      <c r="I54" s="3440" t="s">
        <v>3215</v>
      </c>
      <c r="J54" s="3242" t="s">
        <v>3210</v>
      </c>
      <c r="K54" s="3243">
        <v>89.7</v>
      </c>
    </row>
    <row r="55" spans="1:11" ht="18" customHeight="1">
      <c r="A55" s="3281">
        <v>50</v>
      </c>
      <c r="B55" s="3279" t="s">
        <v>3203</v>
      </c>
      <c r="C55" s="3241" t="s">
        <v>3265</v>
      </c>
      <c r="D55" s="3241" t="s">
        <v>3205</v>
      </c>
      <c r="E55" s="3236" t="s">
        <v>3206</v>
      </c>
      <c r="F55" s="3241" t="s">
        <v>3207</v>
      </c>
      <c r="G55" s="3241" t="s">
        <v>3214</v>
      </c>
      <c r="H55" s="3439" t="s">
        <v>3215</v>
      </c>
      <c r="I55" s="3440" t="s">
        <v>3215</v>
      </c>
      <c r="J55" s="3242" t="s">
        <v>3216</v>
      </c>
      <c r="K55" s="3243">
        <v>333.81</v>
      </c>
    </row>
    <row r="56" spans="1:11" ht="18" customHeight="1">
      <c r="A56" s="3281">
        <v>51</v>
      </c>
      <c r="B56" s="3279" t="s">
        <v>3203</v>
      </c>
      <c r="C56" s="3241" t="s">
        <v>3266</v>
      </c>
      <c r="D56" s="3241" t="s">
        <v>3205</v>
      </c>
      <c r="E56" s="3236" t="s">
        <v>3206</v>
      </c>
      <c r="F56" s="3241" t="s">
        <v>3207</v>
      </c>
      <c r="G56" s="3241" t="s">
        <v>3218</v>
      </c>
      <c r="H56" s="3439" t="s">
        <v>3215</v>
      </c>
      <c r="I56" s="3440" t="s">
        <v>3215</v>
      </c>
      <c r="J56" s="3242" t="s">
        <v>3216</v>
      </c>
      <c r="K56" s="3243">
        <v>384.18</v>
      </c>
    </row>
    <row r="57" spans="1:11" ht="18" customHeight="1">
      <c r="A57" s="3281">
        <v>52</v>
      </c>
      <c r="B57" s="3279" t="s">
        <v>3203</v>
      </c>
      <c r="C57" s="3241" t="s">
        <v>3267</v>
      </c>
      <c r="D57" s="3241" t="s">
        <v>3205</v>
      </c>
      <c r="E57" s="3236" t="s">
        <v>3206</v>
      </c>
      <c r="F57" s="3241" t="s">
        <v>3207</v>
      </c>
      <c r="G57" s="3241" t="s">
        <v>3218</v>
      </c>
      <c r="H57" s="3439" t="s">
        <v>3215</v>
      </c>
      <c r="I57" s="3440" t="s">
        <v>3215</v>
      </c>
      <c r="J57" s="3242" t="s">
        <v>3216</v>
      </c>
      <c r="K57" s="3243">
        <v>476.15</v>
      </c>
    </row>
    <row r="58" spans="1:11" ht="18" customHeight="1">
      <c r="A58" s="3281">
        <v>53</v>
      </c>
      <c r="B58" s="3279" t="s">
        <v>3203</v>
      </c>
      <c r="C58" s="3241" t="s">
        <v>3268</v>
      </c>
      <c r="D58" s="3241" t="s">
        <v>3205</v>
      </c>
      <c r="E58" s="3236" t="s">
        <v>3206</v>
      </c>
      <c r="F58" s="3241" t="s">
        <v>3207</v>
      </c>
      <c r="G58" s="3241" t="s">
        <v>3214</v>
      </c>
      <c r="H58" s="3439" t="s">
        <v>3215</v>
      </c>
      <c r="I58" s="3440" t="s">
        <v>3215</v>
      </c>
      <c r="J58" s="3242" t="s">
        <v>3216</v>
      </c>
      <c r="K58" s="3243">
        <v>409.69</v>
      </c>
    </row>
    <row r="59" spans="1:11" ht="18" customHeight="1">
      <c r="A59" s="3281">
        <v>54</v>
      </c>
      <c r="B59" s="3279" t="s">
        <v>3203</v>
      </c>
      <c r="C59" s="3241" t="s">
        <v>3269</v>
      </c>
      <c r="D59" s="3241" t="s">
        <v>3205</v>
      </c>
      <c r="E59" s="3236" t="s">
        <v>3206</v>
      </c>
      <c r="F59" s="3241" t="s">
        <v>3207</v>
      </c>
      <c r="G59" s="3241" t="s">
        <v>3214</v>
      </c>
      <c r="H59" s="3439" t="s">
        <v>3215</v>
      </c>
      <c r="I59" s="3440" t="s">
        <v>3215</v>
      </c>
      <c r="J59" s="3242" t="s">
        <v>3216</v>
      </c>
      <c r="K59" s="3243">
        <v>311.77999999999997</v>
      </c>
    </row>
    <row r="60" spans="1:11" ht="18" customHeight="1">
      <c r="A60" s="3281">
        <v>55</v>
      </c>
      <c r="B60" s="3279" t="s">
        <v>3203</v>
      </c>
      <c r="C60" s="3241" t="s">
        <v>3270</v>
      </c>
      <c r="D60" s="3241" t="s">
        <v>3205</v>
      </c>
      <c r="E60" s="3236" t="s">
        <v>3206</v>
      </c>
      <c r="F60" s="3241" t="s">
        <v>3207</v>
      </c>
      <c r="G60" s="3241" t="s">
        <v>3208</v>
      </c>
      <c r="H60" s="3439" t="s">
        <v>3215</v>
      </c>
      <c r="I60" s="3440" t="s">
        <v>3215</v>
      </c>
      <c r="J60" s="3242" t="s">
        <v>3210</v>
      </c>
      <c r="K60" s="3243">
        <v>78.790000000000006</v>
      </c>
    </row>
    <row r="61" spans="1:11" ht="18" customHeight="1">
      <c r="A61" s="3281">
        <v>56</v>
      </c>
      <c r="B61" s="3279" t="s">
        <v>3203</v>
      </c>
      <c r="C61" s="3241" t="s">
        <v>3271</v>
      </c>
      <c r="D61" s="3241" t="s">
        <v>3205</v>
      </c>
      <c r="E61" s="3236" t="s">
        <v>3206</v>
      </c>
      <c r="F61" s="3241" t="s">
        <v>3207</v>
      </c>
      <c r="G61" s="3241" t="s">
        <v>3208</v>
      </c>
      <c r="H61" s="3439" t="s">
        <v>3215</v>
      </c>
      <c r="I61" s="3440" t="s">
        <v>3215</v>
      </c>
      <c r="J61" s="3242" t="s">
        <v>3210</v>
      </c>
      <c r="K61" s="3243">
        <v>25.9</v>
      </c>
    </row>
    <row r="62" spans="1:11" ht="18" customHeight="1">
      <c r="A62" s="3281">
        <v>57</v>
      </c>
      <c r="B62" s="3279" t="s">
        <v>3203</v>
      </c>
      <c r="C62" s="3241" t="s">
        <v>3272</v>
      </c>
      <c r="D62" s="3241" t="s">
        <v>3205</v>
      </c>
      <c r="E62" s="3236" t="s">
        <v>3206</v>
      </c>
      <c r="F62" s="3241" t="s">
        <v>3207</v>
      </c>
      <c r="G62" s="3241" t="s">
        <v>3214</v>
      </c>
      <c r="H62" s="3439" t="s">
        <v>3215</v>
      </c>
      <c r="I62" s="3440" t="s">
        <v>3215</v>
      </c>
      <c r="J62" s="3242" t="s">
        <v>3216</v>
      </c>
      <c r="K62" s="3243">
        <v>319.14</v>
      </c>
    </row>
    <row r="63" spans="1:11" ht="18" customHeight="1">
      <c r="A63" s="3281">
        <v>58</v>
      </c>
      <c r="B63" s="3279" t="s">
        <v>3203</v>
      </c>
      <c r="C63" s="3241" t="s">
        <v>3273</v>
      </c>
      <c r="D63" s="3241" t="s">
        <v>3205</v>
      </c>
      <c r="E63" s="3236" t="s">
        <v>3206</v>
      </c>
      <c r="F63" s="3241" t="s">
        <v>3207</v>
      </c>
      <c r="G63" s="3241" t="s">
        <v>3218</v>
      </c>
      <c r="H63" s="3439" t="s">
        <v>3215</v>
      </c>
      <c r="I63" s="3440" t="s">
        <v>3215</v>
      </c>
      <c r="J63" s="3242" t="s">
        <v>3216</v>
      </c>
      <c r="K63" s="3243">
        <v>490.81</v>
      </c>
    </row>
    <row r="64" spans="1:11" ht="18" customHeight="1">
      <c r="A64" s="3281">
        <v>59</v>
      </c>
      <c r="B64" s="3279" t="s">
        <v>3203</v>
      </c>
      <c r="C64" s="3241" t="s">
        <v>3274</v>
      </c>
      <c r="D64" s="3241" t="s">
        <v>3205</v>
      </c>
      <c r="E64" s="3236" t="s">
        <v>3206</v>
      </c>
      <c r="F64" s="3241" t="s">
        <v>3207</v>
      </c>
      <c r="G64" s="3241" t="s">
        <v>3212</v>
      </c>
      <c r="H64" s="3439" t="s">
        <v>3215</v>
      </c>
      <c r="I64" s="3440" t="s">
        <v>3215</v>
      </c>
      <c r="J64" s="3242" t="s">
        <v>3210</v>
      </c>
      <c r="K64" s="3243">
        <v>103.5</v>
      </c>
    </row>
    <row r="65" spans="1:11" ht="18" customHeight="1">
      <c r="A65" s="3281">
        <v>60</v>
      </c>
      <c r="B65" s="3279" t="s">
        <v>3203</v>
      </c>
      <c r="C65" s="3241" t="s">
        <v>3275</v>
      </c>
      <c r="D65" s="3241" t="s">
        <v>3205</v>
      </c>
      <c r="E65" s="3236" t="s">
        <v>3206</v>
      </c>
      <c r="F65" s="3241" t="s">
        <v>3207</v>
      </c>
      <c r="G65" s="3241" t="s">
        <v>3218</v>
      </c>
      <c r="H65" s="3439" t="s">
        <v>3215</v>
      </c>
      <c r="I65" s="3440" t="s">
        <v>3215</v>
      </c>
      <c r="J65" s="3242" t="s">
        <v>3216</v>
      </c>
      <c r="K65" s="3243">
        <v>447.47</v>
      </c>
    </row>
    <row r="66" spans="1:11" ht="18" customHeight="1">
      <c r="A66" s="3281">
        <v>61</v>
      </c>
      <c r="B66" s="3279" t="s">
        <v>3203</v>
      </c>
      <c r="C66" s="3241" t="s">
        <v>3276</v>
      </c>
      <c r="D66" s="3241" t="s">
        <v>3205</v>
      </c>
      <c r="E66" s="3236" t="s">
        <v>3206</v>
      </c>
      <c r="F66" s="3241" t="s">
        <v>3207</v>
      </c>
      <c r="G66" s="3241" t="s">
        <v>3212</v>
      </c>
      <c r="H66" s="3439" t="s">
        <v>3215</v>
      </c>
      <c r="I66" s="3440" t="s">
        <v>3215</v>
      </c>
      <c r="J66" s="3242" t="s">
        <v>3210</v>
      </c>
      <c r="K66" s="3243">
        <v>89.05</v>
      </c>
    </row>
    <row r="67" spans="1:11" ht="18" customHeight="1">
      <c r="A67" s="3281">
        <v>62</v>
      </c>
      <c r="B67" s="3279" t="s">
        <v>3203</v>
      </c>
      <c r="C67" s="3241" t="s">
        <v>3277</v>
      </c>
      <c r="D67" s="3241" t="s">
        <v>3205</v>
      </c>
      <c r="E67" s="3236" t="s">
        <v>3206</v>
      </c>
      <c r="F67" s="3241" t="s">
        <v>3207</v>
      </c>
      <c r="G67" s="3241" t="s">
        <v>3218</v>
      </c>
      <c r="H67" s="3439" t="s">
        <v>3215</v>
      </c>
      <c r="I67" s="3440" t="s">
        <v>3215</v>
      </c>
      <c r="J67" s="3242" t="s">
        <v>3216</v>
      </c>
      <c r="K67" s="3243">
        <v>405.33</v>
      </c>
    </row>
    <row r="68" spans="1:11" ht="18" customHeight="1">
      <c r="A68" s="3281">
        <v>63</v>
      </c>
      <c r="B68" s="3279" t="s">
        <v>3203</v>
      </c>
      <c r="C68" s="3241" t="s">
        <v>3278</v>
      </c>
      <c r="D68" s="3241" t="s">
        <v>3205</v>
      </c>
      <c r="E68" s="3236" t="s">
        <v>3206</v>
      </c>
      <c r="F68" s="3241" t="s">
        <v>3207</v>
      </c>
      <c r="G68" s="3241" t="s">
        <v>3208</v>
      </c>
      <c r="H68" s="3439" t="s">
        <v>3215</v>
      </c>
      <c r="I68" s="3440" t="s">
        <v>3215</v>
      </c>
      <c r="J68" s="3242" t="s">
        <v>3210</v>
      </c>
      <c r="K68" s="3243">
        <v>93.66</v>
      </c>
    </row>
    <row r="69" spans="1:11" ht="18" customHeight="1">
      <c r="A69" s="3281">
        <v>64</v>
      </c>
      <c r="B69" s="3279" t="s">
        <v>3203</v>
      </c>
      <c r="C69" s="3241" t="s">
        <v>3279</v>
      </c>
      <c r="D69" s="3241" t="s">
        <v>3205</v>
      </c>
      <c r="E69" s="3236" t="s">
        <v>3206</v>
      </c>
      <c r="F69" s="3241" t="s">
        <v>3207</v>
      </c>
      <c r="G69" s="3241" t="s">
        <v>3218</v>
      </c>
      <c r="H69" s="3439" t="s">
        <v>3215</v>
      </c>
      <c r="I69" s="3440" t="s">
        <v>3215</v>
      </c>
      <c r="J69" s="3242" t="s">
        <v>3216</v>
      </c>
      <c r="K69" s="3243">
        <v>625.47</v>
      </c>
    </row>
    <row r="70" spans="1:11" ht="18" customHeight="1">
      <c r="A70" s="3281">
        <v>65</v>
      </c>
      <c r="B70" s="3279" t="s">
        <v>3203</v>
      </c>
      <c r="C70" s="3241" t="s">
        <v>3280</v>
      </c>
      <c r="D70" s="3241" t="s">
        <v>3205</v>
      </c>
      <c r="E70" s="3236" t="s">
        <v>3206</v>
      </c>
      <c r="F70" s="3241" t="s">
        <v>3207</v>
      </c>
      <c r="G70" s="3241" t="s">
        <v>3218</v>
      </c>
      <c r="H70" s="3439" t="s">
        <v>3215</v>
      </c>
      <c r="I70" s="3440" t="s">
        <v>3215</v>
      </c>
      <c r="J70" s="3242" t="s">
        <v>3216</v>
      </c>
      <c r="K70" s="3243">
        <v>451.73</v>
      </c>
    </row>
    <row r="71" spans="1:11" ht="18" customHeight="1">
      <c r="A71" s="3281">
        <v>66</v>
      </c>
      <c r="B71" s="3279" t="s">
        <v>3203</v>
      </c>
      <c r="C71" s="3241" t="s">
        <v>3281</v>
      </c>
      <c r="D71" s="3241" t="s">
        <v>3205</v>
      </c>
      <c r="E71" s="3236" t="s">
        <v>3206</v>
      </c>
      <c r="F71" s="3241" t="s">
        <v>3207</v>
      </c>
      <c r="G71" s="3241" t="s">
        <v>3208</v>
      </c>
      <c r="H71" s="3439" t="s">
        <v>3215</v>
      </c>
      <c r="I71" s="3440" t="s">
        <v>3215</v>
      </c>
      <c r="J71" s="3242" t="s">
        <v>3210</v>
      </c>
      <c r="K71" s="3243">
        <v>71.02</v>
      </c>
    </row>
    <row r="72" spans="1:11" ht="18" customHeight="1">
      <c r="A72" s="3281">
        <v>67</v>
      </c>
      <c r="B72" s="3279" t="s">
        <v>3203</v>
      </c>
      <c r="C72" s="3241" t="s">
        <v>3282</v>
      </c>
      <c r="D72" s="3241" t="s">
        <v>3205</v>
      </c>
      <c r="E72" s="3236" t="s">
        <v>3206</v>
      </c>
      <c r="F72" s="3241" t="s">
        <v>3207</v>
      </c>
      <c r="G72" s="3241" t="s">
        <v>3214</v>
      </c>
      <c r="H72" s="3439" t="s">
        <v>3215</v>
      </c>
      <c r="I72" s="3440" t="s">
        <v>3215</v>
      </c>
      <c r="J72" s="3242" t="s">
        <v>3216</v>
      </c>
      <c r="K72" s="3243">
        <v>343.28</v>
      </c>
    </row>
    <row r="73" spans="1:11" ht="18" customHeight="1">
      <c r="A73" s="3281">
        <v>68</v>
      </c>
      <c r="B73" s="3279" t="s">
        <v>3203</v>
      </c>
      <c r="C73" s="3241" t="s">
        <v>3283</v>
      </c>
      <c r="D73" s="3241" t="s">
        <v>3205</v>
      </c>
      <c r="E73" s="3236" t="s">
        <v>3206</v>
      </c>
      <c r="F73" s="3241" t="s">
        <v>3207</v>
      </c>
      <c r="G73" s="3241" t="s">
        <v>3208</v>
      </c>
      <c r="H73" s="3439" t="s">
        <v>3215</v>
      </c>
      <c r="I73" s="3440" t="s">
        <v>3215</v>
      </c>
      <c r="J73" s="3242" t="s">
        <v>3210</v>
      </c>
      <c r="K73" s="3243">
        <v>95.75</v>
      </c>
    </row>
    <row r="74" spans="1:11" ht="18" customHeight="1">
      <c r="A74" s="3281">
        <v>69</v>
      </c>
      <c r="B74" s="3279" t="s">
        <v>3203</v>
      </c>
      <c r="C74" s="3241" t="s">
        <v>3284</v>
      </c>
      <c r="D74" s="3241" t="s">
        <v>3205</v>
      </c>
      <c r="E74" s="3236" t="s">
        <v>3206</v>
      </c>
      <c r="F74" s="3241" t="s">
        <v>3207</v>
      </c>
      <c r="G74" s="3241" t="s">
        <v>3218</v>
      </c>
      <c r="H74" s="3439" t="s">
        <v>3215</v>
      </c>
      <c r="I74" s="3440" t="s">
        <v>3215</v>
      </c>
      <c r="J74" s="3242" t="s">
        <v>3216</v>
      </c>
      <c r="K74" s="3243">
        <v>466.39</v>
      </c>
    </row>
    <row r="75" spans="1:11" ht="18" customHeight="1">
      <c r="A75" s="3281">
        <v>70</v>
      </c>
      <c r="B75" s="3279" t="s">
        <v>3203</v>
      </c>
      <c r="C75" s="3241" t="s">
        <v>3285</v>
      </c>
      <c r="D75" s="3241" t="s">
        <v>3205</v>
      </c>
      <c r="E75" s="3236" t="s">
        <v>3206</v>
      </c>
      <c r="F75" s="3241" t="s">
        <v>3207</v>
      </c>
      <c r="G75" s="3241" t="s">
        <v>3218</v>
      </c>
      <c r="H75" s="3439" t="s">
        <v>3215</v>
      </c>
      <c r="I75" s="3440" t="s">
        <v>3215</v>
      </c>
      <c r="J75" s="3242" t="s">
        <v>3216</v>
      </c>
      <c r="K75" s="3243">
        <v>733.79</v>
      </c>
    </row>
    <row r="76" spans="1:11" ht="18" customHeight="1">
      <c r="A76" s="3281">
        <v>71</v>
      </c>
      <c r="B76" s="3279" t="s">
        <v>3203</v>
      </c>
      <c r="C76" s="3241" t="s">
        <v>3286</v>
      </c>
      <c r="D76" s="3241" t="s">
        <v>3205</v>
      </c>
      <c r="E76" s="3236" t="s">
        <v>3206</v>
      </c>
      <c r="F76" s="3241" t="s">
        <v>3207</v>
      </c>
      <c r="G76" s="3241" t="s">
        <v>3214</v>
      </c>
      <c r="H76" s="3439" t="s">
        <v>3215</v>
      </c>
      <c r="I76" s="3440" t="s">
        <v>3215</v>
      </c>
      <c r="J76" s="3242" t="s">
        <v>3216</v>
      </c>
      <c r="K76" s="3243">
        <v>365.22</v>
      </c>
    </row>
    <row r="77" spans="1:11" ht="18" customHeight="1">
      <c r="A77" s="3281">
        <v>72</v>
      </c>
      <c r="B77" s="3279" t="s">
        <v>3203</v>
      </c>
      <c r="C77" s="3241" t="s">
        <v>3287</v>
      </c>
      <c r="D77" s="3241" t="s">
        <v>3205</v>
      </c>
      <c r="E77" s="3236" t="s">
        <v>3206</v>
      </c>
      <c r="F77" s="3241" t="s">
        <v>3207</v>
      </c>
      <c r="G77" s="3241" t="s">
        <v>3208</v>
      </c>
      <c r="H77" s="3439" t="s">
        <v>3215</v>
      </c>
      <c r="I77" s="3440" t="s">
        <v>3215</v>
      </c>
      <c r="J77" s="3242" t="s">
        <v>3210</v>
      </c>
      <c r="K77" s="3243">
        <v>110.93</v>
      </c>
    </row>
    <row r="78" spans="1:11" ht="18" customHeight="1">
      <c r="A78" s="3281">
        <v>73</v>
      </c>
      <c r="B78" s="3279" t="s">
        <v>3203</v>
      </c>
      <c r="C78" s="3241" t="s">
        <v>3288</v>
      </c>
      <c r="D78" s="3241" t="s">
        <v>3205</v>
      </c>
      <c r="E78" s="3236" t="s">
        <v>3206</v>
      </c>
      <c r="F78" s="3241" t="s">
        <v>3207</v>
      </c>
      <c r="G78" s="3241" t="s">
        <v>3218</v>
      </c>
      <c r="H78" s="3439" t="s">
        <v>3215</v>
      </c>
      <c r="I78" s="3440" t="s">
        <v>3215</v>
      </c>
      <c r="J78" s="3242" t="s">
        <v>3216</v>
      </c>
      <c r="K78" s="3243">
        <v>568.88</v>
      </c>
    </row>
    <row r="79" spans="1:11" ht="18" customHeight="1">
      <c r="A79" s="3281">
        <v>74</v>
      </c>
      <c r="B79" s="3279" t="s">
        <v>3203</v>
      </c>
      <c r="C79" s="3241" t="s">
        <v>3289</v>
      </c>
      <c r="D79" s="3241" t="s">
        <v>3205</v>
      </c>
      <c r="E79" s="3236" t="s">
        <v>3206</v>
      </c>
      <c r="F79" s="3241" t="s">
        <v>3207</v>
      </c>
      <c r="G79" s="3241" t="s">
        <v>3214</v>
      </c>
      <c r="H79" s="3439" t="s">
        <v>3215</v>
      </c>
      <c r="I79" s="3440" t="s">
        <v>3215</v>
      </c>
      <c r="J79" s="3242" t="s">
        <v>3216</v>
      </c>
      <c r="K79" s="3243">
        <v>285.13</v>
      </c>
    </row>
    <row r="80" spans="1:11" ht="18" customHeight="1">
      <c r="A80" s="3281">
        <v>75</v>
      </c>
      <c r="B80" s="3279" t="s">
        <v>3203</v>
      </c>
      <c r="C80" s="3241" t="s">
        <v>3290</v>
      </c>
      <c r="D80" s="3241" t="s">
        <v>3205</v>
      </c>
      <c r="E80" s="3236" t="s">
        <v>3206</v>
      </c>
      <c r="F80" s="3241" t="s">
        <v>3207</v>
      </c>
      <c r="G80" s="3241" t="s">
        <v>3214</v>
      </c>
      <c r="H80" s="3439" t="s">
        <v>3215</v>
      </c>
      <c r="I80" s="3440" t="s">
        <v>3215</v>
      </c>
      <c r="J80" s="3242" t="s">
        <v>3216</v>
      </c>
      <c r="K80" s="3243">
        <v>308.47000000000003</v>
      </c>
    </row>
    <row r="81" spans="1:11" ht="18" customHeight="1">
      <c r="A81" s="3281">
        <v>76</v>
      </c>
      <c r="B81" s="3279" t="s">
        <v>3203</v>
      </c>
      <c r="C81" s="3241" t="s">
        <v>3291</v>
      </c>
      <c r="D81" s="3241" t="s">
        <v>3205</v>
      </c>
      <c r="E81" s="3236" t="s">
        <v>3206</v>
      </c>
      <c r="F81" s="3241" t="s">
        <v>3207</v>
      </c>
      <c r="G81" s="3241" t="s">
        <v>3218</v>
      </c>
      <c r="H81" s="3439" t="s">
        <v>3215</v>
      </c>
      <c r="I81" s="3440" t="s">
        <v>3215</v>
      </c>
      <c r="J81" s="3242" t="s">
        <v>3216</v>
      </c>
      <c r="K81" s="3243">
        <v>339.94</v>
      </c>
    </row>
    <row r="82" spans="1:11" ht="18" customHeight="1">
      <c r="A82" s="3281">
        <v>77</v>
      </c>
      <c r="B82" s="3279" t="s">
        <v>3203</v>
      </c>
      <c r="C82" s="3241" t="s">
        <v>3292</v>
      </c>
      <c r="D82" s="3241" t="s">
        <v>3205</v>
      </c>
      <c r="E82" s="3236" t="s">
        <v>3206</v>
      </c>
      <c r="F82" s="3241" t="s">
        <v>3207</v>
      </c>
      <c r="G82" s="3241" t="s">
        <v>3214</v>
      </c>
      <c r="H82" s="3439" t="s">
        <v>3215</v>
      </c>
      <c r="I82" s="3440" t="s">
        <v>3215</v>
      </c>
      <c r="J82" s="3242" t="s">
        <v>3216</v>
      </c>
      <c r="K82" s="3243">
        <v>383.3</v>
      </c>
    </row>
    <row r="83" spans="1:11" ht="18" customHeight="1">
      <c r="A83" s="3281">
        <v>78</v>
      </c>
      <c r="B83" s="3279" t="s">
        <v>3203</v>
      </c>
      <c r="C83" s="3241" t="s">
        <v>3293</v>
      </c>
      <c r="D83" s="3241" t="s">
        <v>3205</v>
      </c>
      <c r="E83" s="3236" t="s">
        <v>3206</v>
      </c>
      <c r="F83" s="3241" t="s">
        <v>3207</v>
      </c>
      <c r="G83" s="3241" t="s">
        <v>3208</v>
      </c>
      <c r="H83" s="3439" t="s">
        <v>3215</v>
      </c>
      <c r="I83" s="3440" t="s">
        <v>3215</v>
      </c>
      <c r="J83" s="3242" t="s">
        <v>3210</v>
      </c>
      <c r="K83" s="3243">
        <v>72.75</v>
      </c>
    </row>
    <row r="84" spans="1:11" ht="18" customHeight="1">
      <c r="A84" s="3281">
        <v>79</v>
      </c>
      <c r="B84" s="3279" t="s">
        <v>3203</v>
      </c>
      <c r="C84" s="3241" t="s">
        <v>3294</v>
      </c>
      <c r="D84" s="3241" t="s">
        <v>3205</v>
      </c>
      <c r="E84" s="3236" t="s">
        <v>3206</v>
      </c>
      <c r="F84" s="3241" t="s">
        <v>3207</v>
      </c>
      <c r="G84" s="3241" t="s">
        <v>3218</v>
      </c>
      <c r="H84" s="3439" t="s">
        <v>3215</v>
      </c>
      <c r="I84" s="3440" t="s">
        <v>3215</v>
      </c>
      <c r="J84" s="3242" t="s">
        <v>3216</v>
      </c>
      <c r="K84" s="3243">
        <v>448.42</v>
      </c>
    </row>
    <row r="85" spans="1:11" ht="18" customHeight="1">
      <c r="A85" s="3281">
        <v>80</v>
      </c>
      <c r="B85" s="3279" t="s">
        <v>3203</v>
      </c>
      <c r="C85" s="3241" t="s">
        <v>3295</v>
      </c>
      <c r="D85" s="3241" t="s">
        <v>3205</v>
      </c>
      <c r="E85" s="3236" t="s">
        <v>3206</v>
      </c>
      <c r="F85" s="3241" t="s">
        <v>3207</v>
      </c>
      <c r="G85" s="3241" t="s">
        <v>3214</v>
      </c>
      <c r="H85" s="3439" t="s">
        <v>3215</v>
      </c>
      <c r="I85" s="3440" t="s">
        <v>3215</v>
      </c>
      <c r="J85" s="3242" t="s">
        <v>3216</v>
      </c>
      <c r="K85" s="3243">
        <v>298.02999999999997</v>
      </c>
    </row>
    <row r="86" spans="1:11" ht="18" customHeight="1">
      <c r="A86" s="3281">
        <v>81</v>
      </c>
      <c r="B86" s="3279" t="s">
        <v>3203</v>
      </c>
      <c r="C86" s="3241" t="s">
        <v>3296</v>
      </c>
      <c r="D86" s="3241" t="s">
        <v>3205</v>
      </c>
      <c r="E86" s="3236" t="s">
        <v>3206</v>
      </c>
      <c r="F86" s="3241" t="s">
        <v>3207</v>
      </c>
      <c r="G86" s="3241" t="s">
        <v>3218</v>
      </c>
      <c r="H86" s="3439" t="s">
        <v>3215</v>
      </c>
      <c r="I86" s="3440" t="s">
        <v>3215</v>
      </c>
      <c r="J86" s="3242" t="s">
        <v>3216</v>
      </c>
      <c r="K86" s="3243">
        <v>552.88</v>
      </c>
    </row>
    <row r="87" spans="1:11" ht="18" customHeight="1">
      <c r="A87" s="3281">
        <v>82</v>
      </c>
      <c r="B87" s="3279" t="s">
        <v>3203</v>
      </c>
      <c r="C87" s="3241" t="s">
        <v>3297</v>
      </c>
      <c r="D87" s="3241" t="s">
        <v>3205</v>
      </c>
      <c r="E87" s="3236" t="s">
        <v>3206</v>
      </c>
      <c r="F87" s="3241" t="s">
        <v>3207</v>
      </c>
      <c r="G87" s="3241" t="s">
        <v>3214</v>
      </c>
      <c r="H87" s="3439" t="s">
        <v>3215</v>
      </c>
      <c r="I87" s="3440" t="s">
        <v>3215</v>
      </c>
      <c r="J87" s="3242" t="s">
        <v>3216</v>
      </c>
      <c r="K87" s="3243">
        <v>240.16</v>
      </c>
    </row>
    <row r="88" spans="1:11" ht="18" customHeight="1">
      <c r="A88" s="3281">
        <v>83</v>
      </c>
      <c r="B88" s="3279" t="s">
        <v>3203</v>
      </c>
      <c r="C88" s="3241" t="s">
        <v>3298</v>
      </c>
      <c r="D88" s="3241" t="s">
        <v>3205</v>
      </c>
      <c r="E88" s="3236" t="s">
        <v>3206</v>
      </c>
      <c r="F88" s="3241" t="s">
        <v>3207</v>
      </c>
      <c r="G88" s="3241" t="s">
        <v>3208</v>
      </c>
      <c r="H88" s="3439" t="s">
        <v>3215</v>
      </c>
      <c r="I88" s="3440" t="s">
        <v>3215</v>
      </c>
      <c r="J88" s="3242" t="s">
        <v>3210</v>
      </c>
      <c r="K88" s="3243">
        <v>137</v>
      </c>
    </row>
    <row r="89" spans="1:11" ht="18" customHeight="1">
      <c r="A89" s="3281">
        <v>84</v>
      </c>
      <c r="B89" s="3279" t="s">
        <v>3203</v>
      </c>
      <c r="C89" s="3241" t="s">
        <v>3299</v>
      </c>
      <c r="D89" s="3241" t="s">
        <v>3205</v>
      </c>
      <c r="E89" s="3236" t="s">
        <v>3206</v>
      </c>
      <c r="F89" s="3241" t="s">
        <v>3207</v>
      </c>
      <c r="G89" s="3241" t="s">
        <v>3214</v>
      </c>
      <c r="H89" s="3439" t="s">
        <v>3215</v>
      </c>
      <c r="I89" s="3440" t="s">
        <v>3215</v>
      </c>
      <c r="J89" s="3242" t="s">
        <v>3216</v>
      </c>
      <c r="K89" s="3243">
        <v>356.49</v>
      </c>
    </row>
    <row r="90" spans="1:11" ht="18" customHeight="1">
      <c r="A90" s="3281">
        <v>85</v>
      </c>
      <c r="B90" s="3280" t="s">
        <v>3203</v>
      </c>
      <c r="C90" s="3244" t="s">
        <v>3300</v>
      </c>
      <c r="D90" s="3244" t="s">
        <v>3205</v>
      </c>
      <c r="E90" s="3236" t="s">
        <v>3206</v>
      </c>
      <c r="F90" s="3244" t="s">
        <v>3207</v>
      </c>
      <c r="G90" s="3244" t="s">
        <v>3218</v>
      </c>
      <c r="H90" s="3439" t="s">
        <v>3215</v>
      </c>
      <c r="I90" s="3440" t="s">
        <v>3215</v>
      </c>
      <c r="J90" s="3245" t="s">
        <v>3216</v>
      </c>
      <c r="K90" s="3243">
        <v>4898.7</v>
      </c>
    </row>
    <row r="91" spans="1:11" ht="18" customHeight="1" thickBot="1">
      <c r="B91" s="3246"/>
      <c r="C91" s="3247"/>
      <c r="D91" s="3248"/>
      <c r="E91" s="3247"/>
      <c r="F91" s="3247"/>
      <c r="G91" s="3247"/>
      <c r="H91" s="3441"/>
      <c r="I91" s="3441"/>
      <c r="J91" s="3248" t="s">
        <v>3301</v>
      </c>
      <c r="K91" s="3249">
        <f>SUM(K6:K90)</f>
        <v>34459.170000000013</v>
      </c>
    </row>
    <row r="92" spans="1:11">
      <c r="B92" s="3250"/>
      <c r="C92" s="3251"/>
      <c r="D92" s="3251"/>
      <c r="E92" s="3251"/>
      <c r="F92" s="3251"/>
      <c r="G92" s="3251"/>
      <c r="H92" s="3251"/>
      <c r="I92" s="3251"/>
    </row>
    <row r="95" spans="1:11" ht="14.25">
      <c r="B95" s="3252"/>
    </row>
    <row r="96" spans="1:11">
      <c r="C96" s="3233" t="s">
        <v>3302</v>
      </c>
      <c r="D96">
        <v>34459.17</v>
      </c>
      <c r="E96"/>
    </row>
    <row r="97" spans="3:13">
      <c r="C97"/>
      <c r="D97"/>
      <c r="E97"/>
    </row>
    <row r="98" spans="3:13">
      <c r="C98" s="3233" t="s">
        <v>3303</v>
      </c>
      <c r="D98">
        <v>34269.050000000003</v>
      </c>
      <c r="E98"/>
    </row>
    <row r="99" spans="3:13">
      <c r="C99" s="3233" t="s">
        <v>3304</v>
      </c>
      <c r="D99">
        <v>14019.08</v>
      </c>
      <c r="E99"/>
    </row>
    <row r="100" spans="3:13">
      <c r="C100" s="3233" t="s">
        <v>3305</v>
      </c>
      <c r="D100">
        <v>10040.120000000001</v>
      </c>
      <c r="E100"/>
    </row>
    <row r="101" spans="3:13">
      <c r="C101" s="3233" t="s">
        <v>3306</v>
      </c>
      <c r="D101">
        <v>10209.85</v>
      </c>
      <c r="E101"/>
    </row>
    <row r="102" spans="3:13">
      <c r="C102"/>
      <c r="D102"/>
      <c r="E102"/>
    </row>
    <row r="103" spans="3:13">
      <c r="C103"/>
      <c r="D103"/>
      <c r="E103"/>
    </row>
    <row r="104" spans="3:13">
      <c r="C104"/>
      <c r="D104"/>
      <c r="E104"/>
    </row>
    <row r="105" spans="3:13">
      <c r="C105"/>
      <c r="D105"/>
      <c r="E105"/>
    </row>
    <row r="106" spans="3:13">
      <c r="C106" s="3253" t="s">
        <v>3307</v>
      </c>
      <c r="D106"/>
      <c r="E106"/>
    </row>
    <row r="107" spans="3:13">
      <c r="C107" s="3254"/>
      <c r="D107" s="3254" t="s">
        <v>3308</v>
      </c>
      <c r="E107" s="3254" t="s">
        <v>3309</v>
      </c>
      <c r="G107" s="3233" t="s">
        <v>3314</v>
      </c>
      <c r="J107" s="3233" t="s">
        <v>3315</v>
      </c>
    </row>
    <row r="108" spans="3:13">
      <c r="C108" s="3254" t="s">
        <v>3310</v>
      </c>
      <c r="D108" s="3254">
        <f>ROUND(D99*D96/D98,2)</f>
        <v>14096.86</v>
      </c>
      <c r="E108" s="3254">
        <f>D108</f>
        <v>14096.86</v>
      </c>
      <c r="G108"/>
      <c r="J108">
        <v>3.2</v>
      </c>
      <c r="M108" s="1360">
        <v>20000</v>
      </c>
    </row>
    <row r="109" spans="3:13">
      <c r="C109" s="3254" t="s">
        <v>3311</v>
      </c>
      <c r="D109" s="3254">
        <f>ROUND(D100*D96/D98,2)</f>
        <v>10095.82</v>
      </c>
      <c r="E109" s="3254">
        <f>D109-107.54</f>
        <v>9988.2799999999988</v>
      </c>
      <c r="G109">
        <f>D111-E111</f>
        <v>155.31999999999971</v>
      </c>
      <c r="J109">
        <v>8.5</v>
      </c>
      <c r="M109" s="1360">
        <v>50000</v>
      </c>
    </row>
    <row r="110" spans="3:13">
      <c r="C110" s="3254" t="s">
        <v>3312</v>
      </c>
      <c r="D110" s="3254">
        <f>D96-D108-D109</f>
        <v>10266.489999999998</v>
      </c>
      <c r="E110" s="3254">
        <f>D110-47.78</f>
        <v>10218.709999999997</v>
      </c>
      <c r="J110">
        <v>6.8</v>
      </c>
      <c r="M110" s="1360">
        <v>40000</v>
      </c>
    </row>
    <row r="111" spans="3:13">
      <c r="C111" s="3255" t="s">
        <v>3313</v>
      </c>
      <c r="D111" s="3256">
        <f>D108+D109+D110</f>
        <v>34459.17</v>
      </c>
      <c r="E111" s="3256">
        <f>E108+E109+E110</f>
        <v>34303.85</v>
      </c>
      <c r="J111">
        <f>ROUND((E108*J108+E109*J109+E110*J110)/E111,1)</f>
        <v>5.8</v>
      </c>
      <c r="K111" s="1360">
        <f>(J108*D108+J109*D109+J110*D110)/D111</f>
        <v>5.8253450097608273</v>
      </c>
      <c r="M111" s="1360">
        <f>(M108*D108+M109*D109+M110*D110)/D111</f>
        <v>34748.016275493581</v>
      </c>
    </row>
    <row r="114" spans="9:11">
      <c r="I114"/>
      <c r="J114"/>
      <c r="K114" s="3233" t="s">
        <v>3316</v>
      </c>
    </row>
    <row r="115" spans="9:11">
      <c r="I115">
        <f>130000/D111</f>
        <v>3.7725807092858012</v>
      </c>
      <c r="J115"/>
      <c r="K115">
        <f>I115/0.8</f>
        <v>4.7157258866072516</v>
      </c>
    </row>
  </sheetData>
  <mergeCells count="97">
    <mergeCell ref="H11:I11"/>
    <mergeCell ref="B1:K1"/>
    <mergeCell ref="C2:K2"/>
    <mergeCell ref="B3:B5"/>
    <mergeCell ref="C3:C5"/>
    <mergeCell ref="D3:D5"/>
    <mergeCell ref="E3:E5"/>
    <mergeCell ref="F3:G3"/>
    <mergeCell ref="H3:I5"/>
    <mergeCell ref="K3:K5"/>
    <mergeCell ref="G4:G5"/>
    <mergeCell ref="H6:I6"/>
    <mergeCell ref="H7:I7"/>
    <mergeCell ref="H8:I8"/>
    <mergeCell ref="H9:I9"/>
    <mergeCell ref="H10:I10"/>
    <mergeCell ref="H23:I23"/>
    <mergeCell ref="H12:I12"/>
    <mergeCell ref="H13:I13"/>
    <mergeCell ref="H14:I14"/>
    <mergeCell ref="H15:I15"/>
    <mergeCell ref="H16:I16"/>
    <mergeCell ref="H17:I17"/>
    <mergeCell ref="H18:I18"/>
    <mergeCell ref="H19:I19"/>
    <mergeCell ref="H20:I20"/>
    <mergeCell ref="H21:I21"/>
    <mergeCell ref="H22:I22"/>
    <mergeCell ref="H35:I35"/>
    <mergeCell ref="H24:I24"/>
    <mergeCell ref="H25:I25"/>
    <mergeCell ref="H26:I26"/>
    <mergeCell ref="H27:I27"/>
    <mergeCell ref="H28:I28"/>
    <mergeCell ref="H29:I29"/>
    <mergeCell ref="H30:I30"/>
    <mergeCell ref="H31:I31"/>
    <mergeCell ref="H32:I32"/>
    <mergeCell ref="H33:I33"/>
    <mergeCell ref="H34:I34"/>
    <mergeCell ref="H47:I47"/>
    <mergeCell ref="H36:I36"/>
    <mergeCell ref="H37:I37"/>
    <mergeCell ref="H38:I38"/>
    <mergeCell ref="H39:I39"/>
    <mergeCell ref="H40:I40"/>
    <mergeCell ref="H41:I41"/>
    <mergeCell ref="H42:I42"/>
    <mergeCell ref="H43:I43"/>
    <mergeCell ref="H44:I44"/>
    <mergeCell ref="H45:I45"/>
    <mergeCell ref="H46:I46"/>
    <mergeCell ref="H59:I59"/>
    <mergeCell ref="H48:I48"/>
    <mergeCell ref="H49:I49"/>
    <mergeCell ref="H50:I50"/>
    <mergeCell ref="H51:I51"/>
    <mergeCell ref="H52:I52"/>
    <mergeCell ref="H53:I53"/>
    <mergeCell ref="H54:I54"/>
    <mergeCell ref="H55:I55"/>
    <mergeCell ref="H56:I56"/>
    <mergeCell ref="H57:I57"/>
    <mergeCell ref="H58:I58"/>
    <mergeCell ref="H71:I71"/>
    <mergeCell ref="H60:I60"/>
    <mergeCell ref="H61:I61"/>
    <mergeCell ref="H62:I62"/>
    <mergeCell ref="H63:I63"/>
    <mergeCell ref="H64:I64"/>
    <mergeCell ref="H65:I65"/>
    <mergeCell ref="H66:I66"/>
    <mergeCell ref="H67:I67"/>
    <mergeCell ref="H68:I68"/>
    <mergeCell ref="H69:I69"/>
    <mergeCell ref="H70:I70"/>
    <mergeCell ref="H78:I78"/>
    <mergeCell ref="H79:I79"/>
    <mergeCell ref="H80:I80"/>
    <mergeCell ref="H81:I81"/>
    <mergeCell ref="H82:I82"/>
    <mergeCell ref="A3:A5"/>
    <mergeCell ref="H90:I90"/>
    <mergeCell ref="H91:I91"/>
    <mergeCell ref="H84:I84"/>
    <mergeCell ref="H85:I85"/>
    <mergeCell ref="H86:I86"/>
    <mergeCell ref="H87:I87"/>
    <mergeCell ref="H88:I88"/>
    <mergeCell ref="H89:I89"/>
    <mergeCell ref="H83:I83"/>
    <mergeCell ref="H72:I72"/>
    <mergeCell ref="H73:I73"/>
    <mergeCell ref="H74:I74"/>
    <mergeCell ref="H75:I75"/>
    <mergeCell ref="H76:I76"/>
    <mergeCell ref="H77:I77"/>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65" sqref="H65"/>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462" t="s">
        <v>1576</v>
      </c>
      <c r="B2" s="3462"/>
      <c r="C2" s="3462"/>
      <c r="D2" s="885" t="s">
        <v>1552</v>
      </c>
      <c r="E2" s="1775" t="s">
        <v>1553</v>
      </c>
      <c r="F2" s="2836"/>
      <c r="G2" s="2827"/>
      <c r="H2" s="2828"/>
      <c r="I2" s="2499" t="s">
        <v>1577</v>
      </c>
      <c r="J2" s="2836"/>
      <c r="K2" s="2836"/>
      <c r="L2" s="2836"/>
      <c r="M2" s="2836"/>
      <c r="N2" s="2838"/>
      <c r="O2" s="2836"/>
      <c r="P2" s="2836"/>
    </row>
    <row r="3" spans="1:16" ht="15.75" thickBot="1">
      <c r="A3" s="3463" t="s">
        <v>1550</v>
      </c>
      <c r="B3" s="3463"/>
      <c r="C3" s="3463"/>
      <c r="D3" s="46">
        <f>'数据-基础表'!AY6</f>
        <v>12272.21</v>
      </c>
      <c r="E3" s="46">
        <f>'数据-基础表'!AZ5</f>
        <v>34459.17</v>
      </c>
      <c r="F3" s="2836"/>
      <c r="G3" s="1260"/>
      <c r="H3" s="1138" t="s">
        <v>1551</v>
      </c>
      <c r="I3" s="945">
        <f>ROUND('数据-基础表'!B3/'数据-基础表'!A3,2)</f>
        <v>2.81</v>
      </c>
      <c r="J3" s="2836"/>
      <c r="K3" s="2836"/>
      <c r="L3" s="2836"/>
      <c r="M3" s="2836"/>
      <c r="N3" s="2838"/>
      <c r="O3" s="2836"/>
      <c r="P3" s="2836"/>
    </row>
    <row r="4" spans="1:16" ht="15">
      <c r="A4" s="3464"/>
      <c r="B4" s="3465"/>
      <c r="C4" s="3466"/>
      <c r="D4" s="1777" t="s">
        <v>1552</v>
      </c>
      <c r="E4" s="1778" t="s">
        <v>1553</v>
      </c>
      <c r="F4" s="2836"/>
      <c r="G4" s="2829" t="s">
        <v>1578</v>
      </c>
      <c r="H4" s="1138" t="s">
        <v>1558</v>
      </c>
      <c r="I4" s="945">
        <f>ROUND(SUMIF('数据-基础表'!I9:AS9,"地上",'数据-基础表'!I5:AS5)/'数据-基础表'!A3,2)</f>
        <v>1.66</v>
      </c>
      <c r="J4" s="2836"/>
      <c r="K4" s="2836"/>
      <c r="L4" s="2836"/>
      <c r="M4" s="2836"/>
      <c r="N4" s="2838"/>
      <c r="O4" s="2836"/>
      <c r="P4" s="2836"/>
    </row>
    <row r="5" spans="1:16">
      <c r="A5" s="47" t="s">
        <v>1554</v>
      </c>
      <c r="B5" s="3467" t="s">
        <v>1555</v>
      </c>
      <c r="C5" s="3467"/>
      <c r="D5" s="48">
        <f>ROUND($D$3*E5/$E$3,2)</f>
        <v>0</v>
      </c>
      <c r="E5" s="49">
        <f>SUMIF('数据-基础表'!$11:$11,"住宅",'数据-基础表'!$5:$5)</f>
        <v>0</v>
      </c>
      <c r="F5" s="2836"/>
      <c r="G5" s="1260"/>
      <c r="H5" s="1138" t="s">
        <v>1551</v>
      </c>
      <c r="I5" s="945">
        <f>ROUND(E31/D31,2)</f>
        <v>2.81</v>
      </c>
      <c r="J5" s="2836"/>
      <c r="K5" s="2836"/>
      <c r="L5" s="2836"/>
      <c r="M5" s="2836"/>
      <c r="N5" s="2836"/>
      <c r="O5" s="2836"/>
      <c r="P5" s="2836"/>
    </row>
    <row r="6" spans="1:16" ht="15" thickBot="1">
      <c r="A6" s="1780"/>
      <c r="B6" s="3467" t="s">
        <v>1556</v>
      </c>
      <c r="C6" s="3467"/>
      <c r="D6" s="48">
        <f>ROUND($D$3*E6/$E$3,2)</f>
        <v>12272.21</v>
      </c>
      <c r="E6" s="49">
        <f>E3-E5</f>
        <v>34459.17</v>
      </c>
      <c r="F6" s="2836"/>
      <c r="G6" s="2830" t="s">
        <v>1557</v>
      </c>
      <c r="H6" s="1261" t="s">
        <v>1558</v>
      </c>
      <c r="I6" s="2831">
        <f>ROUND(F31/D31,2)</f>
        <v>1.66</v>
      </c>
      <c r="J6" s="2836"/>
      <c r="K6" s="2836"/>
      <c r="L6" s="2836"/>
      <c r="M6" s="2836"/>
      <c r="N6" s="2836"/>
      <c r="O6" s="2836"/>
      <c r="P6" s="2836"/>
    </row>
    <row r="7" spans="1:16" ht="15.75" thickBot="1">
      <c r="A7" s="3459"/>
      <c r="B7" s="3460"/>
      <c r="C7" s="3461"/>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7196.47</v>
      </c>
      <c r="E8" s="51">
        <f>SUMIF('数据-基础表'!BB10:BK10,"地上",'数据-基础表'!BB5:BK5)</f>
        <v>20206.989999999998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5020.42</v>
      </c>
      <c r="E10" s="51">
        <f>SUMPRODUCT(('数据-基础表'!BB10:BK10="地下")*('数据-基础表'!BB11:BK11="商业")*('数据-基础表'!BB5:BK5))</f>
        <v>14096.86</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12216.89</v>
      </c>
      <c r="E16" s="53">
        <f>SUM(E8:E15)</f>
        <v>34303.85</v>
      </c>
      <c r="F16" s="2836"/>
      <c r="G16" s="2837"/>
      <c r="H16" s="1784" t="s">
        <v>1580</v>
      </c>
      <c r="I16" s="1785"/>
      <c r="J16" s="1254"/>
      <c r="K16" s="3456" t="s">
        <v>1580</v>
      </c>
      <c r="L16" s="3457"/>
      <c r="M16" s="3457"/>
      <c r="N16" s="3457"/>
      <c r="O16" s="3457"/>
      <c r="P16" s="3458"/>
    </row>
    <row r="17" spans="1:19" ht="15">
      <c r="A17" s="1786" t="s">
        <v>1581</v>
      </c>
      <c r="B17" s="1787" t="s">
        <v>1582</v>
      </c>
      <c r="C17" s="1788" t="s">
        <v>1583</v>
      </c>
      <c r="D17" s="1789" t="s">
        <v>1571</v>
      </c>
      <c r="E17" s="1790" t="s">
        <v>1572</v>
      </c>
      <c r="F17" s="1791"/>
      <c r="G17" s="1792"/>
      <c r="H17" s="1793" t="s">
        <v>1584</v>
      </c>
      <c r="I17" s="1794" t="s">
        <v>1569</v>
      </c>
      <c r="J17" s="1254"/>
      <c r="K17" s="3453" t="s">
        <v>1585</v>
      </c>
      <c r="L17" s="3454"/>
      <c r="M17" s="3455"/>
      <c r="N17" s="3453" t="s">
        <v>1586</v>
      </c>
      <c r="O17" s="3454"/>
      <c r="P17" s="345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77" t="s">
        <v>3443</v>
      </c>
      <c r="D19" s="48">
        <f>ROUND($D$3*E19/$E$3,2)</f>
        <v>12216.89</v>
      </c>
      <c r="E19" s="56">
        <f t="shared" ref="E19:E26" si="1">SUM(F19:G19)</f>
        <v>34303.85</v>
      </c>
      <c r="F19" s="2976">
        <f>面积表!E109+面积表!E110</f>
        <v>20206.989999999998</v>
      </c>
      <c r="G19" s="2977">
        <f>面积表!E108</f>
        <v>14096.86</v>
      </c>
      <c r="H19" s="679">
        <f>ROUND($D$3*I19/$E$3,2)</f>
        <v>55.32</v>
      </c>
      <c r="I19" s="51">
        <f t="shared" ref="I19:I26" si="2">IF($I$17="自定义",P19,M19)</f>
        <v>155.32</v>
      </c>
      <c r="J19" s="1254"/>
      <c r="K19" s="1253">
        <f t="shared" ref="K19:K26" si="3">ROUND(E$28*E19/E$27,2)</f>
        <v>155.32</v>
      </c>
      <c r="L19" s="1138">
        <f t="shared" ref="L19:L26" si="4">ROUND(IF(COUNTIF(C19,"*住宅*")&gt;0,E$29*E19/E$32,0),2)</f>
        <v>0</v>
      </c>
      <c r="M19" s="1265">
        <f>K19+L19</f>
        <v>155.32</v>
      </c>
      <c r="N19" s="1805"/>
      <c r="O19" s="1806"/>
      <c r="P19" s="1265">
        <f>N19+O19</f>
        <v>0</v>
      </c>
      <c r="R19" s="1138">
        <f t="shared" ref="R19:S26" si="5">D19+H19</f>
        <v>12272.21</v>
      </c>
      <c r="S19" s="1139">
        <f t="shared" si="5"/>
        <v>34459.17</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12216.89</v>
      </c>
      <c r="E27" s="1256">
        <f>IF(SUM(E19:E26)='数据-基础表'!BA5,SUM(E19:E26),IF(F27="地上面积有误","面积有误","地下面积有误"))</f>
        <v>34303.85</v>
      </c>
      <c r="F27" s="1255">
        <f>IF(SUM(F19:F26)=E8,SUM(F19:F26),"地上面积有误")</f>
        <v>20206.989999999998</v>
      </c>
      <c r="G27" s="1257">
        <f>SUM(G19:G26)</f>
        <v>14096.86</v>
      </c>
      <c r="H27" s="1258">
        <f>SUM(H19:H26)</f>
        <v>55.32</v>
      </c>
      <c r="I27" s="1259">
        <f>SUM(I19:I26)</f>
        <v>155.32</v>
      </c>
      <c r="J27" s="1254"/>
      <c r="K27" s="1262">
        <f>SUM(K19:K26)</f>
        <v>155.32</v>
      </c>
      <c r="L27" s="1263">
        <f>SUM(L19:L26)</f>
        <v>0</v>
      </c>
      <c r="M27" s="1266">
        <f>SUM(M19:M26)</f>
        <v>155.32</v>
      </c>
      <c r="N27" s="1262">
        <f t="shared" ref="N27:O27" si="10">SUM(N19:N26)</f>
        <v>0</v>
      </c>
      <c r="O27" s="1263">
        <f t="shared" si="10"/>
        <v>0</v>
      </c>
      <c r="P27" s="1264">
        <f>SUM(P19:P26)</f>
        <v>0</v>
      </c>
      <c r="R27" s="1140">
        <f>IF(SUM(R19:R26)=$D$3,SUM(R19:R26),SUM(R19:R26)&amp;"误差"&amp;ROUND(SUM(R19:R26)-$D$3,2))</f>
        <v>12272.21</v>
      </c>
      <c r="S27" s="1138">
        <f>IF(SUM(S19:S26)=$E$3,SUM(S19:S26),SUM(S19:S26)&amp;"误差"&amp;ROUND(SUM(S19:S26)-E3,2))</f>
        <v>34459.17</v>
      </c>
    </row>
    <row r="28" spans="1:19">
      <c r="A28" s="1807"/>
      <c r="B28" s="50" t="s">
        <v>1600</v>
      </c>
      <c r="C28" s="1150" t="s">
        <v>1601</v>
      </c>
      <c r="D28" s="48">
        <f>ROUND($D$3*E28/$E$3,2)</f>
        <v>55.32</v>
      </c>
      <c r="E28" s="56">
        <f>SUM(F28:G28)</f>
        <v>155.31999999999971</v>
      </c>
      <c r="F28" s="60">
        <f>'数据-基础表'!BQ5+'数据-基础表'!BS5</f>
        <v>155.31999999999971</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55.32</v>
      </c>
      <c r="E30" s="1255">
        <f>SUM(E28:E29)</f>
        <v>155.31999999999971</v>
      </c>
      <c r="F30" s="1255">
        <f>SUM(F28:F29)</f>
        <v>155.31999999999971</v>
      </c>
      <c r="G30" s="1257">
        <f>SUM(G28:G29)</f>
        <v>0</v>
      </c>
      <c r="H30" s="2836"/>
      <c r="I30" s="2836"/>
      <c r="J30" s="2836"/>
      <c r="K30" s="2836"/>
      <c r="L30" s="2836"/>
      <c r="M30" s="2836"/>
      <c r="N30" s="2836"/>
      <c r="O30" s="2836"/>
      <c r="P30" s="2836"/>
    </row>
    <row r="31" spans="1:19" ht="15.75" thickBot="1">
      <c r="A31" s="1813"/>
      <c r="B31" s="1814"/>
      <c r="C31" s="925" t="s">
        <v>1603</v>
      </c>
      <c r="D31" s="685">
        <f>D27+D30</f>
        <v>12272.21</v>
      </c>
      <c r="E31" s="685">
        <f>E27+E30</f>
        <v>34459.17</v>
      </c>
      <c r="F31" s="686">
        <f>F27+F30</f>
        <v>20362.309999999998</v>
      </c>
      <c r="G31" s="687">
        <f>G27+G30</f>
        <v>14096.86</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G6" activePane="bottomRight" state="frozen"/>
      <selection activeCell="C50" sqref="C50"/>
      <selection pane="topRight" activeCell="C50" sqref="C50"/>
      <selection pane="bottomLeft" activeCell="C50" sqref="C50"/>
      <selection pane="bottomRight" activeCell="U29" sqref="U29"/>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44783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3430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52838</v>
      </c>
      <c r="F6" s="68">
        <f>SUMIF(项目基本情况!D$12:I$12,C6,项目基本情况!D$15:I$15)</f>
        <v>22.06</v>
      </c>
      <c r="G6" s="69">
        <f>IF(ISERROR(ROUND(POWER(1+H6,D6-F6)*(POWER(1+H6,F6)-1)/(POWER(1+H6,D6)-1),3)),0,ROUND(POWER(1+H6,D6-F6)*(POWER(1+H6,F6)-1)/(POWER(1+H6,D6)-1),3))</f>
        <v>0.76800000000000002</v>
      </c>
      <c r="H6" s="741">
        <v>0.05</v>
      </c>
      <c r="I6" s="741">
        <v>5.5E-2</v>
      </c>
      <c r="J6" s="70">
        <v>7.0000000000000007E-2</v>
      </c>
      <c r="K6" s="1142">
        <f>SUMIF('数据-汇总表'!C$19:C$33,A6,'数据-汇总表'!E$19:E$33)</f>
        <v>34303.85</v>
      </c>
      <c r="L6" s="742">
        <v>3500</v>
      </c>
      <c r="M6" s="71">
        <f t="shared" ref="M6:M14" si="0">ROUND(K6*L6/10000,0)</f>
        <v>12006</v>
      </c>
      <c r="N6" s="740">
        <f>N22</f>
        <v>0.84</v>
      </c>
      <c r="O6" s="71" t="str">
        <f>IF($N$5="成新度","——",ROUND(M6*N6,0))</f>
        <v>——</v>
      </c>
      <c r="P6" s="72" t="str">
        <f>IF($N$5="成新度","——",M6-O6)</f>
        <v>——</v>
      </c>
      <c r="Q6" s="743">
        <v>0.25</v>
      </c>
      <c r="R6" s="73">
        <f ca="1">SUMIF('数据-汇总表'!C$19:C$33,A6,'数据-汇总表'!R$19:R$27)</f>
        <v>12272.21</v>
      </c>
      <c r="S6" s="54">
        <f>IF('数据-汇总表'!$I$17="按面积比例",SUMIF('数据-汇总表'!C$19:C$33,A6,'数据-汇总表'!K$19:K$33),SUMIF('数据-汇总表'!C$19:C$33,A6,'数据-汇总表'!N$19:N$33))</f>
        <v>155.32</v>
      </c>
      <c r="T6" s="1287">
        <f>ROUND($L$14*S6/10000,0)</f>
        <v>54</v>
      </c>
      <c r="U6" s="74">
        <v>5.8</v>
      </c>
      <c r="V6" s="75">
        <v>0.03</v>
      </c>
      <c r="W6" s="75">
        <v>0.1</v>
      </c>
      <c r="X6" s="1152"/>
      <c r="Y6" s="76">
        <f>N6</f>
        <v>0.84</v>
      </c>
      <c r="Z6" s="77"/>
      <c r="AA6" s="70"/>
      <c r="AB6" s="70"/>
      <c r="AC6" s="1152"/>
      <c r="AD6" s="78"/>
      <c r="AE6" s="1153">
        <f ca="1">IF(AN6="",0,SUMIF(INDIRECT("'"&amp;AN6&amp;"'"&amp;"!E:E"),$AE$5,INDIRECT("'"&amp;AN6&amp;"'"&amp;"!F:F")))</f>
        <v>22.06</v>
      </c>
      <c r="AF6" s="1483"/>
      <c r="AG6" s="143">
        <f>IF(AF6="",0,AE6-AF6)</f>
        <v>0</v>
      </c>
      <c r="AH6" s="79"/>
      <c r="AI6" s="81">
        <v>365</v>
      </c>
      <c r="AJ6" s="82"/>
      <c r="AK6" s="83">
        <v>5.0000000000000001E-3</v>
      </c>
      <c r="AL6" s="84">
        <v>1E-3</v>
      </c>
      <c r="AM6" s="85">
        <v>0.01</v>
      </c>
      <c r="AN6" s="1852" t="s">
        <v>3444</v>
      </c>
      <c r="AO6" s="55">
        <f ca="1">SUMIF(INDIRECT("'"&amp;AN6&amp;"'"&amp;"!A:A"),"总价",INDIRECT("'"&amp;AN6&amp;"'"&amp;"!B:B"))</f>
        <v>87933</v>
      </c>
      <c r="AP6" s="1853">
        <f>IF(C6="住宅",K6*L6,0)</f>
        <v>0</v>
      </c>
      <c r="AQ6" s="55">
        <f>ROUND($L$14*$N$14*S6/10000,0)</f>
        <v>46</v>
      </c>
      <c r="AR6" s="55">
        <f>ROUND($L$14*(1-$N$14)*S6/10000,0)</f>
        <v>9</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155.31999999999971</v>
      </c>
      <c r="L14" s="87">
        <f>L6</f>
        <v>3500</v>
      </c>
      <c r="M14" s="71">
        <f t="shared" si="0"/>
        <v>54</v>
      </c>
      <c r="N14" s="88">
        <f>N6</f>
        <v>0.84</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0.76800000000000002</v>
      </c>
      <c r="H16" s="95">
        <f>ROUND(SUMPRODUCT(H6:H13,K6:K13)/SUMPRODUCT((H6:H13&gt;0)*(K6:K13)),3)</f>
        <v>0.05</v>
      </c>
      <c r="I16" s="96"/>
      <c r="J16" s="96"/>
      <c r="K16" s="97">
        <f>SUM(K6:K15)</f>
        <v>34459.17</v>
      </c>
      <c r="L16" s="98">
        <f>ROUND(M16*10000/SUM(K6:K14),0)</f>
        <v>3500</v>
      </c>
      <c r="M16" s="98">
        <f>SUM(M6:M14)</f>
        <v>12060</v>
      </c>
      <c r="N16" s="99">
        <f>ROUND(SUMPRODUCT(M6:M14,N6:N14)/M16,3)</f>
        <v>0.84</v>
      </c>
      <c r="O16" s="98">
        <f>SUM(O6:O14)</f>
        <v>0</v>
      </c>
      <c r="P16" s="98">
        <f>SUM(P6:P14)</f>
        <v>0</v>
      </c>
      <c r="Q16" s="100">
        <f>ROUND(SUMPRODUCT(Q6:Q13,K6:K13)/SUMPRODUCT((Q6:Q13&gt;0)*(K6:K13)),2)</f>
        <v>0.25</v>
      </c>
      <c r="R16" s="1146">
        <f ca="1">SUM(R6:R13)</f>
        <v>12272.21</v>
      </c>
      <c r="S16" s="101">
        <f>SUM(S6:S13)</f>
        <v>155.32</v>
      </c>
      <c r="T16" s="102">
        <f>IF(SUMIF(T6:T13,"&lt;9E307")=M14,SUMIF(T6:T13,"&lt;9E307"),"有误，请检查")</f>
        <v>54</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f>ROUND(1-(2022-2008)/60,2)</f>
        <v>0.77</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v>0.9</v>
      </c>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f>ROUND((N20+N21)/2,2)</f>
        <v>0.84</v>
      </c>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689</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3429</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18</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441</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v>30</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v>24</v>
      </c>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v>18</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468" t="s">
        <v>2787</v>
      </c>
      <c r="B1" s="3469"/>
      <c r="C1" s="3469"/>
      <c r="D1" s="3469"/>
      <c r="E1" s="3469"/>
      <c r="F1" s="3469"/>
      <c r="G1" s="346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34459.17</v>
      </c>
      <c r="C1" s="2865"/>
      <c r="D1" s="2865"/>
      <c r="E1" s="2865"/>
      <c r="F1" s="2865"/>
      <c r="G1" s="2866"/>
      <c r="H1" s="2867"/>
      <c r="I1" s="2867"/>
      <c r="J1" s="2867"/>
      <c r="K1" s="2867"/>
    </row>
    <row r="2" spans="1:11" ht="16.5">
      <c r="A2" s="2688" t="s">
        <v>1078</v>
      </c>
      <c r="B2" s="2688">
        <f>SUM(C14:C23)</f>
        <v>12272.21</v>
      </c>
      <c r="C2" s="2865"/>
      <c r="D2" s="2865"/>
      <c r="E2" s="2865"/>
      <c r="F2" s="2865"/>
      <c r="G2" s="2866"/>
      <c r="H2" s="2867"/>
      <c r="I2" s="2867"/>
      <c r="J2" s="2867"/>
      <c r="K2" s="2867"/>
    </row>
    <row r="3" spans="1:11" ht="16.5">
      <c r="A3" s="2688" t="s">
        <v>1087</v>
      </c>
      <c r="B3" s="2690">
        <f>项目基本情况!D3</f>
        <v>44783</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122733</v>
      </c>
      <c r="C5" s="2688">
        <f ca="1">ROUND(B5*10000/$B$1,0)</f>
        <v>35617</v>
      </c>
      <c r="D5" s="2688">
        <f ca="1">ROUND(B5*10000/$B$2,0)</f>
        <v>100009</v>
      </c>
      <c r="E5" s="2865"/>
      <c r="F5" s="2866"/>
      <c r="G5" s="2866"/>
      <c r="H5" s="2867"/>
      <c r="I5" s="2867"/>
      <c r="J5" s="2867"/>
      <c r="K5" s="2867"/>
    </row>
    <row r="6" spans="1:11" ht="16.5">
      <c r="A6" s="2688" t="s">
        <v>1081</v>
      </c>
      <c r="B6" s="2688">
        <f ca="1">SUM(G14:G23)</f>
        <v>122733</v>
      </c>
      <c r="C6" s="2688">
        <f ca="1">ROUND(B6*10000/$B$1,0)</f>
        <v>35617</v>
      </c>
      <c r="D6" s="2688">
        <f ca="1">ROUND(B6*10000/$B$2,0)</f>
        <v>100009</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34459.17</v>
      </c>
      <c r="C14" s="2694">
        <f>结果表!C118</f>
        <v>12272.21</v>
      </c>
      <c r="D14" s="2694">
        <f ca="1">结果表!H118</f>
        <v>122733</v>
      </c>
      <c r="E14" s="2694">
        <f ca="1">ROUND(D14*10000/B14,0)</f>
        <v>35617</v>
      </c>
      <c r="F14" s="2694">
        <f ca="1">ROUND(D14*10000/C14,0)</f>
        <v>100009</v>
      </c>
      <c r="G14" s="2694">
        <f ca="1">结果表!D122</f>
        <v>122733</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113" sqref="C11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540" t="str">
        <f>项目基本情况!S2</f>
        <v>北京市房地产</v>
      </c>
      <c r="B2" s="3541"/>
      <c r="C2" s="3541"/>
      <c r="D2" s="3541"/>
      <c r="E2" s="3541"/>
      <c r="F2" s="3541"/>
      <c r="G2" s="3541"/>
      <c r="H2" s="3541"/>
      <c r="I2" s="3542"/>
    </row>
    <row r="3" spans="1:12" ht="12.75">
      <c r="A3" s="3544" t="s">
        <v>1709</v>
      </c>
      <c r="B3" s="3545"/>
      <c r="C3" s="3545"/>
      <c r="D3" s="3545"/>
      <c r="E3" s="3545"/>
      <c r="F3" s="3545"/>
      <c r="G3" s="3545"/>
      <c r="H3" s="3545"/>
      <c r="I3" s="3545"/>
    </row>
    <row r="4" spans="1:12" ht="14.25">
      <c r="A4" s="1891" t="s">
        <v>1710</v>
      </c>
      <c r="B4" s="1892" t="s">
        <v>1711</v>
      </c>
      <c r="C4" s="1893" t="s">
        <v>3438</v>
      </c>
      <c r="D4" s="1893" t="s">
        <v>3439</v>
      </c>
      <c r="E4" s="3549" t="s">
        <v>1712</v>
      </c>
      <c r="F4" s="3550"/>
      <c r="G4" s="3550"/>
      <c r="H4" s="3550"/>
      <c r="I4" s="355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85" t="s">
        <v>1713</v>
      </c>
      <c r="B5" s="3543">
        <v>25</v>
      </c>
      <c r="C5" s="3546">
        <v>24</v>
      </c>
      <c r="D5" s="3534">
        <v>20</v>
      </c>
      <c r="E5" s="136" t="s">
        <v>1714</v>
      </c>
      <c r="F5" s="1894"/>
      <c r="G5" s="1894"/>
      <c r="H5" s="1894"/>
      <c r="I5" s="1508"/>
    </row>
    <row r="6" spans="1:12" ht="12.75">
      <c r="A6" s="3485"/>
      <c r="B6" s="3543"/>
      <c r="C6" s="3548"/>
      <c r="D6" s="3534"/>
      <c r="E6" s="136" t="s">
        <v>1715</v>
      </c>
      <c r="F6" s="1894"/>
      <c r="G6" s="1894"/>
      <c r="H6" s="1894"/>
      <c r="I6" s="1508"/>
    </row>
    <row r="7" spans="1:12" ht="12.75">
      <c r="A7" s="3485"/>
      <c r="B7" s="3543"/>
      <c r="C7" s="3547"/>
      <c r="D7" s="3534"/>
      <c r="E7" s="136" t="s">
        <v>1716</v>
      </c>
      <c r="F7" s="1894"/>
      <c r="G7" s="1894"/>
      <c r="H7" s="1894"/>
      <c r="I7" s="1508"/>
    </row>
    <row r="8" spans="1:12" ht="12.75">
      <c r="A8" s="3485" t="s">
        <v>1717</v>
      </c>
      <c r="B8" s="3543">
        <v>15</v>
      </c>
      <c r="C8" s="3546">
        <v>14</v>
      </c>
      <c r="D8" s="3534">
        <v>10</v>
      </c>
      <c r="E8" s="136" t="s">
        <v>1718</v>
      </c>
      <c r="F8" s="1894"/>
      <c r="G8" s="1894"/>
      <c r="H8" s="1894"/>
      <c r="I8" s="1508"/>
    </row>
    <row r="9" spans="1:12" ht="12.75">
      <c r="A9" s="3485"/>
      <c r="B9" s="3543"/>
      <c r="C9" s="3547"/>
      <c r="D9" s="3534"/>
      <c r="E9" s="136" t="s">
        <v>1719</v>
      </c>
      <c r="F9" s="1894"/>
      <c r="G9" s="1894"/>
      <c r="H9" s="1894"/>
      <c r="I9" s="1508"/>
    </row>
    <row r="10" spans="1:12" ht="12.75">
      <c r="A10" s="3485" t="s">
        <v>1720</v>
      </c>
      <c r="B10" s="3543">
        <v>15</v>
      </c>
      <c r="C10" s="3546">
        <v>14</v>
      </c>
      <c r="D10" s="3534">
        <v>10</v>
      </c>
      <c r="E10" s="136" t="s">
        <v>1721</v>
      </c>
      <c r="F10" s="1894"/>
      <c r="G10" s="1894"/>
      <c r="H10" s="1894"/>
      <c r="I10" s="1508"/>
    </row>
    <row r="11" spans="1:12" ht="12.75">
      <c r="A11" s="3485"/>
      <c r="B11" s="3543"/>
      <c r="C11" s="3547"/>
      <c r="D11" s="3534"/>
      <c r="E11" s="136" t="s">
        <v>1722</v>
      </c>
      <c r="F11" s="1894"/>
      <c r="G11" s="1894"/>
      <c r="H11" s="1894"/>
      <c r="I11" s="1508"/>
    </row>
    <row r="12" spans="1:12" ht="12.75">
      <c r="A12" s="3485" t="s">
        <v>1723</v>
      </c>
      <c r="B12" s="3543">
        <v>15</v>
      </c>
      <c r="C12" s="3546">
        <v>14</v>
      </c>
      <c r="D12" s="3534">
        <v>8</v>
      </c>
      <c r="E12" s="136" t="s">
        <v>1724</v>
      </c>
      <c r="F12" s="1894"/>
      <c r="G12" s="1894"/>
      <c r="H12" s="1894"/>
      <c r="I12" s="1508"/>
    </row>
    <row r="13" spans="1:12" ht="12.75">
      <c r="A13" s="3485"/>
      <c r="B13" s="3543"/>
      <c r="C13" s="3547"/>
      <c r="D13" s="3534"/>
      <c r="E13" s="136" t="s">
        <v>1725</v>
      </c>
      <c r="F13" s="1894"/>
      <c r="G13" s="1894"/>
      <c r="H13" s="1894"/>
      <c r="I13" s="1508"/>
    </row>
    <row r="14" spans="1:12" ht="12.75">
      <c r="A14" s="3485" t="s">
        <v>1726</v>
      </c>
      <c r="B14" s="3543">
        <v>30</v>
      </c>
      <c r="C14" s="3546">
        <v>29</v>
      </c>
      <c r="D14" s="3534">
        <v>16</v>
      </c>
      <c r="E14" s="136" t="s">
        <v>1727</v>
      </c>
      <c r="F14" s="1894"/>
      <c r="G14" s="1894"/>
      <c r="H14" s="1894"/>
      <c r="I14" s="1508"/>
    </row>
    <row r="15" spans="1:12" ht="12.75">
      <c r="A15" s="3485"/>
      <c r="B15" s="3543"/>
      <c r="C15" s="3548"/>
      <c r="D15" s="3534"/>
      <c r="E15" s="136" t="s">
        <v>1728</v>
      </c>
      <c r="F15" s="1894"/>
      <c r="G15" s="1894"/>
      <c r="H15" s="1894"/>
      <c r="I15" s="1508"/>
    </row>
    <row r="16" spans="1:12" ht="12.75">
      <c r="A16" s="3485"/>
      <c r="B16" s="3543"/>
      <c r="C16" s="3547"/>
      <c r="D16" s="3534"/>
      <c r="E16" s="136" t="s">
        <v>1729</v>
      </c>
      <c r="F16" s="1894"/>
      <c r="G16" s="1894"/>
      <c r="H16" s="1894"/>
      <c r="I16" s="1508"/>
    </row>
    <row r="17" spans="1:36" ht="15">
      <c r="A17" s="1895" t="s">
        <v>1730</v>
      </c>
      <c r="B17" s="60"/>
      <c r="C17" s="137">
        <f>SUM(C5:C16)</f>
        <v>95</v>
      </c>
      <c r="D17" s="137">
        <f>SUM(D5:D16)</f>
        <v>64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565" t="s">
        <v>2632</v>
      </c>
      <c r="F18" s="3566"/>
      <c r="G18" s="3566"/>
      <c r="H18" s="3566"/>
      <c r="I18" s="3566"/>
      <c r="K18" s="308" t="s">
        <v>1734</v>
      </c>
      <c r="L18" s="308">
        <f>IF(C1="",'数据-汇总表'!E3,SUMIF(项目类型,C1,'数据-汇总表'!E17:E26)+SUMIF(项目类型,C1,'数据-汇总表'!I17:I26))</f>
        <v>34459.17</v>
      </c>
      <c r="M18" s="308">
        <f>IF(C1="",'数据-汇总表'!E3,SUMIF(项目类型,C1,'数据-汇总表'!E17:E26))</f>
        <v>34459.17</v>
      </c>
    </row>
    <row r="19" spans="1:36" ht="15">
      <c r="A19" s="1898" t="s">
        <v>1735</v>
      </c>
      <c r="B19" s="1899" t="s">
        <v>1736</v>
      </c>
      <c r="C19" s="139">
        <f ca="1">SUMIF(INDIRECT("'"&amp;C4&amp;"'"&amp;"!A:A"),结果表!B19,INDIRECT("'"&amp;C4&amp;"'"&amp;"!B:B"))</f>
        <v>145933</v>
      </c>
      <c r="D19" s="140">
        <f ca="1">SUMIF(INDIRECT("'"&amp;D4&amp;"'"&amp;"!A:A"),结果表!B19,INDIRECT("'"&amp;D4&amp;"'"&amp;"!B:B"))</f>
        <v>87933</v>
      </c>
      <c r="E19" s="1898" t="s">
        <v>1737</v>
      </c>
      <c r="F19" s="1899" t="s">
        <v>1736</v>
      </c>
      <c r="G19" s="141">
        <f ca="1">ROUND(C19*$C$18+D19*$D$18,0)</f>
        <v>122733</v>
      </c>
      <c r="H19" s="1900" t="s">
        <v>1738</v>
      </c>
      <c r="I19" s="134"/>
      <c r="K19" s="308" t="s">
        <v>1739</v>
      </c>
      <c r="L19" s="308">
        <f>IF(C1="",'数据-汇总表'!D3,SUMIF(项目类型,C1,'数据-汇总表'!D17:D26)+SUMIF(项目类型,C1,'数据-汇总表'!H17:H27))</f>
        <v>12272.21</v>
      </c>
      <c r="M19" s="308">
        <f>IF(C1="",'数据-汇总表'!D3,SUMIF(项目类型,C1,'数据-汇总表'!D17:D26))</f>
        <v>12272.21</v>
      </c>
    </row>
    <row r="20" spans="1:36" ht="15">
      <c r="A20" s="1901"/>
      <c r="B20" s="1138" t="s">
        <v>1740</v>
      </c>
      <c r="C20" s="142">
        <f ca="1">SUMIF(INDIRECT("'"&amp;C4&amp;"'"&amp;"!A:A"),结果表!B20,INDIRECT("'"&amp;C4&amp;"'"&amp;"!B:B"))</f>
        <v>42350</v>
      </c>
      <c r="D20" s="143">
        <f ca="1">SUMIF(INDIRECT("'"&amp;D4&amp;"'"&amp;"!A:A"),结果表!B20,INDIRECT("'"&amp;D4&amp;"'"&amp;"!B:B"))</f>
        <v>25518</v>
      </c>
      <c r="E20" s="1901"/>
      <c r="F20" s="1138" t="s">
        <v>1740</v>
      </c>
      <c r="G20" s="144">
        <f ca="1">ROUND(C20*$C$18+D20*$D$18,0)</f>
        <v>35617</v>
      </c>
      <c r="H20" s="898" t="s">
        <v>1741</v>
      </c>
      <c r="I20" s="134"/>
    </row>
    <row r="21" spans="1:36" ht="15" customHeight="1" thickBot="1">
      <c r="A21" s="918"/>
      <c r="B21" s="1902" t="s">
        <v>1742</v>
      </c>
      <c r="C21" s="728">
        <f ca="1">ROUND(C19*10000/L19,0)</f>
        <v>118913</v>
      </c>
      <c r="D21" s="729">
        <f ca="1">ROUND(D19*10000/L19,0)</f>
        <v>71652</v>
      </c>
      <c r="E21" s="918"/>
      <c r="F21" s="1902" t="s">
        <v>1742</v>
      </c>
      <c r="G21" s="145">
        <f ca="1">ROUND(G19*10000/L19,0)</f>
        <v>100009</v>
      </c>
      <c r="H21" s="1903" t="s">
        <v>1741</v>
      </c>
      <c r="I21" s="134"/>
    </row>
    <row r="22" spans="1:36" ht="15" thickBot="1">
      <c r="A22" s="1825" t="s">
        <v>1743</v>
      </c>
      <c r="B22" s="1904"/>
      <c r="C22" s="1905"/>
      <c r="D22" s="730">
        <f ca="1">IF(C19&lt;D19,D19/C19-1,C19/D19-1)</f>
        <v>0.659593099291506</v>
      </c>
      <c r="E22" s="134"/>
      <c r="F22" s="134"/>
      <c r="G22" s="134"/>
      <c r="H22" s="134"/>
      <c r="I22" s="134"/>
      <c r="K22" s="734">
        <f ca="1">成本法!B3</f>
        <v>42350</v>
      </c>
      <c r="L22" s="734">
        <f ca="1">收益法!B3</f>
        <v>25634</v>
      </c>
    </row>
    <row r="23" spans="1:36" ht="13.5" thickBot="1">
      <c r="A23" s="1884"/>
      <c r="B23" s="1884"/>
      <c r="C23" s="1884"/>
      <c r="D23" s="1884"/>
      <c r="E23" s="134"/>
      <c r="F23" s="134"/>
      <c r="G23" s="134"/>
      <c r="H23" s="134"/>
      <c r="I23" s="134"/>
    </row>
    <row r="24" spans="1:36" ht="14.25">
      <c r="A24" s="3558" t="s">
        <v>1744</v>
      </c>
      <c r="B24" s="1899" t="s">
        <v>1736</v>
      </c>
      <c r="C24" s="141">
        <f>IF(B30=0,0,D30)</f>
        <v>0</v>
      </c>
      <c r="D24" s="1906"/>
      <c r="E24" s="134"/>
      <c r="F24" s="134"/>
      <c r="G24" s="134"/>
      <c r="H24" s="134"/>
      <c r="I24" s="134"/>
    </row>
    <row r="25" spans="1:36" ht="14.25">
      <c r="A25" s="3559"/>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122733</v>
      </c>
      <c r="D32" s="1912" t="s">
        <v>3436</v>
      </c>
      <c r="E32" s="134"/>
      <c r="F32" s="134"/>
      <c r="G32" s="134"/>
      <c r="H32" s="134"/>
      <c r="I32" s="134"/>
    </row>
    <row r="33" spans="1:15" ht="15">
      <c r="A33" s="875" t="s">
        <v>1751</v>
      </c>
      <c r="B33" s="1913"/>
      <c r="C33" s="1914" t="s">
        <v>3437</v>
      </c>
      <c r="D33" s="1915" t="s">
        <v>3438</v>
      </c>
      <c r="E33" s="1916" t="s">
        <v>1752</v>
      </c>
      <c r="F33" s="1917" t="str">
        <f>IF(D32="楼面单价","取值（单价）","取值（总价）")</f>
        <v>取值（总价）</v>
      </c>
      <c r="G33" s="134"/>
      <c r="H33" s="134"/>
      <c r="I33" s="134"/>
    </row>
    <row r="34" spans="1:15" ht="15">
      <c r="A34" s="1918"/>
      <c r="B34" s="1919" t="s">
        <v>1753</v>
      </c>
      <c r="C34" s="153">
        <f ca="1">IF(C33="自定义",F34,C32-C35)</f>
        <v>109355</v>
      </c>
      <c r="D34" s="951">
        <f ca="1">IF(C33="自定义",ROUND(C34/C32,3),IF(C33="收益比率",SUMIF(INDIRECT("'"&amp;D33&amp;"'"&amp;"!b:b"),"土地收益比率",INDIRECT("'"&amp;D33&amp;"'"&amp;"!c:c")),SUMIF(INDIRECT("'"&amp;D33&amp;"'"&amp;"!b:b"),"土地成本比率",INDIRECT("'"&amp;D33&amp;"'"&amp;"!c:c"))))</f>
        <v>0.89100000000000001</v>
      </c>
      <c r="E34" s="1920" t="s">
        <v>1754</v>
      </c>
      <c r="F34" s="1451"/>
      <c r="G34" s="134"/>
      <c r="H34" s="134"/>
      <c r="I34" s="134"/>
    </row>
    <row r="35" spans="1:15" ht="15.75" thickBot="1">
      <c r="A35" s="1921"/>
      <c r="B35" s="1922" t="s">
        <v>1755</v>
      </c>
      <c r="C35" s="1285">
        <f ca="1">IF(C33="自定义",F35,ROUND(C32*D35,0))</f>
        <v>13378</v>
      </c>
      <c r="D35" s="1286">
        <f ca="1">IF(C33="自定义",ROUND(C35/C32,3),IF(C33="收益比率",SUMIF(INDIRECT("'"&amp;D33&amp;"'"&amp;"!b:b"),"建筑物收益比率",INDIRECT("'"&amp;D33&amp;"'"&amp;"!c:c")),SUMIF(INDIRECT("'"&amp;D33&amp;"'"&amp;"!b:b"),"建筑物成本比率",INDIRECT("'"&amp;D33&amp;"'"&amp;"!c:c"))))</f>
        <v>0.109</v>
      </c>
      <c r="E35" s="1923" t="s">
        <v>1756</v>
      </c>
      <c r="F35" s="159"/>
      <c r="G35" s="134"/>
      <c r="H35" s="134"/>
      <c r="I35" s="134"/>
    </row>
    <row r="36" spans="1:15" ht="15.75" thickBot="1">
      <c r="A36" s="3535" t="s">
        <v>1757</v>
      </c>
      <c r="B36" s="1924" t="s">
        <v>1758</v>
      </c>
      <c r="C36" s="150"/>
      <c r="D36" s="1925"/>
      <c r="E36" s="1926"/>
      <c r="F36" s="1927"/>
      <c r="G36" s="134"/>
      <c r="H36" s="134"/>
      <c r="I36" s="134"/>
    </row>
    <row r="37" spans="1:15" ht="15.75" thickBot="1">
      <c r="A37" s="3536"/>
      <c r="B37" s="1811" t="s">
        <v>1759</v>
      </c>
      <c r="C37" s="152"/>
      <c r="D37" s="1254"/>
      <c r="E37" s="1254"/>
      <c r="F37" s="1927"/>
      <c r="G37" s="134"/>
      <c r="H37" s="134"/>
      <c r="I37" s="134"/>
    </row>
    <row r="38" spans="1:15" ht="15.75" thickBot="1">
      <c r="A38" s="353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555" t="s">
        <v>1771</v>
      </c>
      <c r="B45" s="3556"/>
      <c r="C45" s="3557"/>
      <c r="D45" s="160">
        <f ca="1">ROUND(H101*F45,0)</f>
        <v>122733</v>
      </c>
      <c r="E45" s="161" t="s">
        <v>1772</v>
      </c>
      <c r="F45" s="162">
        <v>1</v>
      </c>
      <c r="G45" s="163" t="s">
        <v>1773</v>
      </c>
      <c r="H45" s="134"/>
      <c r="I45" s="134"/>
      <c r="J45" s="3472" t="s">
        <v>1774</v>
      </c>
      <c r="K45" s="3472"/>
      <c r="L45" s="3472"/>
      <c r="M45" s="3472"/>
      <c r="N45" s="3472"/>
      <c r="O45" s="3472"/>
    </row>
    <row r="46" spans="1:15" ht="14.25" customHeight="1">
      <c r="A46" s="3552" t="s">
        <v>1775</v>
      </c>
      <c r="B46" s="3553"/>
      <c r="C46" s="3553"/>
      <c r="D46" s="3553"/>
      <c r="E46" s="3553"/>
      <c r="F46" s="3553"/>
      <c r="G46" s="3554"/>
      <c r="H46" s="1943"/>
      <c r="I46" s="164"/>
      <c r="J46" s="2699">
        <v>1</v>
      </c>
      <c r="K46" s="3473" t="s">
        <v>1776</v>
      </c>
      <c r="L46" s="3473"/>
      <c r="M46" s="3474"/>
      <c r="N46" s="3474"/>
      <c r="O46" s="3474"/>
    </row>
    <row r="47" spans="1:15" ht="12" customHeight="1">
      <c r="A47" s="165" t="s">
        <v>1777</v>
      </c>
      <c r="B47" s="166"/>
      <c r="C47" s="167"/>
      <c r="D47" s="1200" t="s">
        <v>1778</v>
      </c>
      <c r="E47" s="308" t="s">
        <v>1779</v>
      </c>
      <c r="F47" s="168" t="s">
        <v>1780</v>
      </c>
      <c r="G47" s="2722" t="s">
        <v>1781</v>
      </c>
      <c r="H47" s="2723"/>
      <c r="I47" s="164"/>
      <c r="J47" s="2699">
        <v>2</v>
      </c>
      <c r="K47" s="3473" t="s">
        <v>1782</v>
      </c>
      <c r="L47" s="3473"/>
      <c r="M47" s="3475">
        <f>'数据-取费表'!B2</f>
        <v>44783</v>
      </c>
      <c r="N47" s="3475"/>
      <c r="O47" s="3475"/>
    </row>
    <row r="48" spans="1:15" ht="25.5">
      <c r="A48" s="3538" t="s">
        <v>1783</v>
      </c>
      <c r="B48" s="3539"/>
      <c r="C48" s="353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473" t="s">
        <v>1785</v>
      </c>
      <c r="L48" s="3473"/>
      <c r="M48" s="3476">
        <f ca="1">H101</f>
        <v>122733</v>
      </c>
      <c r="N48" s="3476"/>
      <c r="O48" s="3476"/>
    </row>
    <row r="49" spans="1:35" ht="25.5" customHeight="1">
      <c r="A49" s="2507" t="s">
        <v>1786</v>
      </c>
      <c r="B49" s="3521" t="s">
        <v>1787</v>
      </c>
      <c r="C49" s="3521"/>
      <c r="D49" s="1726">
        <v>0</v>
      </c>
      <c r="E49" s="330" t="s">
        <v>1788</v>
      </c>
      <c r="F49" s="2600" t="s">
        <v>34</v>
      </c>
      <c r="G49" s="3504"/>
      <c r="H49" s="2479" t="s">
        <v>2635</v>
      </c>
      <c r="I49" s="2480"/>
      <c r="J49" s="2699">
        <v>4</v>
      </c>
      <c r="K49" s="3473" t="str">
        <f>IF(项目基本情况!E8="房地产抵押价值","房地产抵押价值","抵押担保权已注销时的房地产抵押价值")</f>
        <v>房地产抵押价值</v>
      </c>
      <c r="L49" s="3473"/>
      <c r="M49" s="3476">
        <f ca="1">IF(项目基本情况!E8="房地产抵押价值",H107,H109)</f>
        <v>122733</v>
      </c>
      <c r="N49" s="3476"/>
      <c r="O49" s="3476"/>
    </row>
    <row r="50" spans="1:35" ht="25.5" customHeight="1">
      <c r="A50" s="2727"/>
      <c r="B50" s="3521" t="s">
        <v>1789</v>
      </c>
      <c r="C50" s="3521"/>
      <c r="D50" s="2728"/>
      <c r="E50" s="338"/>
      <c r="F50" s="2600"/>
      <c r="G50" s="3505"/>
      <c r="H50" s="2481" t="s">
        <v>2636</v>
      </c>
      <c r="I50" s="2480"/>
      <c r="J50" s="3472" t="s">
        <v>1790</v>
      </c>
      <c r="K50" s="3472"/>
      <c r="L50" s="3472"/>
      <c r="M50" s="3472"/>
      <c r="N50" s="3472"/>
      <c r="O50" s="3472"/>
    </row>
    <row r="51" spans="1:35" ht="20.45" customHeight="1">
      <c r="A51" s="2729"/>
      <c r="B51" s="3521" t="s">
        <v>1791</v>
      </c>
      <c r="C51" s="3521"/>
      <c r="D51" s="1200"/>
      <c r="E51" s="333"/>
      <c r="F51" s="2600"/>
      <c r="G51" s="3506"/>
      <c r="H51" s="2481" t="s">
        <v>2637</v>
      </c>
      <c r="I51" s="2480"/>
      <c r="J51" s="2700" t="s">
        <v>1792</v>
      </c>
      <c r="K51" s="3473" t="s">
        <v>1793</v>
      </c>
      <c r="L51" s="3473"/>
      <c r="M51" s="2700" t="s">
        <v>1794</v>
      </c>
      <c r="N51" s="2700" t="s">
        <v>1795</v>
      </c>
      <c r="O51" s="2700" t="s">
        <v>1796</v>
      </c>
    </row>
    <row r="52" spans="1:35" ht="24" customHeight="1">
      <c r="A52" s="2509" t="s">
        <v>1797</v>
      </c>
      <c r="B52" s="3521" t="s">
        <v>1798</v>
      </c>
      <c r="C52" s="3521"/>
      <c r="D52" s="1200">
        <f ca="1">ROUND(D45*'数据-取费表'!B41/(1+'数据-取费表'!C42),0)</f>
        <v>6546</v>
      </c>
      <c r="E52" s="2508" t="s">
        <v>1799</v>
      </c>
      <c r="F52" s="2730">
        <f>'数据-取费表'!B41</f>
        <v>5.6000000000000001E-2</v>
      </c>
      <c r="G52" s="2731"/>
      <c r="H52" s="2720"/>
      <c r="I52" s="1944"/>
      <c r="J52" s="2699">
        <v>1</v>
      </c>
      <c r="K52" s="3498" t="s">
        <v>1800</v>
      </c>
      <c r="L52" s="3498"/>
      <c r="M52" s="2701" t="b">
        <f>D48</f>
        <v>0</v>
      </c>
      <c r="N52" s="2699" t="str">
        <f>E48</f>
        <v>销售额×税（费）率</v>
      </c>
      <c r="O52" s="2702">
        <f>F48</f>
        <v>5.6000000000000001E-2</v>
      </c>
    </row>
    <row r="53" spans="1:35" ht="12" customHeight="1">
      <c r="A53" s="2509" t="s">
        <v>1801</v>
      </c>
      <c r="B53" s="3522" t="s">
        <v>2792</v>
      </c>
      <c r="C53" s="3523"/>
      <c r="D53" s="1200">
        <f ca="1">ROUND(D45*'数据-取费表'!B41/(1+'数据-取费表'!C42),0)</f>
        <v>6546</v>
      </c>
      <c r="E53" s="2508" t="s">
        <v>1799</v>
      </c>
      <c r="F53" s="2730">
        <f>'数据-取费表'!B41</f>
        <v>5.6000000000000001E-2</v>
      </c>
      <c r="G53" s="2731"/>
      <c r="H53" s="2720"/>
      <c r="I53" s="1944"/>
      <c r="J53" s="2699">
        <v>2</v>
      </c>
      <c r="K53" s="3498" t="s">
        <v>1802</v>
      </c>
      <c r="L53" s="3498"/>
      <c r="M53" s="2701">
        <f t="shared" ref="M53:O54" ca="1" si="0">D55</f>
        <v>61</v>
      </c>
      <c r="N53" s="2699" t="str">
        <f t="shared" si="0"/>
        <v>销售额×税（费）率</v>
      </c>
      <c r="O53" s="2702" t="str">
        <f t="shared" si="0"/>
        <v>免征</v>
      </c>
    </row>
    <row r="54" spans="1:35" ht="12" customHeight="1">
      <c r="A54" s="2509" t="s">
        <v>1803</v>
      </c>
      <c r="B54" s="3522" t="s">
        <v>2793</v>
      </c>
      <c r="C54" s="3523"/>
      <c r="D54" s="1200">
        <f ca="1">C68</f>
        <v>6546</v>
      </c>
      <c r="E54" s="333" t="s">
        <v>1804</v>
      </c>
      <c r="F54" s="2730">
        <f>'数据-取费表'!B41</f>
        <v>5.6000000000000001E-2</v>
      </c>
      <c r="G54" s="2731"/>
      <c r="H54" s="2732"/>
      <c r="I54" s="1944"/>
      <c r="J54" s="2699">
        <v>3</v>
      </c>
      <c r="K54" s="3498" t="s">
        <v>1805</v>
      </c>
      <c r="L54" s="3498"/>
      <c r="M54" s="2701">
        <f t="shared" ca="1" si="0"/>
        <v>69467</v>
      </c>
      <c r="N54" s="2699" t="str">
        <f t="shared" si="0"/>
        <v>增值额×税（费）率</v>
      </c>
      <c r="O54" s="2703" t="str">
        <f t="shared" si="0"/>
        <v>免征</v>
      </c>
    </row>
    <row r="55" spans="1:35" ht="24" customHeight="1">
      <c r="A55" s="3561" t="s">
        <v>1806</v>
      </c>
      <c r="B55" s="3539"/>
      <c r="C55" s="3539"/>
      <c r="D55" s="2498">
        <f ca="1">IF(H55="个人住宅",0,ROUND(D45*I55,0))</f>
        <v>61</v>
      </c>
      <c r="E55" s="2508" t="s">
        <v>1807</v>
      </c>
      <c r="F55" s="2730" t="str">
        <f>IF(H55="正常",I55,"免征")</f>
        <v>免征</v>
      </c>
      <c r="G55" s="2731"/>
      <c r="H55" s="2726"/>
      <c r="I55" s="170">
        <f>'数据-取费表'!B49</f>
        <v>5.0000000000000001E-4</v>
      </c>
      <c r="J55" s="2699">
        <f>IF(H59="非个人房产","",4)</f>
        <v>4</v>
      </c>
      <c r="K55" s="3498" t="str">
        <f>IF(H59="非个人房产","——","个人所得税")</f>
        <v>个人所得税</v>
      </c>
      <c r="L55" s="3498"/>
      <c r="M55" s="2704">
        <f ca="1">D59</f>
        <v>1169</v>
      </c>
      <c r="N55" s="2179" t="str">
        <f>E59</f>
        <v>差额计税</v>
      </c>
      <c r="O55" s="2705">
        <f>F59</f>
        <v>0.01</v>
      </c>
    </row>
    <row r="56" spans="1:35" ht="24.75">
      <c r="A56" s="3561" t="s">
        <v>1808</v>
      </c>
      <c r="B56" s="3539"/>
      <c r="C56" s="3539"/>
      <c r="D56" s="2498">
        <f ca="1">IF(H56="个人住宅",D57,D58)</f>
        <v>69467</v>
      </c>
      <c r="E56" s="2508" t="s">
        <v>1809</v>
      </c>
      <c r="F56" s="2730" t="str">
        <f>IF(H56="正常",F58,"免征")</f>
        <v>免征</v>
      </c>
      <c r="G56" s="2733" t="s">
        <v>1810</v>
      </c>
      <c r="H56" s="2734"/>
      <c r="I56" s="1945"/>
      <c r="J56" s="2699" t="str">
        <f>IF(项目基本情况!K6="上海银行",IF(J55="",4,J55+1),"")</f>
        <v/>
      </c>
      <c r="K56" s="3479" t="str">
        <f>IF(项目基本情况!K6="上海银行","其他处置费用","")</f>
        <v/>
      </c>
      <c r="L56" s="3480"/>
      <c r="M56" s="2701" t="str">
        <f>IF(项目基本情况!K6="上海银行",M69,"")</f>
        <v/>
      </c>
      <c r="N56" s="3479" t="str">
        <f>IF(项目基本情况!K6="上海银行","包含处置中涉及的律师、诉讼、拍卖、评估等费用","")</f>
        <v/>
      </c>
      <c r="O56" s="3482"/>
    </row>
    <row r="57" spans="1:35" ht="12.75">
      <c r="A57" s="2509" t="s">
        <v>1786</v>
      </c>
      <c r="B57" s="3522" t="s">
        <v>1811</v>
      </c>
      <c r="C57" s="3523"/>
      <c r="D57" s="1726">
        <v>0</v>
      </c>
      <c r="E57" s="330" t="s">
        <v>1788</v>
      </c>
      <c r="F57" s="308"/>
      <c r="G57" s="2731"/>
      <c r="H57" s="2735"/>
      <c r="I57" s="1945"/>
      <c r="J57" s="3498">
        <f>IF(AND(J55="",J56=""),4,IF(项目基本情况!K6="上海银行",结果表!J56+1,结果表!J55+1))</f>
        <v>5</v>
      </c>
      <c r="K57" s="3498" t="s">
        <v>1812</v>
      </c>
      <c r="L57" s="2706" t="s">
        <v>1813</v>
      </c>
      <c r="M57" s="2707"/>
      <c r="N57" s="2708">
        <f ca="1">SUMIF(M52:M56,"&lt;9e307")</f>
        <v>70697</v>
      </c>
      <c r="O57" s="2709"/>
      <c r="P57" s="2869">
        <f ca="1">N57/M49</f>
        <v>0.57602274856802982</v>
      </c>
    </row>
    <row r="58" spans="1:35" ht="24.75">
      <c r="A58" s="2509" t="s">
        <v>1797</v>
      </c>
      <c r="B58" s="3522" t="s">
        <v>1814</v>
      </c>
      <c r="C58" s="3521"/>
      <c r="D58" s="2498">
        <f ca="1">IF(H58="转让取得",C81,C97)</f>
        <v>69467</v>
      </c>
      <c r="E58" s="2508" t="s">
        <v>1809</v>
      </c>
      <c r="F58" s="308" t="s">
        <v>34</v>
      </c>
      <c r="G58" s="2731"/>
      <c r="H58" s="2734"/>
      <c r="I58" s="1945"/>
      <c r="J58" s="3498"/>
      <c r="K58" s="3498"/>
      <c r="L58" s="2706" t="s">
        <v>1815</v>
      </c>
      <c r="M58" s="2710"/>
      <c r="N58" s="2711" t="str">
        <f ca="1">NUMBERSTRING(INT(N57*10000),2)&amp;"元整"</f>
        <v>柒亿零陆佰玖拾柒万元整</v>
      </c>
      <c r="O58" s="2712"/>
    </row>
    <row r="59" spans="1:35" ht="24.75" thickBot="1">
      <c r="A59" s="3502" t="s">
        <v>1816</v>
      </c>
      <c r="B59" s="3503"/>
      <c r="C59" s="3503"/>
      <c r="D59" s="2736">
        <f ca="1">IF(H59="非个人房产","——",IF(H59="个人住宅（满五唯一有凭证）",0,IF(H59="个人其他（无凭证）",ROUND(D45*F59,0),ROUND(C67*F59,0))))</f>
        <v>1169</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500">
        <f>J57+1</f>
        <v>6</v>
      </c>
      <c r="K59" s="3498" t="s">
        <v>1817</v>
      </c>
      <c r="L59" s="2699" t="s">
        <v>1813</v>
      </c>
      <c r="M59" s="2713"/>
      <c r="N59" s="2714">
        <f ca="1">M49-N57</f>
        <v>52036</v>
      </c>
      <c r="O59" s="2715"/>
    </row>
    <row r="60" spans="1:35" ht="12" customHeight="1">
      <c r="A60" s="1946"/>
      <c r="B60" s="1884"/>
      <c r="C60" s="1884"/>
      <c r="D60" s="1884"/>
      <c r="E60" s="1714"/>
      <c r="F60" s="1945"/>
      <c r="G60" s="1945"/>
      <c r="H60" s="1947"/>
      <c r="I60" s="134"/>
      <c r="J60" s="3501"/>
      <c r="K60" s="3498"/>
      <c r="L60" s="2706" t="s">
        <v>1815</v>
      </c>
      <c r="M60" s="2710"/>
      <c r="N60" s="2711" t="str">
        <f ca="1">NUMBERSTRING(INT(N59*10000),2)&amp;"元整"</f>
        <v>伍亿贰仟零叁拾陆万元整</v>
      </c>
      <c r="O60" s="2712"/>
    </row>
    <row r="61" spans="1:35" ht="13.5" thickBot="1">
      <c r="A61" s="3560" t="s">
        <v>1818</v>
      </c>
      <c r="B61" s="3560"/>
      <c r="C61" s="3560"/>
      <c r="D61" s="3560"/>
      <c r="E61" s="3560"/>
      <c r="F61" s="1945"/>
      <c r="G61" s="1945"/>
      <c r="H61" s="1947"/>
      <c r="I61" s="134"/>
      <c r="J61" s="2699">
        <f>J59+1</f>
        <v>7</v>
      </c>
      <c r="K61" s="3498" t="s">
        <v>1819</v>
      </c>
      <c r="L61" s="3498"/>
      <c r="M61" s="2716"/>
      <c r="N61" s="2717">
        <f ca="1">ROUND(N59*10000/'数据-汇总表'!E3,0)</f>
        <v>15101</v>
      </c>
      <c r="O61" s="2718"/>
    </row>
    <row r="62" spans="1:35" ht="12.75">
      <c r="A62" s="3517" t="s">
        <v>1820</v>
      </c>
      <c r="B62" s="3518"/>
      <c r="C62" s="2160"/>
      <c r="D62" s="2160" t="s">
        <v>1821</v>
      </c>
      <c r="E62" s="171" t="s">
        <v>1822</v>
      </c>
      <c r="F62" s="1945"/>
      <c r="G62" s="1945"/>
      <c r="H62" s="1947"/>
      <c r="I62" s="134"/>
    </row>
    <row r="63" spans="1:35" ht="12.75">
      <c r="A63" s="178" t="s">
        <v>594</v>
      </c>
      <c r="B63" s="172" t="s">
        <v>1823</v>
      </c>
      <c r="C63" s="2740">
        <f ca="1">ROUND((C64+C65)/(1+'数据-取费表'!C42),0)</f>
        <v>116889</v>
      </c>
      <c r="D63" s="172"/>
      <c r="E63" s="173"/>
      <c r="F63" s="1945"/>
      <c r="G63" s="1945"/>
      <c r="H63" s="1947"/>
      <c r="I63" s="134"/>
      <c r="J63" s="3481" t="s">
        <v>1824</v>
      </c>
      <c r="K63" s="1453" t="s">
        <v>1825</v>
      </c>
      <c r="L63" s="1453">
        <f ca="1">IF(M49&gt;10000,M49*0.5%,IF(AND(M49&gt;1000,M49&lt;=10000),M49*1%,IF(AND(M49&gt;100,M49&lt;=1000),M49*3%,IF(AND(M49&gt;10,M49&lt;=100),M49*5%,M49*8%))))</f>
        <v>613.66499999999996</v>
      </c>
      <c r="M63" s="308">
        <f ca="1">ROUND(L63,1)</f>
        <v>613.70000000000005</v>
      </c>
      <c r="N63" s="2719"/>
      <c r="Z63" s="1889"/>
      <c r="AI63" s="1890"/>
    </row>
    <row r="64" spans="1:35" ht="14.25" customHeight="1">
      <c r="A64" s="174" t="s">
        <v>589</v>
      </c>
      <c r="B64" s="175" t="s">
        <v>1826</v>
      </c>
      <c r="C64" s="2741">
        <f ca="1">D45</f>
        <v>122733</v>
      </c>
      <c r="D64" s="175" t="s">
        <v>32</v>
      </c>
      <c r="E64" s="177"/>
      <c r="F64" s="1945"/>
      <c r="G64" s="1945"/>
      <c r="H64" s="1947"/>
      <c r="I64" s="134"/>
      <c r="J64" s="3481"/>
      <c r="K64" s="1453" t="s">
        <v>1827</v>
      </c>
      <c r="L64" s="1453">
        <f ca="1">IF(M49&gt;2000,M49*0.5%,IF(AND(M49&gt;1000,M49&lt;=2000),M49*0.6%,IF(AND(M49&gt;500,M49&lt;=1000),M49*0.7%,IF(AND(M49&gt;200,M49&lt;=500),M49*0.8%,IF(AND(M49&gt;100,M49&lt;=200),M49*0.9%,IF(AND(M49&gt;50,M49&lt;=100),M49*1%,IF(AND(M49&gt;20,M49&lt;=50),M49*1.5%,IF(AND(M49&gt;10,M49&lt;=20),M49*2%,IF(AND(M49&gt;1,M49&lt;=10),M49*2.5%)))))))))</f>
        <v>613.66499999999996</v>
      </c>
      <c r="M64" s="308">
        <f t="shared" ref="M64:M65" ca="1" si="1">ROUND(L64,1)</f>
        <v>613.70000000000005</v>
      </c>
      <c r="N64" s="2720" t="s">
        <v>1828</v>
      </c>
      <c r="Z64" s="1889"/>
      <c r="AI64" s="1890"/>
    </row>
    <row r="65" spans="1:35" ht="14.25" customHeight="1">
      <c r="A65" s="174" t="s">
        <v>590</v>
      </c>
      <c r="B65" s="175" t="s">
        <v>1829</v>
      </c>
      <c r="C65" s="2742"/>
      <c r="D65" s="175"/>
      <c r="E65" s="177"/>
      <c r="F65" s="1945"/>
      <c r="G65" s="1945"/>
      <c r="H65" s="1947"/>
      <c r="I65" s="134"/>
      <c r="J65" s="3481"/>
      <c r="K65" s="1453" t="s">
        <v>1830</v>
      </c>
      <c r="L65" s="1453">
        <f ca="1">IF(M49&gt;1000,M49*0.1%,IF(AND(M49&gt;500,M49&lt;=1000),M49*0.5%,IF(AND(M49&gt;50,M49&lt;=500),M49*1%,IF(AND(M49&gt;1,M49&lt;=50),M49*1.5%))))</f>
        <v>122.733</v>
      </c>
      <c r="M65" s="308">
        <f t="shared" ca="1" si="1"/>
        <v>122.7</v>
      </c>
      <c r="N65" s="2720" t="s">
        <v>1828</v>
      </c>
      <c r="Z65" s="1889"/>
      <c r="AI65" s="1890"/>
    </row>
    <row r="66" spans="1:35" ht="14.25" customHeight="1">
      <c r="A66" s="178" t="s">
        <v>591</v>
      </c>
      <c r="B66" s="179" t="s">
        <v>1831</v>
      </c>
      <c r="C66" s="2743"/>
      <c r="D66" s="179" t="s">
        <v>32</v>
      </c>
      <c r="E66" s="1460" t="s">
        <v>1096</v>
      </c>
      <c r="F66" s="1945"/>
      <c r="G66" s="1945"/>
      <c r="H66" s="1947"/>
      <c r="I66" s="134"/>
      <c r="J66" s="3481"/>
      <c r="K66" s="1453" t="s">
        <v>1832</v>
      </c>
      <c r="L66" s="1453">
        <f ca="1">M49*0.5%</f>
        <v>613.66499999999996</v>
      </c>
      <c r="M66" s="308">
        <f ca="1">IF(L66&gt;0.5,0.5,ROUND(L66,0))</f>
        <v>0.5</v>
      </c>
      <c r="N66" s="2720" t="s">
        <v>1833</v>
      </c>
      <c r="Z66" s="1889"/>
      <c r="AI66" s="1890"/>
    </row>
    <row r="67" spans="1:35" ht="14.25" customHeight="1">
      <c r="A67" s="178" t="s">
        <v>592</v>
      </c>
      <c r="B67" s="179" t="s">
        <v>1834</v>
      </c>
      <c r="C67" s="2744">
        <f ca="1">C63-C66</f>
        <v>116889</v>
      </c>
      <c r="D67" s="175" t="s">
        <v>32</v>
      </c>
      <c r="E67" s="177"/>
      <c r="F67" s="1945"/>
      <c r="G67" s="1945"/>
      <c r="H67" s="1947"/>
      <c r="I67" s="134"/>
      <c r="J67" s="3481"/>
      <c r="K67" s="1453" t="s">
        <v>1835</v>
      </c>
      <c r="L67" s="1453">
        <f ca="1">IF(M49&gt;=10000,(8.25+(M49-10000)*0.01%),IF(AND(M49&gt;=8000,M49&lt;10000),(7.85+(M49-8000)*0.02%),IF(AND(M49&gt;=5000,M49&lt;8000),(6.65+(M49-5000)*0.04%),IF(AND(M49&gt;=2000,M49&lt;5000),(4.25+(PM49-2000)*0.08%),IF(AND(M49&gt;=1000,M49&lt;2000),(2.75+(M49-1000)*0.15%),IF(AND(M49&gt;=100,M49&lt;1000),(0.5+(M49-100)*0.25%),IF(AND(M49&gt;0,M49&lt;100),M49*0.5%)))))))</f>
        <v>19.523299999999999</v>
      </c>
      <c r="M67" s="308">
        <f ca="1">ROUND(L67*0.9,1)</f>
        <v>17.600000000000001</v>
      </c>
      <c r="N67" s="2719"/>
      <c r="Z67" s="1889"/>
      <c r="AI67" s="1890"/>
    </row>
    <row r="68" spans="1:35" ht="14.25" customHeight="1" thickBot="1">
      <c r="A68" s="181" t="s">
        <v>593</v>
      </c>
      <c r="B68" s="182" t="s">
        <v>1836</v>
      </c>
      <c r="C68" s="2745">
        <f ca="1">IF(C67&lt;=0,0,ROUND(C67*D68,0))</f>
        <v>6546</v>
      </c>
      <c r="D68" s="2746">
        <f>'数据-取费表'!B41</f>
        <v>5.6000000000000001E-2</v>
      </c>
      <c r="E68" s="184"/>
      <c r="F68" s="1945"/>
      <c r="G68" s="1945"/>
      <c r="H68" s="1947"/>
      <c r="I68" s="134"/>
      <c r="J68" s="3481"/>
      <c r="K68" s="1453" t="s">
        <v>1837</v>
      </c>
      <c r="L68" s="1453">
        <f ca="1">IF(M49&gt;10000,M49*0.5%,IF(AND(M49&gt;5000,M49&lt;=10000),M49*1%,IF(AND(M49&gt;1000,M49&lt;=5000),M49*2%,IF(AND(M49&gt;200,M49&lt;=1000),M49*3%,M49*5%))))</f>
        <v>613.66499999999996</v>
      </c>
      <c r="M68" s="308">
        <f ca="1">ROUND(L68,1)</f>
        <v>613.70000000000005</v>
      </c>
      <c r="N68" s="2719"/>
      <c r="Z68" s="1889"/>
      <c r="AI68" s="1890"/>
    </row>
    <row r="69" spans="1:35" s="1909" customFormat="1" ht="16.5" customHeight="1">
      <c r="A69" s="1948"/>
      <c r="B69" s="1949"/>
      <c r="C69" s="1950"/>
      <c r="D69" s="1951"/>
      <c r="E69" s="1952"/>
      <c r="F69" s="1714"/>
      <c r="G69" s="1714"/>
      <c r="H69" s="1713"/>
      <c r="I69" s="1884"/>
      <c r="J69" s="3481"/>
      <c r="K69" s="1453" t="s">
        <v>1838</v>
      </c>
      <c r="L69" s="1453"/>
      <c r="M69" s="308">
        <f ca="1">ROUND(SUM(M63:M68),0)</f>
        <v>1982</v>
      </c>
      <c r="N69" s="2721">
        <f ca="1">M69/M49</f>
        <v>1.6148876015415578E-2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525" t="s">
        <v>1839</v>
      </c>
      <c r="B70" s="3526"/>
      <c r="C70" s="3526"/>
      <c r="D70" s="3526"/>
      <c r="E70" s="3526"/>
      <c r="F70" s="3526"/>
      <c r="G70" s="3526"/>
      <c r="H70" s="352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517" t="s">
        <v>1820</v>
      </c>
      <c r="B71" s="3518"/>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116889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701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522" t="s">
        <v>1847</v>
      </c>
      <c r="F76" s="3521"/>
      <c r="G76" s="3521"/>
      <c r="H76" s="352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701</v>
      </c>
      <c r="D78" s="2753">
        <f>'数据-取费表'!B43</f>
        <v>6.000000000000001E-3</v>
      </c>
      <c r="E78" s="3514" t="s">
        <v>1851</v>
      </c>
      <c r="F78" s="3515"/>
      <c r="G78" s="3515"/>
      <c r="H78" s="351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116188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165.74607703281026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69467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525" t="s">
        <v>1855</v>
      </c>
      <c r="B83" s="3526"/>
      <c r="C83" s="3526"/>
      <c r="D83" s="3526"/>
      <c r="E83" s="3526"/>
      <c r="F83" s="3526"/>
      <c r="G83" s="3526"/>
      <c r="H83" s="352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517" t="s">
        <v>1820</v>
      </c>
      <c r="B84" s="351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116889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701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83" t="s">
        <v>2630</v>
      </c>
      <c r="H90" s="3484"/>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514" t="s">
        <v>1864</v>
      </c>
      <c r="F91" s="3515"/>
      <c r="G91" s="351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514" t="s">
        <v>1867</v>
      </c>
      <c r="F92" s="3515"/>
      <c r="G92" s="3515"/>
      <c r="H92" s="3516"/>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701</v>
      </c>
      <c r="D93" s="2753">
        <f>'数据-取费表'!B43</f>
        <v>6.000000000000001E-3</v>
      </c>
      <c r="E93" s="3514" t="s">
        <v>1851</v>
      </c>
      <c r="F93" s="3515"/>
      <c r="G93" s="3515"/>
      <c r="H93" s="351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562" t="s">
        <v>1871</v>
      </c>
      <c r="F94" s="3563"/>
      <c r="G94" s="3563"/>
      <c r="H94" s="356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116188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165.74607703281026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69467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464" t="s">
        <v>1873</v>
      </c>
      <c r="B100" s="3465"/>
      <c r="C100" s="3465"/>
      <c r="D100" s="3499"/>
      <c r="E100" s="3465" t="s">
        <v>1874</v>
      </c>
      <c r="F100" s="3465"/>
      <c r="G100" s="3465"/>
      <c r="H100" s="3499"/>
      <c r="I100" s="134"/>
    </row>
    <row r="101" spans="1:35" ht="18.75" customHeight="1">
      <c r="A101" s="3507" t="s">
        <v>1875</v>
      </c>
      <c r="B101" s="3508"/>
      <c r="C101" s="2761" t="str">
        <f>C4</f>
        <v>成本法</v>
      </c>
      <c r="D101" s="2762" t="str">
        <f>D4</f>
        <v>收益法（汇总）</v>
      </c>
      <c r="E101" s="3477" t="s">
        <v>1876</v>
      </c>
      <c r="F101" s="3478"/>
      <c r="G101" s="1964" t="s">
        <v>1877</v>
      </c>
      <c r="H101" s="2771">
        <f ca="1">H118</f>
        <v>122733</v>
      </c>
      <c r="I101" s="134"/>
    </row>
    <row r="102" spans="1:35" ht="18.75" customHeight="1">
      <c r="A102" s="3509" t="s">
        <v>1878</v>
      </c>
      <c r="B102" s="2760" t="s">
        <v>1877</v>
      </c>
      <c r="C102" s="2761">
        <f ca="1">C19</f>
        <v>145933</v>
      </c>
      <c r="D102" s="2762">
        <f ca="1">D19</f>
        <v>87933</v>
      </c>
      <c r="E102" s="3477"/>
      <c r="F102" s="3478"/>
      <c r="G102" s="1964" t="s">
        <v>1879</v>
      </c>
      <c r="H102" s="2731">
        <f ca="1">I118</f>
        <v>35617</v>
      </c>
      <c r="I102" s="134"/>
    </row>
    <row r="103" spans="1:35" ht="42.75" customHeight="1">
      <c r="A103" s="3509"/>
      <c r="B103" s="2760" t="s">
        <v>1879</v>
      </c>
      <c r="C103" s="2763">
        <f ca="1">C20</f>
        <v>42350</v>
      </c>
      <c r="D103" s="2764">
        <f ca="1">D20</f>
        <v>25518</v>
      </c>
      <c r="E103" s="3470" t="s">
        <v>1880</v>
      </c>
      <c r="F103" s="3471"/>
      <c r="G103" s="1965" t="s">
        <v>1881</v>
      </c>
      <c r="H103" s="2771">
        <f>IF(D36="正常操作",H104+H105+H106,H105+H106)</f>
        <v>0</v>
      </c>
      <c r="I103" s="134"/>
    </row>
    <row r="104" spans="1:35" ht="18.75" customHeight="1">
      <c r="A104" s="3509" t="s">
        <v>1882</v>
      </c>
      <c r="B104" s="2765" t="s">
        <v>1877</v>
      </c>
      <c r="C104" s="2766">
        <f ca="1">H118</f>
        <v>122733</v>
      </c>
      <c r="D104" s="2767"/>
      <c r="E104" s="1811" t="s">
        <v>1883</v>
      </c>
      <c r="F104" s="1802"/>
      <c r="G104" s="1965" t="s">
        <v>1881</v>
      </c>
      <c r="H104" s="2772">
        <f>IF(D36="同一抵押权人同一抵押物续贷",C36&amp;"（续贷，未扣减，详见特别提示）",C36)</f>
        <v>0</v>
      </c>
      <c r="I104" s="134"/>
    </row>
    <row r="105" spans="1:35" ht="18.75" customHeight="1" thickBot="1">
      <c r="A105" s="3519"/>
      <c r="B105" s="2768" t="s">
        <v>1879</v>
      </c>
      <c r="C105" s="2769">
        <f ca="1">I118</f>
        <v>35617</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510" t="str">
        <f>IF(项目基本情况!E8="已注销","——","3.房地产抵押价值")</f>
        <v>3.房地产抵押价值</v>
      </c>
      <c r="F107" s="3478"/>
      <c r="G107" s="1964" t="s">
        <v>1877</v>
      </c>
      <c r="H107" s="2771">
        <f ca="1">IF(E107="——","——",H101-H103)</f>
        <v>122733</v>
      </c>
      <c r="I107" s="134"/>
    </row>
    <row r="108" spans="1:35" ht="18.75" customHeight="1">
      <c r="A108" s="134"/>
      <c r="B108" s="134"/>
      <c r="C108" s="134"/>
      <c r="D108" s="134"/>
      <c r="E108" s="3510"/>
      <c r="F108" s="3478"/>
      <c r="G108" s="1964" t="s">
        <v>1879</v>
      </c>
      <c r="H108" s="2731">
        <f ca="1">ROUND(H107*10000/'数据-汇总表'!E3,0)</f>
        <v>35617</v>
      </c>
      <c r="I108" s="134"/>
    </row>
    <row r="109" spans="1:35" ht="18.75" customHeight="1">
      <c r="A109" s="134"/>
      <c r="B109" s="134"/>
      <c r="C109" s="134"/>
      <c r="D109" s="134"/>
      <c r="E109" s="3510" t="str">
        <f>IF(项目基本情况!E8="已注销及未注销","4.抵押担保权已注销时的房地产抵押价值",IF(项目基本情况!E8="已注销","3.抵押担保权已注销时的房地产抵押价值","——"))</f>
        <v>——</v>
      </c>
      <c r="F109" s="3478"/>
      <c r="G109" s="1964" t="s">
        <v>1877</v>
      </c>
      <c r="H109" s="2774" t="str">
        <f>IF(E109="——","——",H101-H105-H106)</f>
        <v>——</v>
      </c>
      <c r="I109" s="134"/>
    </row>
    <row r="110" spans="1:35" ht="18.75" customHeight="1">
      <c r="A110" s="134"/>
      <c r="B110" s="134"/>
      <c r="C110" s="134"/>
      <c r="D110" s="134"/>
      <c r="E110" s="3510"/>
      <c r="F110" s="3478"/>
      <c r="G110" s="1964" t="s">
        <v>1879</v>
      </c>
      <c r="H110" s="2731" t="str">
        <f>IF(H109="——","——",ROUND(H109*10000/'数据-汇总表'!E3,0))</f>
        <v>——</v>
      </c>
      <c r="I110" s="134"/>
    </row>
    <row r="111" spans="1:35" ht="18.75" customHeight="1">
      <c r="A111" s="134"/>
      <c r="B111" s="134"/>
      <c r="C111" s="134"/>
      <c r="D111" s="134"/>
      <c r="E111" s="3511" t="str">
        <f>IF(项目基本情况!E9="抵押净值",IF(OR(项目基本情况!E8="已注销",项目基本情况!E8="房地产抵押价值"),"4.抵押净值","5.抵押净值"),"——")</f>
        <v>——</v>
      </c>
      <c r="F111" s="3497"/>
      <c r="G111" s="1964" t="s">
        <v>1877</v>
      </c>
      <c r="H111" s="2771" t="str">
        <f>IF(E111="——","——",N59)</f>
        <v>——</v>
      </c>
      <c r="I111" s="134"/>
    </row>
    <row r="112" spans="1:35" ht="18.75" customHeight="1" thickBot="1">
      <c r="A112" s="134"/>
      <c r="B112" s="134"/>
      <c r="C112" s="134"/>
      <c r="D112" s="134"/>
      <c r="E112" s="3512"/>
      <c r="F112" s="3513"/>
      <c r="G112" s="1967" t="s">
        <v>1879</v>
      </c>
      <c r="H112" s="2775" t="str">
        <f>IF(E111="——","——",N61)</f>
        <v>——</v>
      </c>
      <c r="I112" s="134"/>
    </row>
    <row r="113" spans="1:27" ht="18.75" customHeight="1">
      <c r="A113" s="134"/>
      <c r="B113" s="134"/>
      <c r="C113" s="134"/>
      <c r="D113" s="134"/>
      <c r="E113" s="3520" t="s">
        <v>1885</v>
      </c>
      <c r="F113" s="3520"/>
      <c r="G113" s="3520"/>
      <c r="H113" s="3520"/>
      <c r="I113" s="134"/>
    </row>
    <row r="114" spans="1:27" ht="3.75" customHeight="1">
      <c r="A114" s="1884"/>
      <c r="B114" s="1884"/>
      <c r="C114" s="1884"/>
      <c r="D114" s="1884"/>
      <c r="E114" s="1946"/>
      <c r="F114" s="1946"/>
      <c r="G114" s="1946"/>
      <c r="H114" s="1946"/>
      <c r="I114" s="1884"/>
    </row>
    <row r="115" spans="1:27" ht="18.75" customHeight="1">
      <c r="A115" s="3531" t="s">
        <v>1887</v>
      </c>
      <c r="B115" s="3532"/>
      <c r="C115" s="3532"/>
      <c r="D115" s="3532"/>
      <c r="E115" s="3532"/>
      <c r="F115" s="3532"/>
      <c r="G115" s="3532"/>
      <c r="H115" s="3532"/>
      <c r="I115" s="3533"/>
    </row>
    <row r="116" spans="1:27" ht="27" customHeight="1">
      <c r="A116" s="3485" t="s">
        <v>1888</v>
      </c>
      <c r="B116" s="3489" t="s">
        <v>1889</v>
      </c>
      <c r="C116" s="3489" t="s">
        <v>1890</v>
      </c>
      <c r="D116" s="3495" t="s">
        <v>1891</v>
      </c>
      <c r="E116" s="3496"/>
      <c r="F116" s="3527" t="s">
        <v>1892</v>
      </c>
      <c r="G116" s="3527"/>
      <c r="H116" s="3485" t="s">
        <v>1893</v>
      </c>
      <c r="I116" s="3485"/>
    </row>
    <row r="117" spans="1:27" ht="18.75" customHeight="1">
      <c r="A117" s="3485"/>
      <c r="B117" s="3490"/>
      <c r="C117" s="3490"/>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34459.17</v>
      </c>
      <c r="C118" s="2503">
        <f>M19</f>
        <v>12272.21</v>
      </c>
      <c r="D118" s="2503">
        <f ca="1">ROUND(IF(D32="总价",C34,E118*B118/10000),0)</f>
        <v>109355</v>
      </c>
      <c r="E118" s="2503">
        <f ca="1">ROUND(IF(C33="自定义",IF(D32="楼面单价",C34,D118*10000/B118),I118-G118),0)</f>
        <v>31735</v>
      </c>
      <c r="F118" s="2503">
        <f ca="1">ROUND(IF(D32="总价",C35,G118*B118/10000),0)</f>
        <v>13378</v>
      </c>
      <c r="G118" s="2503">
        <f ca="1">ROUND(IF(D32="楼面单价",C35,F118*10000/B118),0)</f>
        <v>3882</v>
      </c>
      <c r="H118" s="2503">
        <f ca="1">ROUND(IF(D32="总价",C32,I118*B118/10000),0)</f>
        <v>122733</v>
      </c>
      <c r="I118" s="2503">
        <f ca="1">ROUND(IF(D32="楼面单价",C32,H118*10000/B118),0)</f>
        <v>35617</v>
      </c>
    </row>
    <row r="119" spans="1:27" ht="18.75" customHeight="1">
      <c r="A119" s="3485" t="s">
        <v>1897</v>
      </c>
      <c r="B119" s="3485"/>
      <c r="C119" s="3485"/>
      <c r="D119" s="3491" t="str">
        <f ca="1">NUMBERSTRING(INT(D118*10000),2)&amp;"元整"</f>
        <v>壹拾亿玖仟叁佰伍拾伍万元整</v>
      </c>
      <c r="E119" s="3492"/>
      <c r="F119" s="3491" t="str">
        <f ca="1">NUMBERSTRING(INT(F118*10000),2)&amp;"元整"</f>
        <v>壹亿叁仟叁佰柒拾捌万元整</v>
      </c>
      <c r="G119" s="3492"/>
      <c r="H119" s="3491" t="str">
        <f ca="1">NUMBERSTRING(INT(H118*10000),2)&amp;"元整"</f>
        <v>壹拾贰亿贰仟柒佰叁拾叁万元整</v>
      </c>
      <c r="I119" s="3492"/>
    </row>
    <row r="120" spans="1:27" ht="18.75" customHeight="1">
      <c r="A120" s="3486" t="str">
        <f>IF(项目基本情况!B9="房地产市场价值","",MID(E103,3,LEN(E103)-2))</f>
        <v>估价师知悉的法定优先受偿款</v>
      </c>
      <c r="B120" s="3487"/>
      <c r="C120" s="3488"/>
      <c r="D120" s="3486">
        <f>H103</f>
        <v>0</v>
      </c>
      <c r="E120" s="3487"/>
      <c r="F120" s="3487"/>
      <c r="G120" s="3487"/>
      <c r="H120" s="3487"/>
      <c r="I120" s="348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528" t="s">
        <v>1897</v>
      </c>
      <c r="B121" s="3529"/>
      <c r="C121" s="3530"/>
      <c r="D121" s="3491" t="str">
        <f>IF(D120=0,"零元整",NUMBERSTRING(INT(D120*10000),2)&amp;"元整")</f>
        <v>零元整</v>
      </c>
      <c r="E121" s="3493"/>
      <c r="F121" s="3493"/>
      <c r="G121" s="3493"/>
      <c r="H121" s="3493"/>
      <c r="I121" s="3492"/>
      <c r="AA121" s="734"/>
    </row>
    <row r="122" spans="1:27" ht="18.75" customHeight="1">
      <c r="A122" s="3497" t="str">
        <f>IF(项目基本情况!B9="房地产市场价值","",MID(E107,3,LEN(E107)-2))</f>
        <v>房地产抵押价值</v>
      </c>
      <c r="B122" s="3497"/>
      <c r="C122" s="3497"/>
      <c r="D122" s="3486">
        <f ca="1">H107</f>
        <v>122733</v>
      </c>
      <c r="E122" s="3487"/>
      <c r="F122" s="3487"/>
      <c r="G122" s="3487"/>
      <c r="H122" s="3487"/>
      <c r="I122" s="3488"/>
      <c r="AA122" s="734"/>
    </row>
    <row r="123" spans="1:27" ht="18.75" customHeight="1">
      <c r="A123" s="3485" t="s">
        <v>1897</v>
      </c>
      <c r="B123" s="3485"/>
      <c r="C123" s="3485"/>
      <c r="D123" s="3491" t="str">
        <f ca="1">NUMBERSTRING(INT(D122*10000),2)&amp;"元整"</f>
        <v>壹拾贰亿贰仟柒佰叁拾叁万元整</v>
      </c>
      <c r="E123" s="3493"/>
      <c r="F123" s="3493"/>
      <c r="G123" s="3493"/>
      <c r="H123" s="3493"/>
      <c r="I123" s="3492"/>
      <c r="AA123" s="734"/>
    </row>
    <row r="124" spans="1:27" ht="18.75" customHeight="1">
      <c r="A124" s="3497" t="str">
        <f>IF(项目基本情况!B9="房地产市场价值","",MID(E109,3,LEN(E109)-2))</f>
        <v/>
      </c>
      <c r="B124" s="3497"/>
      <c r="C124" s="3497"/>
      <c r="D124" s="3486" t="str">
        <f>H109</f>
        <v>——</v>
      </c>
      <c r="E124" s="3487"/>
      <c r="F124" s="3487"/>
      <c r="G124" s="3487"/>
      <c r="H124" s="3487"/>
      <c r="I124" s="3488"/>
      <c r="AA124" s="734"/>
    </row>
    <row r="125" spans="1:27" ht="18.75" customHeight="1">
      <c r="A125" s="3485" t="s">
        <v>1897</v>
      </c>
      <c r="B125" s="3485"/>
      <c r="C125" s="3485"/>
      <c r="D125" s="3491" t="e">
        <f>NUMBERSTRING(INT(D124*10000),2)&amp;"元整"</f>
        <v>#VALUE!</v>
      </c>
      <c r="E125" s="3493"/>
      <c r="F125" s="3493"/>
      <c r="G125" s="3493"/>
      <c r="H125" s="3493"/>
      <c r="I125" s="3492"/>
      <c r="AA125" s="734"/>
    </row>
    <row r="126" spans="1:27" ht="18.75" customHeight="1">
      <c r="A126" s="3497" t="str">
        <f>IF(项目基本情况!B9="房地产市场价值","",MID(E111,3,LEN(E111)-2))</f>
        <v/>
      </c>
      <c r="B126" s="3497"/>
      <c r="C126" s="3497"/>
      <c r="D126" s="3486" t="str">
        <f>H111</f>
        <v>——</v>
      </c>
      <c r="E126" s="3487"/>
      <c r="F126" s="3487"/>
      <c r="G126" s="3487"/>
      <c r="H126" s="3487"/>
      <c r="I126" s="3488"/>
      <c r="AA126" s="734"/>
    </row>
    <row r="127" spans="1:27" ht="18.75" customHeight="1">
      <c r="A127" s="3485" t="s">
        <v>1897</v>
      </c>
      <c r="B127" s="3485"/>
      <c r="C127" s="3485"/>
      <c r="D127" s="3491" t="e">
        <f>NUMBERSTRING(INT(D126*10000),2)&amp;"元整"</f>
        <v>#VALUE!</v>
      </c>
      <c r="E127" s="3493"/>
      <c r="F127" s="3493"/>
      <c r="G127" s="3493"/>
      <c r="H127" s="3493"/>
      <c r="I127" s="3492"/>
      <c r="AA127" s="734"/>
    </row>
    <row r="128" spans="1:27" ht="21.75" customHeight="1">
      <c r="A128" s="3494" t="s">
        <v>1898</v>
      </c>
      <c r="B128" s="3494"/>
      <c r="C128" s="3494"/>
      <c r="D128" s="3494"/>
      <c r="E128" s="3494"/>
      <c r="F128" s="3494"/>
      <c r="G128" s="3494"/>
      <c r="H128" s="3494"/>
      <c r="I128" s="349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61" t="str">
        <f>项目基本情况!B1</f>
        <v>北京市房地产抵押价值预评估</v>
      </c>
      <c r="C37" s="3361"/>
      <c r="D37" s="3361"/>
      <c r="E37" s="3361"/>
      <c r="F37" s="3361"/>
      <c r="G37" s="3361"/>
      <c r="H37" s="3361"/>
      <c r="I37" s="336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34" zoomScaleNormal="70" zoomScaleSheetLayoutView="100" workbookViewId="0">
      <selection activeCell="E26" sqref="E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145933</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42350</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87893</v>
      </c>
      <c r="D5" s="217" t="s">
        <v>1914</v>
      </c>
      <c r="E5" s="218" t="s">
        <v>1915</v>
      </c>
      <c r="F5" s="218" t="s">
        <v>1916</v>
      </c>
      <c r="G5" s="219"/>
    </row>
    <row r="6" spans="1:9" s="220" customFormat="1" ht="13.5" customHeight="1">
      <c r="A6" s="867" t="s">
        <v>1917</v>
      </c>
      <c r="B6" s="221" t="s">
        <v>1918</v>
      </c>
      <c r="C6" s="222">
        <f>[2]基准地价修正!$E$37+[2]基准地价修正!$V$3+[2]基准地价修正!$V$2</f>
        <v>84623</v>
      </c>
      <c r="D6" s="223"/>
      <c r="E6" s="224"/>
      <c r="F6" s="224"/>
      <c r="G6" s="225"/>
    </row>
    <row r="7" spans="1:9" s="220" customFormat="1" ht="13.5" customHeight="1">
      <c r="A7" s="867" t="s">
        <v>1919</v>
      </c>
      <c r="B7" s="221" t="s">
        <v>1920</v>
      </c>
      <c r="C7" s="226">
        <f>ROUND(C6*F7,0)</f>
        <v>2581</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689</v>
      </c>
      <c r="D8" s="228"/>
      <c r="E8" s="226"/>
      <c r="F8" s="227"/>
      <c r="G8" s="1993" t="s">
        <v>3440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3441</v>
      </c>
      <c r="H9" s="1252"/>
      <c r="I9" s="1995" t="s">
        <v>1924</v>
      </c>
    </row>
    <row r="10" spans="1:9" s="220" customFormat="1" ht="13.5" customHeight="1">
      <c r="A10" s="868" t="s">
        <v>620</v>
      </c>
      <c r="B10" s="230" t="s">
        <v>1925</v>
      </c>
      <c r="C10" s="231">
        <f ca="1">ROUND(D10*E10/10000,0)</f>
        <v>689</v>
      </c>
      <c r="D10" s="935">
        <f ca="1">IF(B1="",'数据-汇总表'!E6,IF(INDIRECT("'数据-取费表'!c"&amp;$G$1)="住宅",INDIRECT("'数据-取费表'!s"&amp;$G$1),INDIRECT("'数据-取费表'!k"&amp;$G$1)+INDIRECT("'数据-取费表'!s"&amp;$G$1)))</f>
        <v>34459.17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34459.17</v>
      </c>
      <c r="E19" s="217">
        <f>'数据-取费表'!B31</f>
        <v>200</v>
      </c>
      <c r="F19" s="237"/>
      <c r="G19" s="1993" t="s">
        <v>3442</v>
      </c>
    </row>
    <row r="20" spans="1:7" s="220" customFormat="1" ht="13.5" customHeight="1">
      <c r="A20" s="261" t="s">
        <v>1938</v>
      </c>
      <c r="B20" s="216" t="s">
        <v>1939</v>
      </c>
      <c r="C20" s="238">
        <f ca="1">ROUND((C5+C19)*F20,0)</f>
        <v>1758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7612</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7538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74</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22413</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22413</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129955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13292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12060</v>
      </c>
      <c r="D34" s="223"/>
      <c r="E34" s="226"/>
      <c r="F34" s="263">
        <f ca="1">IF('数据-取费表'!B24=0,1,IF(B1="",'数据-取费表'!N16,INDIRECT("'数据-取费表'!n"&amp;$G$1)))</f>
        <v>1</v>
      </c>
      <c r="G34" s="225" t="s">
        <v>1971</v>
      </c>
    </row>
    <row r="35" spans="1:7" ht="13.5" customHeight="1">
      <c r="A35" s="869" t="s">
        <v>615</v>
      </c>
      <c r="B35" s="221" t="s">
        <v>1972</v>
      </c>
      <c r="C35" s="226">
        <f ca="1">ROUND(C34*F35,0)</f>
        <v>362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689</v>
      </c>
      <c r="D37" s="223">
        <f ca="1">D19</f>
        <v>34459.17</v>
      </c>
      <c r="E37" s="255">
        <f>'数据-取费表'!B35</f>
        <v>200</v>
      </c>
      <c r="F37" s="265"/>
      <c r="G37" s="267" t="s">
        <v>1977</v>
      </c>
    </row>
    <row r="38" spans="1:7" ht="13.5" customHeight="1">
      <c r="A38" s="869" t="s">
        <v>618</v>
      </c>
      <c r="B38" s="221" t="s">
        <v>1978</v>
      </c>
      <c r="C38" s="226">
        <f ca="1">ROUND(C34*F38,0)</f>
        <v>181</v>
      </c>
      <c r="D38" s="226"/>
      <c r="E38" s="226"/>
      <c r="F38" s="265">
        <f>'数据-取费表'!B36</f>
        <v>1.4999999999999999E-2</v>
      </c>
      <c r="G38" s="225" t="s">
        <v>1973</v>
      </c>
    </row>
    <row r="39" spans="1:7" s="220" customFormat="1" ht="13.5" customHeight="1">
      <c r="A39" s="261" t="s">
        <v>1979</v>
      </c>
      <c r="B39" s="216" t="s">
        <v>1980</v>
      </c>
      <c r="C39" s="238">
        <f ca="1">ROUND(C33*F20,0)</f>
        <v>266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569</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558</v>
      </c>
      <c r="D42" s="244"/>
      <c r="E42" s="244"/>
      <c r="F42" s="245"/>
      <c r="G42" s="3567" t="s">
        <v>1989</v>
      </c>
    </row>
    <row r="43" spans="1:7" ht="13.5" customHeight="1">
      <c r="A43" s="869" t="s">
        <v>611</v>
      </c>
      <c r="B43" s="221" t="s">
        <v>1990</v>
      </c>
      <c r="C43" s="244">
        <f ca="1">ROUND(IF('数据-取费表'!B22&lt;=1,C39*F22*'数据-取费表'!B21/2,C39*(POWER((1+F22),'数据-取费表'!B21/2)-1)),0)</f>
        <v>11</v>
      </c>
      <c r="D43" s="244"/>
      <c r="E43" s="244"/>
      <c r="F43" s="245"/>
      <c r="G43" s="3568"/>
    </row>
    <row r="44" spans="1:7" ht="13.5" customHeight="1">
      <c r="A44" s="869" t="s">
        <v>612</v>
      </c>
      <c r="B44" s="221" t="s">
        <v>1991</v>
      </c>
      <c r="C44" s="244">
        <f ca="1">ROUND(IF('数据-取费表'!B22&lt;=1,C40*F22*'数据-取费表'!B21/2,C40*(POWER((1+F22),'数据-取费表'!B21/2)-1)),4)</f>
        <v>8.0000000000000004E-4</v>
      </c>
      <c r="D44" s="244"/>
      <c r="E44" s="244"/>
      <c r="F44" s="245"/>
      <c r="G44" s="3569"/>
    </row>
    <row r="45" spans="1:7" s="220" customFormat="1" ht="13.5" customHeight="1">
      <c r="A45" s="261" t="s">
        <v>1992</v>
      </c>
      <c r="B45" s="250" t="s">
        <v>1958</v>
      </c>
      <c r="C45" s="251">
        <f ca="1">C46</f>
        <v>3390</v>
      </c>
      <c r="D45" s="241">
        <f ca="1">C47</f>
        <v>5.0000000000000001E-3</v>
      </c>
      <c r="E45" s="242" t="s">
        <v>1984</v>
      </c>
      <c r="F45" s="2488">
        <f ca="1">F27</f>
        <v>0.25</v>
      </c>
      <c r="G45" s="253" t="s">
        <v>1993</v>
      </c>
    </row>
    <row r="46" spans="1:7" s="220" customFormat="1" ht="13.5" customHeight="1">
      <c r="A46" s="869" t="s">
        <v>610</v>
      </c>
      <c r="B46" s="254" t="s">
        <v>1994</v>
      </c>
      <c r="C46" s="255">
        <f ca="1">ROUND((C33+C39)*F27,0)</f>
        <v>3390</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19022</v>
      </c>
      <c r="D49" s="238"/>
      <c r="E49" s="238"/>
      <c r="F49" s="270"/>
      <c r="G49" s="240" t="s">
        <v>1999</v>
      </c>
    </row>
    <row r="50" spans="1:7" s="264" customFormat="1" ht="24">
      <c r="A50" s="261" t="s">
        <v>2000</v>
      </c>
      <c r="B50" s="216" t="s">
        <v>2001</v>
      </c>
      <c r="C50" s="238"/>
      <c r="D50" s="238"/>
      <c r="E50" s="238"/>
      <c r="F50" s="270">
        <f>IF('数据-取费表'!B24=0,'数据-取费表'!N16,1)</f>
        <v>0.84</v>
      </c>
      <c r="G50" s="253" t="s">
        <v>2002</v>
      </c>
    </row>
    <row r="51" spans="1:7" ht="16.5" customHeight="1">
      <c r="A51" s="261" t="s">
        <v>2003</v>
      </c>
      <c r="B51" s="216" t="s">
        <v>2004</v>
      </c>
      <c r="C51" s="238">
        <f ca="1">ROUND(C49*F50,0)</f>
        <v>15978</v>
      </c>
      <c r="D51" s="238"/>
      <c r="E51" s="238"/>
      <c r="F51" s="270"/>
      <c r="G51" s="240" t="s">
        <v>2005</v>
      </c>
    </row>
    <row r="52" spans="1:7" s="214" customFormat="1" ht="16.5" thickBot="1">
      <c r="A52" s="271" t="s">
        <v>2006</v>
      </c>
      <c r="B52" s="272"/>
      <c r="C52" s="273">
        <f ca="1">C31+C51</f>
        <v>145933</v>
      </c>
      <c r="D52" s="272"/>
      <c r="E52" s="272"/>
      <c r="F52" s="272"/>
      <c r="G52" s="274"/>
    </row>
    <row r="55" spans="1:7" ht="15">
      <c r="B55" s="276" t="s">
        <v>2007</v>
      </c>
      <c r="C55" s="277"/>
    </row>
    <row r="56" spans="1:7">
      <c r="B56" s="279" t="s">
        <v>1237</v>
      </c>
      <c r="C56" s="281">
        <f ca="1">1-C57</f>
        <v>0.89100000000000001</v>
      </c>
    </row>
    <row r="57" spans="1:7">
      <c r="B57" s="279" t="s">
        <v>1238</v>
      </c>
      <c r="C57" s="280">
        <f ca="1">ROUND(C51/C52,3)</f>
        <v>0.109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18017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5229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6891834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6891834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6891834</v>
      </c>
      <c r="D10" s="935">
        <f ca="1">IF(B1="",'数据-汇总表'!E6,IF(INDIRECT("'数据-取费表'!c"&amp;$G$1)="住宅",INDIRECT("'数据-取费表'!s"&amp;$G$1),INDIRECT("'数据-取费表'!k"&amp;$G$1)+INDIRECT("'数据-取费表'!s"&amp;$G$1)))</f>
        <v>34459.17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6891834</v>
      </c>
      <c r="D19" s="939">
        <f ca="1">D9+D10</f>
        <v>34459.17</v>
      </c>
      <c r="E19" s="217">
        <f>'数据-取费表'!B31</f>
        <v>200</v>
      </c>
      <c r="F19" s="237"/>
      <c r="G19" s="1993"/>
    </row>
    <row r="20" spans="1:7" s="220" customFormat="1" ht="13.5" customHeight="1">
      <c r="A20" s="261" t="s">
        <v>2019</v>
      </c>
      <c r="B20" s="216" t="s">
        <v>2020</v>
      </c>
      <c r="C20" s="238">
        <f ca="1">ROUND((C5+C19)*F20,0)</f>
        <v>275673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1193720</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591071</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591071</v>
      </c>
      <c r="D24" s="244"/>
      <c r="E24" s="244"/>
      <c r="F24" s="245"/>
      <c r="G24" s="246" t="s">
        <v>2031</v>
      </c>
    </row>
    <row r="25" spans="1:7" s="220" customFormat="1" ht="24">
      <c r="A25" s="869" t="s">
        <v>1921</v>
      </c>
      <c r="B25" s="221" t="s">
        <v>2032</v>
      </c>
      <c r="C25" s="1243">
        <f ca="1">ROUND(IF('数据-取费表'!B22&lt;=1,C20*F22*'数据-取费表'!B22/2,C20*(POWER((1+F22),'数据-取费表'!B22/2)-1)),0)</f>
        <v>11578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3514835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3514835</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20379950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132926248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120607095</v>
      </c>
      <c r="D34" s="223"/>
      <c r="E34" s="226"/>
      <c r="F34" s="263"/>
      <c r="G34" s="225"/>
    </row>
    <row r="35" spans="1:7" ht="13.5" customHeight="1">
      <c r="A35" s="869" t="s">
        <v>615</v>
      </c>
      <c r="B35" s="221" t="s">
        <v>1972</v>
      </c>
      <c r="C35" s="226">
        <f ca="1">ROUND(C34*F35,0)</f>
        <v>3618213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6891834</v>
      </c>
      <c r="D37" s="223">
        <f ca="1">D19</f>
        <v>34459.17</v>
      </c>
      <c r="E37" s="255">
        <f>'数据-取费表'!B35</f>
        <v>200</v>
      </c>
      <c r="F37" s="265"/>
      <c r="G37" s="267"/>
    </row>
    <row r="38" spans="1:7" ht="13.5" customHeight="1">
      <c r="A38" s="869" t="s">
        <v>618</v>
      </c>
      <c r="B38" s="221" t="s">
        <v>1978</v>
      </c>
      <c r="C38" s="226">
        <f ca="1">ROUND(C34*F38,0)</f>
        <v>1809106</v>
      </c>
      <c r="D38" s="226"/>
      <c r="E38" s="226"/>
      <c r="F38" s="265">
        <f>'数据-取费表'!B36</f>
        <v>1.4999999999999999E-2</v>
      </c>
      <c r="G38" s="225" t="s">
        <v>1973</v>
      </c>
    </row>
    <row r="39" spans="1:7" s="220" customFormat="1" ht="13.5" customHeight="1">
      <c r="A39" s="261" t="s">
        <v>1979</v>
      </c>
      <c r="B39" s="216" t="s">
        <v>1980</v>
      </c>
      <c r="C39" s="238">
        <f ca="1">ROUND(C33*F20,0)</f>
        <v>2658525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5694560</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5582902</v>
      </c>
      <c r="D42" s="244"/>
      <c r="E42" s="244"/>
      <c r="F42" s="245"/>
      <c r="G42" s="3567" t="s">
        <v>2036</v>
      </c>
    </row>
    <row r="43" spans="1:7" ht="13.5" customHeight="1">
      <c r="A43" s="869" t="s">
        <v>611</v>
      </c>
      <c r="B43" s="221" t="s">
        <v>1990</v>
      </c>
      <c r="C43" s="244">
        <f ca="1">ROUND(IF('数据-取费表'!B22&lt;=1,C39*F22*'数据-取费表'!B20/2,C39*(POWER((1+F22),'数据-取费表'!B20/2)-1)),0)</f>
        <v>111658</v>
      </c>
      <c r="D43" s="244"/>
      <c r="E43" s="244"/>
      <c r="F43" s="245"/>
      <c r="G43" s="3568"/>
    </row>
    <row r="44" spans="1:7" ht="13.5" customHeight="1">
      <c r="A44" s="869" t="s">
        <v>612</v>
      </c>
      <c r="B44" s="221" t="s">
        <v>1991</v>
      </c>
      <c r="C44" s="244">
        <f ca="1">ROUND(IF('数据-取费表'!B22&lt;=1,C40*F22*'数据-取费表'!B20/2,C40*(POWER((1+F22),'数据-取费表'!B20/2)-1)),4)</f>
        <v>8.0000000000000004E-4</v>
      </c>
      <c r="D44" s="244"/>
      <c r="E44" s="244"/>
      <c r="F44" s="245"/>
      <c r="G44" s="3569"/>
    </row>
    <row r="45" spans="1:7" s="220" customFormat="1" ht="13.5" customHeight="1">
      <c r="A45" s="261" t="s">
        <v>1992</v>
      </c>
      <c r="B45" s="250" t="s">
        <v>1958</v>
      </c>
      <c r="C45" s="251">
        <f ca="1">C46</f>
        <v>33896193</v>
      </c>
      <c r="D45" s="241">
        <f ca="1">C47</f>
        <v>5.0000000000000001E-3</v>
      </c>
      <c r="E45" s="242" t="s">
        <v>1984</v>
      </c>
      <c r="F45" s="2488">
        <f ca="1">F27</f>
        <v>0.25</v>
      </c>
      <c r="G45" s="253" t="s">
        <v>1993</v>
      </c>
    </row>
    <row r="46" spans="1:7" s="220" customFormat="1" ht="13.5" customHeight="1">
      <c r="A46" s="869" t="s">
        <v>610</v>
      </c>
      <c r="B46" s="254" t="s">
        <v>1994</v>
      </c>
      <c r="C46" s="255">
        <f ca="1">ROUND((C33+C39)*F27,0)</f>
        <v>33896193</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190222094</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159786559</v>
      </c>
      <c r="D51" s="238"/>
      <c r="E51" s="238"/>
      <c r="F51" s="270"/>
      <c r="G51" s="240" t="s">
        <v>2005</v>
      </c>
    </row>
    <row r="52" spans="1:7" s="214" customFormat="1" ht="16.5" thickBot="1">
      <c r="A52" s="271" t="s">
        <v>2006</v>
      </c>
      <c r="B52" s="272"/>
      <c r="C52" s="273">
        <f ca="1">C31+C51</f>
        <v>180166509</v>
      </c>
      <c r="D52" s="272"/>
      <c r="E52" s="272"/>
      <c r="F52" s="272"/>
      <c r="G52" s="274"/>
    </row>
    <row r="55" spans="1:7" ht="15">
      <c r="B55" s="276" t="s">
        <v>2007</v>
      </c>
      <c r="C55" s="277"/>
    </row>
    <row r="56" spans="1:7">
      <c r="B56" s="279" t="s">
        <v>1237</v>
      </c>
      <c r="C56" s="281">
        <f ca="1">1-C57</f>
        <v>0.11299999999999999</v>
      </c>
    </row>
    <row r="57" spans="1:7">
      <c r="B57" s="279" t="s">
        <v>1238</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34459.17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34459.17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689</v>
      </c>
      <c r="D20" s="936">
        <f ca="1">IF(C1="",'数据-汇总表'!E6,IF(INDIRECT("'数据-取费表'!c"&amp;$K$1)="住宅",INDIRECT("'数据-取费表'!s"&amp;$K$1),INDIRECT("'数据-取费表'!k"&amp;$K$1)+INDIRECT("'数据-取费表'!s"&amp;$K$1)))</f>
        <v>34459.17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70" zoomScaleNormal="70" zoomScaleSheetLayoutView="70" workbookViewId="0">
      <selection activeCell="J52" sqref="J5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22.06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87933</v>
      </c>
      <c r="C2" s="1522" t="s">
        <v>1240</v>
      </c>
      <c r="D2" s="1522"/>
      <c r="E2" s="1523"/>
      <c r="F2" s="1524"/>
      <c r="G2" s="2885"/>
      <c r="H2" s="2874"/>
      <c r="I2" s="2874"/>
      <c r="J2" s="2874"/>
      <c r="K2" s="2875"/>
      <c r="L2" s="2874"/>
      <c r="M2" s="2874"/>
    </row>
    <row r="3" spans="1:37" ht="18" customHeight="1" thickBot="1">
      <c r="A3" s="1525" t="s">
        <v>1241</v>
      </c>
      <c r="B3" s="1526">
        <f ca="1">IF(ISERROR(B2*10000/F43),0,ROUND(B2*10000/F43,0))</f>
        <v>25634</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6552</v>
      </c>
      <c r="D5" s="1499" t="s">
        <v>1126</v>
      </c>
      <c r="E5" s="1184"/>
      <c r="F5" s="1185"/>
      <c r="G5" s="1519"/>
      <c r="H5" s="305">
        <v>1</v>
      </c>
      <c r="I5" s="306" t="s">
        <v>1125</v>
      </c>
      <c r="J5" s="1183">
        <f ca="1">J6+J10+J12</f>
        <v>0</v>
      </c>
      <c r="K5" s="1499" t="s">
        <v>1126</v>
      </c>
      <c r="L5" s="1184"/>
      <c r="M5" s="1185"/>
    </row>
    <row r="6" spans="1:37" ht="18" customHeight="1">
      <c r="A6" s="1182" t="s">
        <v>822</v>
      </c>
      <c r="B6" s="3572" t="s">
        <v>1127</v>
      </c>
      <c r="C6" s="1187">
        <f ca="1">ROUND(F6*F8*F7*(1-F9)/10000,0)</f>
        <v>6536</v>
      </c>
      <c r="D6" s="160" t="s">
        <v>2609</v>
      </c>
      <c r="E6" s="308" t="s">
        <v>1129</v>
      </c>
      <c r="F6" s="309">
        <f ca="1">INDIRECT("'数据-取费表'!u"&amp;$G$1)</f>
        <v>5.8</v>
      </c>
      <c r="G6" s="1519"/>
      <c r="H6" s="1182" t="s">
        <v>822</v>
      </c>
      <c r="I6" s="3572" t="s">
        <v>1127</v>
      </c>
      <c r="J6" s="307">
        <f ca="1">ROUND(M6*M8*M7*(1-M9)/10000,0)</f>
        <v>0</v>
      </c>
      <c r="K6" s="160" t="s">
        <v>2608</v>
      </c>
      <c r="L6" s="308" t="s">
        <v>1129</v>
      </c>
      <c r="M6" s="309">
        <f ca="1">INDIRECT("'数据-取费表'!z"&amp;$G$1)</f>
        <v>0</v>
      </c>
    </row>
    <row r="7" spans="1:37" ht="18" customHeight="1">
      <c r="A7" s="1186"/>
      <c r="B7" s="3573"/>
      <c r="C7" s="1188"/>
      <c r="D7" s="313"/>
      <c r="E7" s="1189" t="s">
        <v>1130</v>
      </c>
      <c r="F7" s="309">
        <f ca="1">IF(INDIRECT("'数据-取费表'!ah"&amp;$G$1)="",INDIRECT("'数据-取费表'!k"&amp;$G$1),INDIRECT("'数据-取费表'!ah"&amp;$G$1))</f>
        <v>34303.85</v>
      </c>
      <c r="G7" s="1519"/>
      <c r="H7" s="310"/>
      <c r="I7" s="3573"/>
      <c r="J7" s="312"/>
      <c r="K7" s="313"/>
      <c r="L7" s="308" t="s">
        <v>1130</v>
      </c>
      <c r="M7" s="309">
        <f ca="1">F7</f>
        <v>34303.85</v>
      </c>
    </row>
    <row r="8" spans="1:37" ht="18" customHeight="1">
      <c r="A8" s="310"/>
      <c r="B8" s="3573"/>
      <c r="C8" s="312"/>
      <c r="D8" s="313"/>
      <c r="E8" s="308" t="s">
        <v>1131</v>
      </c>
      <c r="F8" s="309">
        <f ca="1">INDIRECT("'数据-取费表'!ai"&amp;$G$1)</f>
        <v>365</v>
      </c>
      <c r="G8" s="1519"/>
      <c r="H8" s="310"/>
      <c r="I8" s="3573"/>
      <c r="J8" s="312"/>
      <c r="K8" s="313"/>
      <c r="L8" s="308" t="s">
        <v>1131</v>
      </c>
      <c r="M8" s="309">
        <f ca="1">INDIRECT("'数据-取费表'!ai"&amp;$G$1)</f>
        <v>365</v>
      </c>
    </row>
    <row r="9" spans="1:37" ht="18" customHeight="1">
      <c r="A9" s="310"/>
      <c r="B9" s="3574"/>
      <c r="C9" s="312"/>
      <c r="D9" s="313"/>
      <c r="E9" s="308" t="s">
        <v>1132</v>
      </c>
      <c r="F9" s="318">
        <f ca="1">INDIRECT("'数据-取费表'!w"&amp;$G$1)</f>
        <v>0.1</v>
      </c>
      <c r="G9" s="1519"/>
      <c r="H9" s="310"/>
      <c r="I9" s="3574"/>
      <c r="J9" s="312"/>
      <c r="K9" s="313"/>
      <c r="L9" s="319" t="s">
        <v>1132</v>
      </c>
      <c r="M9" s="320">
        <f ca="1">INDIRECT("'数据-取费表'!ab"&amp;$G$1)</f>
        <v>0</v>
      </c>
    </row>
    <row r="10" spans="1:37" ht="18" customHeight="1">
      <c r="A10" s="1182" t="s">
        <v>826</v>
      </c>
      <c r="B10" s="1500" t="s">
        <v>1133</v>
      </c>
      <c r="C10" s="322">
        <f ca="1">ROUND(IF(F10="押一",C6/12*F11,IF(F10="押二",C6/12*2*F11,IF(F10="押三",C6/12*3*F11,C11*F11))),0)</f>
        <v>16</v>
      </c>
      <c r="D10" s="1501" t="s">
        <v>2617</v>
      </c>
      <c r="E10" s="319" t="s">
        <v>1134</v>
      </c>
      <c r="F10" s="1229" t="s">
        <v>3578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15978</v>
      </c>
      <c r="D13" s="1194" t="s">
        <v>1139</v>
      </c>
      <c r="E13" s="1194" t="s">
        <v>1140</v>
      </c>
      <c r="F13" s="1195">
        <f ca="1">INDIRECT("'数据-取费表'!y"&amp;$G$1)</f>
        <v>0.84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12060</v>
      </c>
      <c r="D14" s="1480" t="s">
        <v>1142</v>
      </c>
      <c r="E14" s="1477"/>
      <c r="F14" s="325"/>
      <c r="G14" s="1519"/>
      <c r="H14" s="1094" t="s">
        <v>822</v>
      </c>
      <c r="I14" s="308" t="s">
        <v>1143</v>
      </c>
      <c r="J14" s="24">
        <f ca="1">C29</f>
        <v>19022</v>
      </c>
      <c r="K14" s="15"/>
      <c r="L14" s="897"/>
      <c r="M14" s="898"/>
    </row>
    <row r="15" spans="1:37" s="1532" customFormat="1" ht="18" customHeight="1" thickBot="1">
      <c r="A15" s="1094" t="s">
        <v>823</v>
      </c>
      <c r="B15" s="308" t="s">
        <v>1144</v>
      </c>
      <c r="C15" s="24">
        <f ca="1">ROUND(C14*F15,0)</f>
        <v>362</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277</v>
      </c>
      <c r="K16" s="1200" t="s">
        <v>1149</v>
      </c>
      <c r="L16" s="1201"/>
      <c r="M16" s="1185"/>
    </row>
    <row r="17" spans="1:37" s="1532" customFormat="1" ht="18" customHeight="1">
      <c r="A17" s="1094" t="s">
        <v>1114</v>
      </c>
      <c r="B17" s="308" t="s">
        <v>1150</v>
      </c>
      <c r="C17" s="24">
        <f ca="1">ROUND(F17*(F43+INDIRECT("'数据-取费表'!S"&amp;$G$1))/10000,0)</f>
        <v>689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182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181</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13292</v>
      </c>
      <c r="D19" s="136" t="s">
        <v>1160</v>
      </c>
      <c r="E19" s="1495"/>
      <c r="F19" s="26"/>
      <c r="G19" s="1519"/>
      <c r="H19" s="1094" t="s">
        <v>823</v>
      </c>
      <c r="I19" s="308" t="s">
        <v>1161</v>
      </c>
      <c r="J19" s="24">
        <f ca="1">IF(K19="按租金收入计税",ROUND(J6*M19/(1+'数据-取费表'!C42),2),ROUND(C29*M19*0.7,2))</f>
        <v>159.78</v>
      </c>
      <c r="K19" s="1505" t="s">
        <v>1162</v>
      </c>
      <c r="L19" s="308" t="s">
        <v>1146</v>
      </c>
      <c r="M19" s="328">
        <f>IF(K19="按租金收入计税",'数据-取费表'!B51,'数据-取费表'!B50)</f>
        <v>1.2E-2</v>
      </c>
    </row>
    <row r="20" spans="1:37" s="1532" customFormat="1" ht="18" customHeight="1">
      <c r="A20" s="1094" t="s">
        <v>826</v>
      </c>
      <c r="B20" s="308" t="s">
        <v>1163</v>
      </c>
      <c r="C20" s="24">
        <f ca="1">ROUND(C19*F20,0)</f>
        <v>266</v>
      </c>
      <c r="D20" s="329" t="s">
        <v>1164</v>
      </c>
      <c r="E20" s="308" t="s">
        <v>1146</v>
      </c>
      <c r="F20" s="328">
        <f>'数据-取费表'!B37</f>
        <v>0.02</v>
      </c>
      <c r="G20" s="1531"/>
      <c r="H20" s="1094" t="s">
        <v>1113</v>
      </c>
      <c r="I20" s="160" t="s">
        <v>1165</v>
      </c>
      <c r="J20" s="25">
        <f ca="1">ROUND(M20*M21/10000,2)</f>
        <v>22.09</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12272.21</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95.1</v>
      </c>
      <c r="K22" s="1479" t="s">
        <v>1174</v>
      </c>
      <c r="L22" s="308" t="s">
        <v>1146</v>
      </c>
      <c r="M22" s="334">
        <f ca="1">INDIRECT("'数据-取费表'!Ak"&amp;$G$1)</f>
        <v>5.0000000000000001E-3</v>
      </c>
    </row>
    <row r="23" spans="1:37" s="1532" customFormat="1" ht="18" customHeight="1">
      <c r="A23" s="1094" t="s">
        <v>821</v>
      </c>
      <c r="B23" s="308" t="s">
        <v>1175</v>
      </c>
      <c r="C23" s="24">
        <f ca="1">IF('数据-取费表'!B22&lt;=1,ROUND(C19*F24*F23/2,0)+ROUND(C20*F24*F23/2,0),ROUND(C19*(POWER((1+F24),F23/2)-1),0)+ROUND(C20*(POWER((1+F24),F23/2)-1),0))</f>
        <v>569</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-277</v>
      </c>
      <c r="K25" s="1208" t="s">
        <v>1188</v>
      </c>
      <c r="L25" s="1209"/>
      <c r="M25" s="1210"/>
    </row>
    <row r="26" spans="1:37">
      <c r="A26" s="1094" t="s">
        <v>821</v>
      </c>
      <c r="B26" s="308" t="s">
        <v>1189</v>
      </c>
      <c r="C26" s="24">
        <f ca="1">ROUND((C19+C20)*F26,0)</f>
        <v>3390</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19022</v>
      </c>
      <c r="D29" s="1205"/>
      <c r="E29" s="1203"/>
      <c r="F29" s="1206"/>
      <c r="G29" s="1531"/>
      <c r="H29" s="340" t="s">
        <v>820</v>
      </c>
      <c r="I29" s="341" t="s">
        <v>1203</v>
      </c>
      <c r="J29" s="342">
        <f ca="1">ROUND(J26/(1+F40)^F41,0)</f>
        <v>0</v>
      </c>
      <c r="K29" s="343" t="s">
        <v>1204</v>
      </c>
      <c r="L29" s="344"/>
      <c r="M29" s="345">
        <f ca="1">INDIRECT("'数据-取费表'!k"&amp;$G$1)</f>
        <v>34303.85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1295</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1118</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348.59</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746.97</v>
      </c>
      <c r="D33" s="1505" t="s">
        <v>3431</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22.09</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12272.21</v>
      </c>
      <c r="G35" s="1519"/>
      <c r="H35" s="2876"/>
      <c r="I35" s="1533"/>
      <c r="J35" s="1534"/>
      <c r="K35" s="2880"/>
      <c r="L35" s="2879"/>
      <c r="M35" s="2879"/>
    </row>
    <row r="36" spans="1:18" ht="18" customHeight="1">
      <c r="A36" s="1215" t="s">
        <v>826</v>
      </c>
      <c r="B36" s="308" t="s">
        <v>1173</v>
      </c>
      <c r="C36" s="24">
        <f ca="1">ROUND(C29*F36,1)</f>
        <v>95.1</v>
      </c>
      <c r="D36" s="1479" t="s">
        <v>1206</v>
      </c>
      <c r="E36" s="308" t="s">
        <v>1146</v>
      </c>
      <c r="F36" s="334">
        <f ca="1">INDIRECT("'数据-取费表'!Ak"&amp;$G$1)</f>
        <v>5.0000000000000001E-3</v>
      </c>
      <c r="G36" s="1519"/>
      <c r="H36" s="2879"/>
      <c r="I36" s="1533"/>
      <c r="J36" s="1534"/>
      <c r="K36" s="2720"/>
      <c r="L36" s="2879"/>
      <c r="M36" s="2879"/>
    </row>
    <row r="37" spans="1:18" ht="18" customHeight="1">
      <c r="A37" s="1094" t="s">
        <v>862</v>
      </c>
      <c r="B37" s="308" t="s">
        <v>1177</v>
      </c>
      <c r="C37" s="24">
        <f ca="1">ROUND(C13*F37,1)</f>
        <v>16</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65.5</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5257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86390</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22.06</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25184</v>
      </c>
      <c r="D43" s="343" t="s">
        <v>1212</v>
      </c>
      <c r="E43" s="344" t="s">
        <v>1213</v>
      </c>
      <c r="F43" s="345">
        <f ca="1">INDIRECT("'数据-取费表'!k"&amp;$G$1)</f>
        <v>34303.85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-108203</v>
      </c>
      <c r="D46" s="1541" t="str">
        <f>C2</f>
        <v>万元</v>
      </c>
      <c r="E46" s="1535"/>
      <c r="F46" s="1535"/>
      <c r="I46" s="1542" t="s">
        <v>1245</v>
      </c>
      <c r="J46" s="1543"/>
      <c r="K46" s="1544"/>
      <c r="L46" s="1545">
        <f ca="1">IF(M47="住宅",0,IF(L48&gt;J51,L60,J60))</f>
        <v>1543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3432</v>
      </c>
      <c r="K47" s="1551" t="s">
        <v>1251</v>
      </c>
      <c r="L47" s="1552">
        <f ca="1">INDIRECT("'数据-取费表'!d"&amp;$G$1)</f>
        <v>40</v>
      </c>
      <c r="M47" s="1515" t="str">
        <f>IF(ISNUMBER(FIND("住宅",C1)),"住宅","非住宅")</f>
        <v>非住宅</v>
      </c>
      <c r="O47" s="1553" t="s">
        <v>827</v>
      </c>
      <c r="P47" s="1554" t="s">
        <v>1252</v>
      </c>
      <c r="Q47" s="1555">
        <f ca="1">C40+J29</f>
        <v>86390</v>
      </c>
      <c r="R47" s="1555" t="s">
        <v>1253</v>
      </c>
    </row>
    <row r="48" spans="1:18" s="1519" customFormat="1" ht="28.5" thickBot="1">
      <c r="A48" s="1223" t="s">
        <v>863</v>
      </c>
      <c r="B48" s="306" t="s">
        <v>1125</v>
      </c>
      <c r="C48" s="1494">
        <f ca="1">C49+C53+C55</f>
        <v>0</v>
      </c>
      <c r="D48" s="1225"/>
      <c r="E48" s="1226"/>
      <c r="F48" s="1074"/>
      <c r="G48" s="731"/>
      <c r="H48" s="732"/>
      <c r="I48" s="1556" t="s">
        <v>1254</v>
      </c>
      <c r="J48" s="1557" t="s">
        <v>3433</v>
      </c>
      <c r="K48" s="1558" t="s">
        <v>1255</v>
      </c>
      <c r="L48" s="1559">
        <f ca="1">INDIRECT("'数据-取费表'!f"&amp;$G$1)</f>
        <v>22.06</v>
      </c>
      <c r="O48" s="1553" t="s">
        <v>828</v>
      </c>
      <c r="P48" s="1554" t="s">
        <v>1256</v>
      </c>
      <c r="Q48" s="1555">
        <f ca="1">J60</f>
        <v>1543</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19022</v>
      </c>
      <c r="R49" s="1555" t="s">
        <v>1253</v>
      </c>
    </row>
    <row r="50" spans="1:18" s="1519" customFormat="1" ht="13.5" thickBot="1">
      <c r="A50" s="1088"/>
      <c r="B50" s="1091"/>
      <c r="C50" s="1231"/>
      <c r="D50" s="1065"/>
      <c r="E50" s="1168" t="s">
        <v>1130</v>
      </c>
      <c r="F50" s="1169">
        <f ca="1">F7</f>
        <v>34303.85</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73997</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22.06</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22.06</v>
      </c>
      <c r="K53" s="3570" t="s">
        <v>1272</v>
      </c>
      <c r="L53" s="3571"/>
      <c r="O53" s="1553" t="s">
        <v>833</v>
      </c>
      <c r="P53" s="1554" t="s">
        <v>1273</v>
      </c>
      <c r="Q53" s="1555">
        <f ca="1">Q47+Q48</f>
        <v>87933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0.39900000000000002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15978</v>
      </c>
      <c r="D56" s="1582"/>
      <c r="E56" s="1583"/>
      <c r="F56" s="1575"/>
      <c r="I56" s="1584" t="s">
        <v>1278</v>
      </c>
      <c r="J56" s="1585" t="s">
        <v>3579</v>
      </c>
      <c r="K56" s="1556" t="s">
        <v>1279</v>
      </c>
      <c r="L56" s="1559" t="str">
        <f ca="1">IF(L48&lt;J51,"——",L48-J53)</f>
        <v>——</v>
      </c>
      <c r="O56" s="1553" t="s">
        <v>827</v>
      </c>
      <c r="P56" s="1554" t="s">
        <v>1252</v>
      </c>
      <c r="Q56" s="1555">
        <f ca="1">C40+J29</f>
        <v>86390</v>
      </c>
      <c r="R56" s="1555" t="s">
        <v>1253</v>
      </c>
    </row>
    <row r="57" spans="1:18" s="1519" customFormat="1" ht="24.75" thickBot="1">
      <c r="A57" s="1586"/>
      <c r="B57" s="1062" t="s">
        <v>1202</v>
      </c>
      <c r="C57" s="244">
        <f ca="1">C29</f>
        <v>19022</v>
      </c>
      <c r="D57" s="1587"/>
      <c r="E57" s="1588"/>
      <c r="F57" s="1589"/>
      <c r="I57" s="1590" t="s">
        <v>1280</v>
      </c>
      <c r="J57" s="1591">
        <f ca="1">IF(OR(M47="住宅",J51&lt;L48,J56="是"),"——",J51-L48)</f>
        <v>23.94</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1731</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1620</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7609</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1543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1597.85</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22.09</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86390</v>
      </c>
      <c r="R62" s="1555" t="s">
        <v>834</v>
      </c>
    </row>
    <row r="63" spans="1:18" s="1519" customFormat="1" ht="13.5" thickBot="1">
      <c r="A63" s="332"/>
      <c r="B63" s="1068"/>
      <c r="C63" s="29"/>
      <c r="D63" s="1078"/>
      <c r="E63" s="1062" t="s">
        <v>1223</v>
      </c>
      <c r="F63" s="309">
        <f t="shared" ca="1" si="0"/>
        <v>12272.21</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95.1</v>
      </c>
      <c r="D64" s="1076" t="s">
        <v>1226</v>
      </c>
      <c r="E64" s="1062" t="s">
        <v>1218</v>
      </c>
      <c r="F64" s="334">
        <f t="shared" ca="1" si="0"/>
        <v>5.0000000000000001E-3</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16</v>
      </c>
      <c r="D65" s="1076" t="s">
        <v>1178</v>
      </c>
      <c r="E65" s="1062" t="s">
        <v>1179</v>
      </c>
      <c r="F65" s="336">
        <f t="shared" ca="1" si="0"/>
        <v>1E-3</v>
      </c>
      <c r="I65" s="1597" t="s">
        <v>1303</v>
      </c>
      <c r="J65" s="1598">
        <v>40</v>
      </c>
      <c r="K65" s="1598">
        <v>30</v>
      </c>
      <c r="L65" s="1598">
        <v>50</v>
      </c>
      <c r="M65" s="1600">
        <v>0.02</v>
      </c>
      <c r="O65" s="1553" t="s">
        <v>827</v>
      </c>
      <c r="P65" s="1554" t="s">
        <v>1304</v>
      </c>
      <c r="Q65" s="1555">
        <f ca="1">C40+J29</f>
        <v>86390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-1731</v>
      </c>
      <c r="D67" s="1075" t="s">
        <v>1188</v>
      </c>
      <c r="E67" s="1080"/>
      <c r="F67" s="1081"/>
      <c r="O67" s="1563" t="s">
        <v>829</v>
      </c>
      <c r="P67" s="1554" t="s">
        <v>1286</v>
      </c>
      <c r="Q67" s="1601">
        <f ca="1">L51</f>
        <v>73997</v>
      </c>
      <c r="R67" s="1555" t="s">
        <v>1306</v>
      </c>
    </row>
    <row r="68" spans="1:18" s="1519" customFormat="1" ht="16.5" thickBot="1">
      <c r="A68" s="1059" t="s">
        <v>819</v>
      </c>
      <c r="B68" s="1060" t="s">
        <v>1209</v>
      </c>
      <c r="C68" s="307">
        <f ca="1">ROUND(C67*(1-((1+F70)/(1+F68))^F69)/(F68-F70),0)</f>
        <v>-21813</v>
      </c>
      <c r="D68" s="1077" t="s">
        <v>1193</v>
      </c>
      <c r="E68" s="1062" t="s">
        <v>1194</v>
      </c>
      <c r="F68" s="318">
        <f ca="1">F40</f>
        <v>5.5E-2</v>
      </c>
      <c r="O68" s="1563" t="s">
        <v>830</v>
      </c>
      <c r="P68" s="1602" t="s">
        <v>1307</v>
      </c>
      <c r="Q68" s="1555">
        <f ca="1">ROUND(Q69-Q70*Q71,0)</f>
        <v>4139</v>
      </c>
      <c r="R68" s="1555" t="s">
        <v>838</v>
      </c>
    </row>
    <row r="69" spans="1:18" s="1519" customFormat="1" ht="13.5" thickBot="1">
      <c r="A69" s="1063"/>
      <c r="B69" s="1064"/>
      <c r="C69" s="312"/>
      <c r="D69" s="1082" t="s">
        <v>1197</v>
      </c>
      <c r="E69" s="1062" t="s">
        <v>1198</v>
      </c>
      <c r="F69" s="339">
        <f ca="1">F41</f>
        <v>22.06</v>
      </c>
      <c r="O69" s="1563" t="s">
        <v>835</v>
      </c>
      <c r="P69" s="1602" t="s">
        <v>1308</v>
      </c>
      <c r="Q69" s="1555">
        <f ca="1">C39</f>
        <v>5257</v>
      </c>
      <c r="R69" s="1555" t="s">
        <v>1253</v>
      </c>
    </row>
    <row r="70" spans="1:18" s="1519" customFormat="1" ht="13.5" thickBot="1">
      <c r="A70" s="1066"/>
      <c r="B70" s="1067"/>
      <c r="C70" s="316"/>
      <c r="D70" s="1078"/>
      <c r="E70" s="1062" t="s">
        <v>1201</v>
      </c>
      <c r="F70" s="1166"/>
      <c r="O70" s="1563" t="s">
        <v>836</v>
      </c>
      <c r="P70" s="1602" t="s">
        <v>1309</v>
      </c>
      <c r="Q70" s="1555">
        <f ca="1">C13</f>
        <v>15978</v>
      </c>
      <c r="R70" s="1555" t="s">
        <v>1253</v>
      </c>
    </row>
    <row r="71" spans="1:18" s="1519" customFormat="1" ht="13.5" thickBot="1">
      <c r="A71" s="1083" t="s">
        <v>820</v>
      </c>
      <c r="B71" s="1084" t="s">
        <v>1211</v>
      </c>
      <c r="C71" s="342">
        <f ca="1">ROUND(C68*10000/F71,0)</f>
        <v>-6359</v>
      </c>
      <c r="D71" s="1085" t="s">
        <v>1212</v>
      </c>
      <c r="E71" s="1086" t="s">
        <v>1213</v>
      </c>
      <c r="F71" s="345">
        <f ca="1">F43</f>
        <v>34303.85</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1118</v>
      </c>
      <c r="D75" s="1519"/>
      <c r="E75" s="1519"/>
      <c r="F75" s="1519"/>
      <c r="K75" s="1537"/>
      <c r="L75" s="1519"/>
      <c r="O75" s="1553" t="s">
        <v>833</v>
      </c>
      <c r="P75" s="1554" t="s">
        <v>1273</v>
      </c>
      <c r="Q75" s="1555">
        <f ca="1">Q65+Q66</f>
        <v>86390</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0.78700000000000003</v>
      </c>
    </row>
    <row r="80" spans="1:18">
      <c r="B80" s="346" t="s">
        <v>1235</v>
      </c>
      <c r="C80" s="280">
        <f ca="1">ROUND(C75/C39,3)</f>
        <v>0.21299999999999999</v>
      </c>
    </row>
    <row r="81" spans="2:3">
      <c r="B81" s="276" t="s">
        <v>1236</v>
      </c>
      <c r="C81" s="244"/>
    </row>
    <row r="82" spans="2:3">
      <c r="B82" s="279" t="s">
        <v>1237</v>
      </c>
      <c r="C82" s="281">
        <f ca="1">1-C83</f>
        <v>0.81499999999999995</v>
      </c>
    </row>
    <row r="83" spans="2:3">
      <c r="B83" s="279" t="s">
        <v>1238</v>
      </c>
      <c r="C83" s="280">
        <f ca="1">ROUND(C13/C40,3)</f>
        <v>0.185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72" t="s">
        <v>1127</v>
      </c>
      <c r="C6" s="1187">
        <f ca="1">ROUND(F6*F8*F7*(1-F9),0)</f>
        <v>0</v>
      </c>
      <c r="D6" s="160" t="s">
        <v>2606</v>
      </c>
      <c r="E6" s="308" t="s">
        <v>1129</v>
      </c>
      <c r="F6" s="309">
        <f ca="1">INDIRECT("'数据-取费表'!u"&amp;$G$1)</f>
        <v>0</v>
      </c>
      <c r="G6" s="1519"/>
      <c r="H6" s="1182" t="s">
        <v>822</v>
      </c>
      <c r="I6" s="3572" t="s">
        <v>1127</v>
      </c>
      <c r="J6" s="307">
        <f ca="1">ROUND(M6*M8*M7*(1-M9),0)</f>
        <v>0</v>
      </c>
      <c r="K6" s="1511" t="s">
        <v>2607</v>
      </c>
      <c r="L6" s="308" t="s">
        <v>1129</v>
      </c>
      <c r="M6" s="309">
        <f ca="1">INDIRECT("'数据-取费表'!z"&amp;$G$1)</f>
        <v>0</v>
      </c>
    </row>
    <row r="7" spans="1:37" ht="18" customHeight="1">
      <c r="A7" s="1186"/>
      <c r="B7" s="3573"/>
      <c r="C7" s="1188"/>
      <c r="D7" s="313"/>
      <c r="E7" s="1189" t="s">
        <v>1130</v>
      </c>
      <c r="F7" s="309">
        <f ca="1">IF(INDIRECT("'数据-取费表'!ah"&amp;$G$1)="",INDIRECT("'数据-取费表'!k"&amp;$G$1),INDIRECT("'数据-取费表'!ah"&amp;$G$1))</f>
        <v>0</v>
      </c>
      <c r="G7" s="1519"/>
      <c r="H7" s="310"/>
      <c r="I7" s="3573"/>
      <c r="J7" s="312"/>
      <c r="K7" s="313"/>
      <c r="L7" s="308" t="s">
        <v>1130</v>
      </c>
      <c r="M7" s="309">
        <f ca="1">F7</f>
        <v>0</v>
      </c>
    </row>
    <row r="8" spans="1:37" ht="18" customHeight="1">
      <c r="A8" s="310"/>
      <c r="B8" s="3573"/>
      <c r="C8" s="312"/>
      <c r="D8" s="313"/>
      <c r="E8" s="308" t="s">
        <v>1131</v>
      </c>
      <c r="F8" s="309">
        <f ca="1">INDIRECT("'数据-取费表'!ai"&amp;$G$1)</f>
        <v>0</v>
      </c>
      <c r="G8" s="1519"/>
      <c r="H8" s="310"/>
      <c r="I8" s="3573"/>
      <c r="J8" s="312"/>
      <c r="K8" s="313"/>
      <c r="L8" s="308" t="s">
        <v>1131</v>
      </c>
      <c r="M8" s="309">
        <f ca="1">INDIRECT("'数据-取费表'!ai"&amp;$G$1)</f>
        <v>0</v>
      </c>
    </row>
    <row r="9" spans="1:37" ht="18" customHeight="1">
      <c r="A9" s="310"/>
      <c r="B9" s="3574"/>
      <c r="C9" s="312"/>
      <c r="D9" s="313"/>
      <c r="E9" s="308" t="s">
        <v>1132</v>
      </c>
      <c r="F9" s="318">
        <f ca="1">INDIRECT("'数据-取费表'!w"&amp;$G$1)</f>
        <v>0</v>
      </c>
      <c r="G9" s="1519"/>
      <c r="H9" s="310"/>
      <c r="I9" s="357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570" t="s">
        <v>1272</v>
      </c>
      <c r="L53" s="357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575" t="s">
        <v>2822</v>
      </c>
      <c r="K2" s="3576"/>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577" t="s">
        <v>2832</v>
      </c>
      <c r="K3" s="3578"/>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577" t="s">
        <v>2834</v>
      </c>
      <c r="K4" s="3578"/>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579" t="s">
        <v>2838</v>
      </c>
      <c r="B6" s="3580"/>
      <c r="C6" s="3581"/>
      <c r="D6" s="3051"/>
      <c r="E6" s="3052"/>
      <c r="F6" s="3053"/>
      <c r="G6" s="3054"/>
      <c r="H6" s="3029"/>
      <c r="I6" s="3030"/>
      <c r="J6" s="3582">
        <v>1</v>
      </c>
      <c r="K6" s="3583"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582"/>
      <c r="K7" s="3584"/>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586" t="s">
        <v>2852</v>
      </c>
      <c r="C8" s="3587"/>
      <c r="D8" s="3070" t="s">
        <v>2853</v>
      </c>
      <c r="E8" s="3071" t="s">
        <v>2854</v>
      </c>
      <c r="F8" s="3072" t="s">
        <v>2855</v>
      </c>
      <c r="G8" s="3073"/>
      <c r="H8" s="3029"/>
      <c r="I8" s="3030"/>
      <c r="J8" s="3582"/>
      <c r="K8" s="3584"/>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586" t="s">
        <v>2858</v>
      </c>
      <c r="C9" s="3587"/>
      <c r="D9" s="3070">
        <f>ROUND(D6*E9,0)</f>
        <v>0</v>
      </c>
      <c r="E9" s="3074"/>
      <c r="F9" s="3075" t="s">
        <v>2859</v>
      </c>
      <c r="G9" s="3054"/>
      <c r="H9" s="3029"/>
      <c r="I9" s="3030"/>
      <c r="J9" s="3582"/>
      <c r="K9" s="3584"/>
      <c r="L9" s="3064" t="s">
        <v>2860</v>
      </c>
      <c r="M9" s="3065"/>
      <c r="N9" s="3041"/>
      <c r="O9" s="3066"/>
      <c r="P9" s="3066"/>
      <c r="Q9" s="3067">
        <v>365</v>
      </c>
      <c r="R9" s="3068">
        <f t="shared" si="0"/>
        <v>0</v>
      </c>
      <c r="S9" s="3022"/>
      <c r="T9" s="3022"/>
      <c r="U9" s="3022"/>
      <c r="V9" s="3030"/>
    </row>
    <row r="10" spans="1:22" s="3034" customFormat="1" ht="13.15" customHeight="1">
      <c r="A10" s="3069">
        <v>2</v>
      </c>
      <c r="B10" s="3586" t="s">
        <v>2861</v>
      </c>
      <c r="C10" s="3587"/>
      <c r="D10" s="3070">
        <f>ROUND(D6*E10,0)</f>
        <v>0</v>
      </c>
      <c r="E10" s="3074"/>
      <c r="F10" s="3075" t="s">
        <v>2862</v>
      </c>
      <c r="G10" s="3054"/>
      <c r="H10" s="3029"/>
      <c r="I10" s="3030"/>
      <c r="J10" s="3582"/>
      <c r="K10" s="3584"/>
      <c r="L10" s="3064" t="s">
        <v>2863</v>
      </c>
      <c r="M10" s="3065"/>
      <c r="N10" s="3041"/>
      <c r="O10" s="3066"/>
      <c r="P10" s="3066"/>
      <c r="Q10" s="3067">
        <v>365</v>
      </c>
      <c r="R10" s="3068">
        <f t="shared" si="0"/>
        <v>0</v>
      </c>
      <c r="S10" s="3022"/>
      <c r="T10" s="3022"/>
      <c r="U10" s="3022"/>
      <c r="V10" s="3030"/>
    </row>
    <row r="11" spans="1:22" s="3034" customFormat="1" ht="13.15" customHeight="1">
      <c r="A11" s="3069">
        <v>3</v>
      </c>
      <c r="B11" s="3586" t="s">
        <v>2864</v>
      </c>
      <c r="C11" s="3587"/>
      <c r="D11" s="3070">
        <f>D12+D14+D15+D16</f>
        <v>0</v>
      </c>
      <c r="E11" s="3076" t="e">
        <f>D11/D6</f>
        <v>#DIV/0!</v>
      </c>
      <c r="F11" s="3072"/>
      <c r="G11" s="3073"/>
      <c r="H11" s="3029"/>
      <c r="I11" s="3030"/>
      <c r="J11" s="3582"/>
      <c r="K11" s="3584"/>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588" t="s">
        <v>2867</v>
      </c>
      <c r="C12" s="3589"/>
      <c r="D12" s="3078">
        <f>ROUND(D13*1.2%*(1-30%),0)</f>
        <v>0</v>
      </c>
      <c r="E12" s="3079">
        <v>1.2E-2</v>
      </c>
      <c r="F12" s="3072" t="s">
        <v>2868</v>
      </c>
      <c r="G12" s="3073"/>
      <c r="H12" s="3029"/>
      <c r="I12" s="3030"/>
      <c r="J12" s="3582"/>
      <c r="K12" s="3584"/>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582"/>
      <c r="K13" s="3584"/>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588" t="s">
        <v>2873</v>
      </c>
      <c r="C14" s="3589"/>
      <c r="D14" s="3078">
        <f>ROUND(E14*B5/10000,0)</f>
        <v>0</v>
      </c>
      <c r="E14" s="3067"/>
      <c r="F14" s="3072" t="s">
        <v>2874</v>
      </c>
      <c r="G14" s="3073"/>
      <c r="H14" s="3029"/>
      <c r="I14" s="3030"/>
      <c r="J14" s="3582"/>
      <c r="K14" s="3585"/>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588" t="s">
        <v>2877</v>
      </c>
      <c r="C15" s="3589"/>
      <c r="D15" s="3078">
        <f>ROUND(D6*E15,0)</f>
        <v>0</v>
      </c>
      <c r="E15" s="3079">
        <v>5.5E-2</v>
      </c>
      <c r="F15" s="3072" t="s">
        <v>2878</v>
      </c>
      <c r="G15" s="3054"/>
      <c r="H15" s="3029"/>
      <c r="I15" s="3030"/>
      <c r="J15" s="3582">
        <v>2</v>
      </c>
      <c r="K15" s="3583"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588" t="s">
        <v>2886</v>
      </c>
      <c r="C16" s="3589"/>
      <c r="D16" s="3089">
        <f>D6*E16</f>
        <v>0</v>
      </c>
      <c r="E16" s="3090"/>
      <c r="F16" s="3075" t="s">
        <v>2887</v>
      </c>
      <c r="G16" s="3054"/>
      <c r="H16" s="3029"/>
      <c r="I16" s="3030"/>
      <c r="J16" s="3582"/>
      <c r="K16" s="3584"/>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590" t="s">
        <v>2889</v>
      </c>
      <c r="C17" s="3591"/>
      <c r="D17" s="3092">
        <f>ROUND(D6*E17,0)</f>
        <v>0</v>
      </c>
      <c r="E17" s="3093"/>
      <c r="F17" s="3094" t="s">
        <v>2890</v>
      </c>
      <c r="G17" s="3054"/>
      <c r="H17" s="3029"/>
      <c r="I17" s="3030"/>
      <c r="J17" s="3582"/>
      <c r="K17" s="3584"/>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582"/>
      <c r="K18" s="3584"/>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582"/>
      <c r="K19" s="3585"/>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582">
        <v>3</v>
      </c>
      <c r="K20" s="3583"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582"/>
      <c r="K21" s="3584"/>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582"/>
      <c r="K22" s="3584"/>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582"/>
      <c r="K23" s="3584"/>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582"/>
      <c r="K24" s="3585"/>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59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59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575" t="s">
        <v>2822</v>
      </c>
      <c r="K32" s="3576"/>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577" t="s">
        <v>2832</v>
      </c>
      <c r="K33" s="3578"/>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577" t="s">
        <v>2834</v>
      </c>
      <c r="K34" s="3578"/>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582">
        <v>1</v>
      </c>
      <c r="K36" s="3583"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582"/>
      <c r="K37" s="3584"/>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582"/>
      <c r="K38" s="3584"/>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582"/>
      <c r="K39" s="3584"/>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582"/>
      <c r="K40" s="3585"/>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59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59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42" sqref="F42"/>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87933</v>
      </c>
      <c r="C2" s="2009" t="s">
        <v>2099</v>
      </c>
      <c r="D2" s="2010" t="s">
        <v>2100</v>
      </c>
      <c r="E2" s="2783">
        <f>SUM(E6:E13)</f>
        <v>34459.17</v>
      </c>
      <c r="F2" s="2886"/>
      <c r="G2" s="1625"/>
      <c r="H2" s="1625"/>
      <c r="I2" s="1625"/>
      <c r="J2" s="1625"/>
      <c r="K2" s="1625"/>
      <c r="L2" s="1625"/>
      <c r="M2" s="1625"/>
      <c r="N2" s="1625"/>
      <c r="O2" s="1625"/>
      <c r="P2" s="1625"/>
      <c r="Q2" s="1625"/>
      <c r="R2" s="1625"/>
      <c r="S2" s="1625"/>
    </row>
    <row r="3" spans="1:22" ht="15.75">
      <c r="A3" s="2007" t="s">
        <v>1119</v>
      </c>
      <c r="B3" s="2777">
        <f ca="1">ROUND(B2*10000/E2,0)</f>
        <v>25518</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594" t="s">
        <v>2102</v>
      </c>
      <c r="C5" s="3595"/>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87933</v>
      </c>
      <c r="C6" s="2009" t="s">
        <v>2099</v>
      </c>
      <c r="D6" s="2888"/>
      <c r="E6" s="2782">
        <f>IF(OR(A6=0,F6="否"),0,'数据-取费表'!K6+'数据-取费表'!S6)</f>
        <v>34459.17</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34459.17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614" t="s">
        <v>2116</v>
      </c>
      <c r="D4" s="3615"/>
      <c r="E4" s="3616" t="s">
        <v>2117</v>
      </c>
      <c r="F4" s="3617"/>
      <c r="G4" s="3614" t="s">
        <v>2118</v>
      </c>
      <c r="H4" s="3615"/>
      <c r="I4" s="3614" t="s">
        <v>2119</v>
      </c>
      <c r="J4" s="3615"/>
      <c r="K4" s="2026" t="s">
        <v>2120</v>
      </c>
      <c r="L4" s="2894"/>
      <c r="M4" s="2895"/>
      <c r="N4" s="2895"/>
      <c r="O4" s="2895"/>
      <c r="P4" s="3618" t="s">
        <v>2121</v>
      </c>
      <c r="Q4" s="3619"/>
      <c r="R4" s="3601" t="s">
        <v>2117</v>
      </c>
      <c r="S4" s="3602"/>
      <c r="T4" s="3601" t="s">
        <v>2118</v>
      </c>
      <c r="U4" s="3602"/>
      <c r="V4" s="3626" t="s">
        <v>2119</v>
      </c>
      <c r="W4" s="3626"/>
      <c r="X4" s="1490"/>
      <c r="Y4" s="3601" t="s">
        <v>2121</v>
      </c>
      <c r="Z4" s="3602"/>
      <c r="AA4" s="3596" t="s">
        <v>2117</v>
      </c>
      <c r="AB4" s="3596" t="s">
        <v>2118</v>
      </c>
      <c r="AC4" s="3596" t="s">
        <v>2119</v>
      </c>
    </row>
    <row r="5" spans="1:29" ht="15">
      <c r="A5" s="364"/>
      <c r="B5" s="365"/>
      <c r="C5" s="3607" t="s">
        <v>2122</v>
      </c>
      <c r="D5" s="3608"/>
      <c r="E5" s="3605" t="s">
        <v>2123</v>
      </c>
      <c r="F5" s="3606"/>
      <c r="G5" s="3607" t="s">
        <v>2124</v>
      </c>
      <c r="H5" s="3608"/>
      <c r="I5" s="3607" t="s">
        <v>2125</v>
      </c>
      <c r="J5" s="3608"/>
      <c r="K5" s="2027"/>
      <c r="L5" s="2894"/>
      <c r="M5" s="2895"/>
      <c r="N5" s="2895"/>
      <c r="O5" s="2895"/>
      <c r="P5" s="3620"/>
      <c r="Q5" s="3621"/>
      <c r="R5" s="3603"/>
      <c r="S5" s="3604"/>
      <c r="T5" s="3603"/>
      <c r="U5" s="3604"/>
      <c r="V5" s="3626"/>
      <c r="W5" s="3626"/>
      <c r="X5" s="1490"/>
      <c r="Y5" s="3603"/>
      <c r="Z5" s="3604"/>
      <c r="AA5" s="3597"/>
      <c r="AB5" s="3597"/>
      <c r="AC5" s="3597"/>
    </row>
    <row r="6" spans="1:29" ht="15.75" thickBot="1">
      <c r="A6" s="366"/>
      <c r="B6" s="367"/>
      <c r="C6" s="3609" t="s">
        <v>2126</v>
      </c>
      <c r="D6" s="3610"/>
      <c r="E6" s="3611" t="s">
        <v>2126</v>
      </c>
      <c r="F6" s="3612"/>
      <c r="G6" s="3609" t="s">
        <v>2126</v>
      </c>
      <c r="H6" s="3610"/>
      <c r="I6" s="3609" t="s">
        <v>2126</v>
      </c>
      <c r="J6" s="3610"/>
      <c r="K6" s="2027" t="s">
        <v>2127</v>
      </c>
      <c r="L6" s="2894"/>
      <c r="M6" s="2895"/>
      <c r="N6" s="2895"/>
      <c r="O6" s="2895"/>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99" t="s">
        <v>2129</v>
      </c>
      <c r="Q7" s="3627"/>
      <c r="R7" s="710" t="s">
        <v>23</v>
      </c>
      <c r="S7" s="711">
        <f t="shared" ref="S7:S15" si="0">F7</f>
        <v>0</v>
      </c>
      <c r="T7" s="710" t="s">
        <v>23</v>
      </c>
      <c r="U7" s="711">
        <f t="shared" ref="U7:U15" si="1">H7</f>
        <v>0</v>
      </c>
      <c r="V7" s="710" t="s">
        <v>23</v>
      </c>
      <c r="W7" s="711">
        <f t="shared" ref="W7:W15" si="2">J7</f>
        <v>0</v>
      </c>
      <c r="X7" s="712"/>
      <c r="Y7" s="3599" t="s">
        <v>2129</v>
      </c>
      <c r="Z7" s="3600"/>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99" t="s">
        <v>2132</v>
      </c>
      <c r="Q8" s="3600"/>
      <c r="R8" s="710" t="s">
        <v>23</v>
      </c>
      <c r="S8" s="711">
        <f t="shared" si="0"/>
        <v>0</v>
      </c>
      <c r="T8" s="710" t="s">
        <v>23</v>
      </c>
      <c r="U8" s="711">
        <f t="shared" si="1"/>
        <v>0</v>
      </c>
      <c r="V8" s="710" t="s">
        <v>23</v>
      </c>
      <c r="W8" s="711">
        <f t="shared" si="2"/>
        <v>0</v>
      </c>
      <c r="X8" s="712"/>
      <c r="Y8" s="3599" t="s">
        <v>2132</v>
      </c>
      <c r="Z8" s="3600"/>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613"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613"/>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613"/>
      <c r="Q11" s="1478" t="str">
        <f t="shared" si="6"/>
        <v>容积率</v>
      </c>
      <c r="R11" s="710" t="s">
        <v>21</v>
      </c>
      <c r="S11" s="711" t="e">
        <f t="shared" si="0"/>
        <v>#N/A</v>
      </c>
      <c r="T11" s="710" t="s">
        <v>21</v>
      </c>
      <c r="U11" s="711" t="e">
        <f t="shared" si="1"/>
        <v>#N/A</v>
      </c>
      <c r="V11" s="710" t="s">
        <v>21</v>
      </c>
      <c r="W11" s="711" t="e">
        <f t="shared" si="2"/>
        <v>#N/A</v>
      </c>
      <c r="X11" s="712"/>
      <c r="Y11" s="354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613"/>
      <c r="Q12" s="1478">
        <f t="shared" si="6"/>
        <v>111</v>
      </c>
      <c r="R12" s="710" t="s">
        <v>21</v>
      </c>
      <c r="S12" s="711">
        <f t="shared" si="0"/>
        <v>100</v>
      </c>
      <c r="T12" s="710" t="s">
        <v>21</v>
      </c>
      <c r="U12" s="711">
        <f t="shared" si="1"/>
        <v>100</v>
      </c>
      <c r="V12" s="710" t="s">
        <v>21</v>
      </c>
      <c r="W12" s="711">
        <f t="shared" si="2"/>
        <v>100</v>
      </c>
      <c r="X12" s="712"/>
      <c r="Y12" s="354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613"/>
      <c r="Q13" s="1478">
        <f t="shared" si="6"/>
        <v>111</v>
      </c>
      <c r="R13" s="710" t="s">
        <v>21</v>
      </c>
      <c r="S13" s="711">
        <f t="shared" si="0"/>
        <v>100</v>
      </c>
      <c r="T13" s="710" t="s">
        <v>21</v>
      </c>
      <c r="U13" s="711">
        <f t="shared" si="1"/>
        <v>100</v>
      </c>
      <c r="V13" s="710" t="s">
        <v>21</v>
      </c>
      <c r="W13" s="711">
        <f t="shared" si="2"/>
        <v>100</v>
      </c>
      <c r="X13" s="712"/>
      <c r="Y13" s="354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613"/>
      <c r="Q14" s="1478">
        <f t="shared" si="6"/>
        <v>111</v>
      </c>
      <c r="R14" s="710" t="s">
        <v>21</v>
      </c>
      <c r="S14" s="711">
        <f t="shared" si="0"/>
        <v>100</v>
      </c>
      <c r="T14" s="710" t="s">
        <v>21</v>
      </c>
      <c r="U14" s="711">
        <f t="shared" si="1"/>
        <v>100</v>
      </c>
      <c r="V14" s="710" t="s">
        <v>21</v>
      </c>
      <c r="W14" s="711">
        <f t="shared" si="2"/>
        <v>100</v>
      </c>
      <c r="X14" s="712"/>
      <c r="Y14" s="3543"/>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640" t="s">
        <v>2140</v>
      </c>
      <c r="Q15" s="1487" t="str">
        <f t="shared" si="6"/>
        <v>居住社区成熟度</v>
      </c>
      <c r="R15" s="714" t="s">
        <v>21</v>
      </c>
      <c r="S15" s="715">
        <f t="shared" si="0"/>
        <v>100</v>
      </c>
      <c r="T15" s="714" t="s">
        <v>21</v>
      </c>
      <c r="U15" s="715">
        <f t="shared" si="1"/>
        <v>100</v>
      </c>
      <c r="V15" s="714" t="s">
        <v>21</v>
      </c>
      <c r="W15" s="715">
        <f t="shared" si="2"/>
        <v>100</v>
      </c>
      <c r="X15" s="1490"/>
      <c r="Y15" s="363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641"/>
      <c r="Q16" s="1487"/>
      <c r="R16" s="714"/>
      <c r="S16" s="715"/>
      <c r="T16" s="714"/>
      <c r="U16" s="715"/>
      <c r="V16" s="714"/>
      <c r="W16" s="715"/>
      <c r="X16" s="1490"/>
      <c r="Y16" s="363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641"/>
      <c r="Q17" s="1487" t="str">
        <f>B17</f>
        <v>交通便捷度</v>
      </c>
      <c r="R17" s="714" t="s">
        <v>21</v>
      </c>
      <c r="S17" s="715">
        <f>F17</f>
        <v>100</v>
      </c>
      <c r="T17" s="714" t="s">
        <v>21</v>
      </c>
      <c r="U17" s="715">
        <f>H17</f>
        <v>100</v>
      </c>
      <c r="V17" s="714" t="s">
        <v>21</v>
      </c>
      <c r="W17" s="715">
        <f>J17</f>
        <v>100</v>
      </c>
      <c r="X17" s="1490"/>
      <c r="Y17" s="363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641"/>
      <c r="Q18" s="1487"/>
      <c r="R18" s="714"/>
      <c r="S18" s="715"/>
      <c r="T18" s="714"/>
      <c r="U18" s="715"/>
      <c r="V18" s="714"/>
      <c r="W18" s="715"/>
      <c r="X18" s="1490"/>
      <c r="Y18" s="363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641"/>
      <c r="Q19" s="1487" t="str">
        <f>B19</f>
        <v>公共配套设施</v>
      </c>
      <c r="R19" s="714" t="s">
        <v>21</v>
      </c>
      <c r="S19" s="715">
        <f>F19</f>
        <v>100</v>
      </c>
      <c r="T19" s="714" t="s">
        <v>21</v>
      </c>
      <c r="U19" s="715">
        <f>H19</f>
        <v>100</v>
      </c>
      <c r="V19" s="714" t="s">
        <v>21</v>
      </c>
      <c r="W19" s="715">
        <f>J19</f>
        <v>100</v>
      </c>
      <c r="X19" s="1490"/>
      <c r="Y19" s="363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641"/>
      <c r="Q20" s="1487"/>
      <c r="R20" s="714"/>
      <c r="S20" s="715"/>
      <c r="T20" s="714"/>
      <c r="U20" s="715"/>
      <c r="V20" s="714"/>
      <c r="W20" s="715"/>
      <c r="X20" s="1490"/>
      <c r="Y20" s="363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641"/>
      <c r="Q21" s="1487" t="str">
        <f>B21</f>
        <v>基础设施水平</v>
      </c>
      <c r="R21" s="714" t="s">
        <v>17</v>
      </c>
      <c r="S21" s="715">
        <f>F21</f>
        <v>100</v>
      </c>
      <c r="T21" s="714" t="s">
        <v>17</v>
      </c>
      <c r="U21" s="715">
        <f>H21</f>
        <v>100</v>
      </c>
      <c r="V21" s="714" t="s">
        <v>17</v>
      </c>
      <c r="W21" s="715">
        <f>J21</f>
        <v>100</v>
      </c>
      <c r="X21" s="1490"/>
      <c r="Y21" s="363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641"/>
      <c r="Q22" s="1487"/>
      <c r="R22" s="714"/>
      <c r="S22" s="715"/>
      <c r="T22" s="714"/>
      <c r="U22" s="715"/>
      <c r="V22" s="714"/>
      <c r="W22" s="715"/>
      <c r="X22" s="1490"/>
      <c r="Y22" s="363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641"/>
      <c r="Q23" s="1487" t="str">
        <f>B23</f>
        <v>自然及人文环境</v>
      </c>
      <c r="R23" s="714" t="s">
        <v>21</v>
      </c>
      <c r="S23" s="715">
        <f>F23</f>
        <v>100</v>
      </c>
      <c r="T23" s="714" t="s">
        <v>21</v>
      </c>
      <c r="U23" s="715">
        <f>H23</f>
        <v>100</v>
      </c>
      <c r="V23" s="714" t="s">
        <v>21</v>
      </c>
      <c r="W23" s="715">
        <f>J23</f>
        <v>100</v>
      </c>
      <c r="X23" s="1490"/>
      <c r="Y23" s="363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641"/>
      <c r="Q24" s="1487"/>
      <c r="R24" s="714"/>
      <c r="S24" s="715"/>
      <c r="T24" s="714"/>
      <c r="U24" s="715"/>
      <c r="V24" s="714"/>
      <c r="W24" s="715"/>
      <c r="X24" s="1490"/>
      <c r="Y24" s="363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64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63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641"/>
      <c r="Q26" s="1487" t="str">
        <f t="shared" si="11"/>
        <v>朝向</v>
      </c>
      <c r="R26" s="714" t="s">
        <v>21</v>
      </c>
      <c r="S26" s="715">
        <f t="shared" si="12"/>
        <v>100</v>
      </c>
      <c r="T26" s="714" t="s">
        <v>21</v>
      </c>
      <c r="U26" s="715">
        <f t="shared" si="13"/>
        <v>100</v>
      </c>
      <c r="V26" s="714" t="s">
        <v>21</v>
      </c>
      <c r="W26" s="715">
        <f t="shared" si="14"/>
        <v>100</v>
      </c>
      <c r="X26" s="1490"/>
      <c r="Y26" s="363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641"/>
      <c r="Q27" s="1478">
        <f t="shared" si="11"/>
        <v>111</v>
      </c>
      <c r="R27" s="710" t="s">
        <v>21</v>
      </c>
      <c r="S27" s="711">
        <f t="shared" si="12"/>
        <v>100</v>
      </c>
      <c r="T27" s="710" t="s">
        <v>21</v>
      </c>
      <c r="U27" s="711">
        <f t="shared" si="13"/>
        <v>100</v>
      </c>
      <c r="V27" s="710" t="s">
        <v>21</v>
      </c>
      <c r="W27" s="711">
        <f t="shared" si="14"/>
        <v>100</v>
      </c>
      <c r="X27" s="712"/>
      <c r="Y27" s="363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641"/>
      <c r="Q28" s="1487">
        <f t="shared" si="11"/>
        <v>111</v>
      </c>
      <c r="R28" s="714" t="s">
        <v>21</v>
      </c>
      <c r="S28" s="715">
        <f t="shared" si="12"/>
        <v>100</v>
      </c>
      <c r="T28" s="714" t="s">
        <v>21</v>
      </c>
      <c r="U28" s="715">
        <f t="shared" si="13"/>
        <v>100</v>
      </c>
      <c r="V28" s="714" t="s">
        <v>21</v>
      </c>
      <c r="W28" s="715">
        <f t="shared" si="14"/>
        <v>100</v>
      </c>
      <c r="X28" s="1490"/>
      <c r="Y28" s="363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641"/>
      <c r="Q29" s="1487">
        <f t="shared" si="11"/>
        <v>111</v>
      </c>
      <c r="R29" s="714" t="s">
        <v>21</v>
      </c>
      <c r="S29" s="715">
        <f t="shared" si="12"/>
        <v>100</v>
      </c>
      <c r="T29" s="714" t="s">
        <v>21</v>
      </c>
      <c r="U29" s="715">
        <f t="shared" si="13"/>
        <v>100</v>
      </c>
      <c r="V29" s="714" t="s">
        <v>21</v>
      </c>
      <c r="W29" s="715">
        <f t="shared" si="14"/>
        <v>100</v>
      </c>
      <c r="X29" s="1490"/>
      <c r="Y29" s="363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641"/>
      <c r="Q30" s="1487">
        <f t="shared" si="11"/>
        <v>111</v>
      </c>
      <c r="R30" s="714" t="s">
        <v>21</v>
      </c>
      <c r="S30" s="715">
        <f t="shared" si="12"/>
        <v>100</v>
      </c>
      <c r="T30" s="714" t="s">
        <v>21</v>
      </c>
      <c r="U30" s="715">
        <f t="shared" si="13"/>
        <v>100</v>
      </c>
      <c r="V30" s="714" t="s">
        <v>21</v>
      </c>
      <c r="W30" s="715">
        <f t="shared" si="14"/>
        <v>100</v>
      </c>
      <c r="X30" s="1490"/>
      <c r="Y30" s="363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641"/>
      <c r="Q31" s="1487">
        <f t="shared" si="11"/>
        <v>111</v>
      </c>
      <c r="R31" s="714" t="s">
        <v>21</v>
      </c>
      <c r="S31" s="715">
        <f t="shared" si="12"/>
        <v>100</v>
      </c>
      <c r="T31" s="714" t="s">
        <v>21</v>
      </c>
      <c r="U31" s="715">
        <f t="shared" si="13"/>
        <v>100</v>
      </c>
      <c r="V31" s="714" t="s">
        <v>21</v>
      </c>
      <c r="W31" s="715">
        <f t="shared" si="14"/>
        <v>100</v>
      </c>
      <c r="X31" s="1490"/>
      <c r="Y31" s="363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635" t="s">
        <v>2145</v>
      </c>
      <c r="Q32" s="1487" t="str">
        <f t="shared" si="11"/>
        <v>建筑类型</v>
      </c>
      <c r="R32" s="714" t="s">
        <v>21</v>
      </c>
      <c r="S32" s="715">
        <f t="shared" si="12"/>
        <v>100</v>
      </c>
      <c r="T32" s="714" t="s">
        <v>21</v>
      </c>
      <c r="U32" s="715">
        <f t="shared" si="13"/>
        <v>100</v>
      </c>
      <c r="V32" s="714" t="s">
        <v>21</v>
      </c>
      <c r="W32" s="715">
        <f t="shared" si="14"/>
        <v>100</v>
      </c>
      <c r="X32" s="1490"/>
      <c r="Y32" s="363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636"/>
      <c r="Q33" s="716" t="str">
        <f t="shared" si="11"/>
        <v>项目建筑规模</v>
      </c>
      <c r="R33" s="717" t="s">
        <v>21</v>
      </c>
      <c r="S33" s="718" t="e">
        <f t="shared" si="12"/>
        <v>#N/A</v>
      </c>
      <c r="T33" s="717" t="s">
        <v>21</v>
      </c>
      <c r="U33" s="718" t="e">
        <f t="shared" si="13"/>
        <v>#N/A</v>
      </c>
      <c r="V33" s="717" t="s">
        <v>21</v>
      </c>
      <c r="W33" s="718" t="e">
        <f t="shared" si="14"/>
        <v>#N/A</v>
      </c>
      <c r="X33" s="719"/>
      <c r="Y33" s="363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636"/>
      <c r="Q34" s="1487" t="str">
        <f t="shared" si="11"/>
        <v>建筑结构</v>
      </c>
      <c r="R34" s="714" t="s">
        <v>21</v>
      </c>
      <c r="S34" s="715">
        <f t="shared" si="12"/>
        <v>100</v>
      </c>
      <c r="T34" s="714" t="s">
        <v>21</v>
      </c>
      <c r="U34" s="715">
        <f t="shared" si="13"/>
        <v>100</v>
      </c>
      <c r="V34" s="714" t="s">
        <v>21</v>
      </c>
      <c r="W34" s="715">
        <f t="shared" si="14"/>
        <v>100</v>
      </c>
      <c r="X34" s="1490"/>
      <c r="Y34" s="363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636"/>
      <c r="Q35" s="1487" t="str">
        <f t="shared" si="11"/>
        <v>建筑品质</v>
      </c>
      <c r="R35" s="714" t="s">
        <v>21</v>
      </c>
      <c r="S35" s="715">
        <f t="shared" si="12"/>
        <v>100</v>
      </c>
      <c r="T35" s="714" t="s">
        <v>21</v>
      </c>
      <c r="U35" s="715">
        <f t="shared" si="13"/>
        <v>100</v>
      </c>
      <c r="V35" s="714" t="s">
        <v>21</v>
      </c>
      <c r="W35" s="715">
        <f t="shared" si="14"/>
        <v>100</v>
      </c>
      <c r="X35" s="1490"/>
      <c r="Y35" s="363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636"/>
      <c r="Q36" s="1487" t="str">
        <f t="shared" si="11"/>
        <v>公共部分装修</v>
      </c>
      <c r="R36" s="714" t="s">
        <v>21</v>
      </c>
      <c r="S36" s="715">
        <f t="shared" si="12"/>
        <v>100</v>
      </c>
      <c r="T36" s="714" t="s">
        <v>21</v>
      </c>
      <c r="U36" s="715">
        <f t="shared" si="13"/>
        <v>100</v>
      </c>
      <c r="V36" s="714" t="s">
        <v>21</v>
      </c>
      <c r="W36" s="715">
        <f t="shared" si="14"/>
        <v>100</v>
      </c>
      <c r="X36" s="1490"/>
      <c r="Y36" s="363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636"/>
      <c r="Q37" s="1478" t="str">
        <f t="shared" si="11"/>
        <v>成新度</v>
      </c>
      <c r="R37" s="710" t="s">
        <v>21</v>
      </c>
      <c r="S37" s="711" t="e">
        <f t="shared" si="12"/>
        <v>#N/A</v>
      </c>
      <c r="T37" s="710" t="s">
        <v>21</v>
      </c>
      <c r="U37" s="711" t="e">
        <f t="shared" si="13"/>
        <v>#N/A</v>
      </c>
      <c r="V37" s="710" t="s">
        <v>21</v>
      </c>
      <c r="W37" s="711" t="e">
        <f t="shared" si="14"/>
        <v>#N/A</v>
      </c>
      <c r="X37" s="712"/>
      <c r="Y37" s="363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636" t="s">
        <v>2145</v>
      </c>
      <c r="Q38" s="1487" t="str">
        <f t="shared" si="11"/>
        <v>物业管理</v>
      </c>
      <c r="R38" s="714" t="s">
        <v>21</v>
      </c>
      <c r="S38" s="715">
        <f t="shared" si="12"/>
        <v>100</v>
      </c>
      <c r="T38" s="714" t="s">
        <v>21</v>
      </c>
      <c r="U38" s="715">
        <f t="shared" si="13"/>
        <v>100</v>
      </c>
      <c r="V38" s="714" t="s">
        <v>21</v>
      </c>
      <c r="W38" s="715">
        <f t="shared" si="14"/>
        <v>100</v>
      </c>
      <c r="X38" s="1490"/>
      <c r="Y38" s="363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636"/>
      <c r="Q39" s="1487" t="str">
        <f t="shared" si="11"/>
        <v>市政基础设施</v>
      </c>
      <c r="R39" s="714" t="s">
        <v>21</v>
      </c>
      <c r="S39" s="715">
        <f t="shared" si="12"/>
        <v>100</v>
      </c>
      <c r="T39" s="714" t="s">
        <v>21</v>
      </c>
      <c r="U39" s="715">
        <f t="shared" si="13"/>
        <v>100</v>
      </c>
      <c r="V39" s="714" t="s">
        <v>21</v>
      </c>
      <c r="W39" s="715">
        <f t="shared" si="14"/>
        <v>100</v>
      </c>
      <c r="X39" s="1490"/>
      <c r="Y39" s="363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636"/>
      <c r="Q40" s="1487" t="str">
        <f t="shared" si="11"/>
        <v>房型</v>
      </c>
      <c r="R40" s="714" t="s">
        <v>21</v>
      </c>
      <c r="S40" s="715">
        <f t="shared" si="12"/>
        <v>100</v>
      </c>
      <c r="T40" s="714" t="s">
        <v>21</v>
      </c>
      <c r="U40" s="715">
        <f t="shared" si="13"/>
        <v>100</v>
      </c>
      <c r="V40" s="714" t="s">
        <v>21</v>
      </c>
      <c r="W40" s="715">
        <f t="shared" si="14"/>
        <v>100</v>
      </c>
      <c r="X40" s="1490"/>
      <c r="Y40" s="363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636"/>
      <c r="Q41" s="716" t="str">
        <f t="shared" si="11"/>
        <v>单套/主力户型建筑面积</v>
      </c>
      <c r="R41" s="717" t="s">
        <v>21</v>
      </c>
      <c r="S41" s="718">
        <f t="shared" si="12"/>
        <v>100</v>
      </c>
      <c r="T41" s="717" t="s">
        <v>21</v>
      </c>
      <c r="U41" s="718">
        <f t="shared" si="13"/>
        <v>100</v>
      </c>
      <c r="V41" s="717" t="s">
        <v>21</v>
      </c>
      <c r="W41" s="718">
        <f t="shared" si="14"/>
        <v>100</v>
      </c>
      <c r="X41" s="719"/>
      <c r="Y41" s="363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636"/>
      <c r="Q42" s="1487" t="str">
        <f t="shared" si="11"/>
        <v>内部装修</v>
      </c>
      <c r="R42" s="714" t="s">
        <v>21</v>
      </c>
      <c r="S42" s="715">
        <f t="shared" si="12"/>
        <v>100</v>
      </c>
      <c r="T42" s="714" t="s">
        <v>21</v>
      </c>
      <c r="U42" s="715">
        <f t="shared" si="13"/>
        <v>100</v>
      </c>
      <c r="V42" s="714" t="s">
        <v>21</v>
      </c>
      <c r="W42" s="715">
        <f t="shared" si="14"/>
        <v>100</v>
      </c>
      <c r="X42" s="1490"/>
      <c r="Y42" s="363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636"/>
      <c r="Q43" s="1487" t="str">
        <f t="shared" si="11"/>
        <v>内部装修维护情况</v>
      </c>
      <c r="R43" s="714" t="s">
        <v>21</v>
      </c>
      <c r="S43" s="715">
        <f t="shared" si="12"/>
        <v>100</v>
      </c>
      <c r="T43" s="714" t="s">
        <v>21</v>
      </c>
      <c r="U43" s="715">
        <f t="shared" si="13"/>
        <v>100</v>
      </c>
      <c r="V43" s="714" t="s">
        <v>21</v>
      </c>
      <c r="W43" s="715">
        <f t="shared" si="14"/>
        <v>100</v>
      </c>
      <c r="X43" s="1490"/>
      <c r="Y43" s="363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636"/>
      <c r="Q44" s="1478">
        <f t="shared" si="11"/>
        <v>111</v>
      </c>
      <c r="R44" s="710" t="s">
        <v>21</v>
      </c>
      <c r="S44" s="711">
        <f t="shared" si="12"/>
        <v>100</v>
      </c>
      <c r="T44" s="710" t="s">
        <v>21</v>
      </c>
      <c r="U44" s="711">
        <f t="shared" si="13"/>
        <v>100</v>
      </c>
      <c r="V44" s="710" t="s">
        <v>21</v>
      </c>
      <c r="W44" s="711">
        <f t="shared" si="14"/>
        <v>100</v>
      </c>
      <c r="X44" s="712"/>
      <c r="Y44" s="363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636"/>
      <c r="Q45" s="1487">
        <f t="shared" si="11"/>
        <v>111</v>
      </c>
      <c r="R45" s="714" t="s">
        <v>21</v>
      </c>
      <c r="S45" s="715">
        <f t="shared" si="12"/>
        <v>100</v>
      </c>
      <c r="T45" s="714" t="s">
        <v>21</v>
      </c>
      <c r="U45" s="715">
        <f t="shared" si="13"/>
        <v>100</v>
      </c>
      <c r="V45" s="714" t="s">
        <v>21</v>
      </c>
      <c r="W45" s="715">
        <f t="shared" si="14"/>
        <v>100</v>
      </c>
      <c r="X45" s="1490"/>
      <c r="Y45" s="363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637"/>
      <c r="Q46" s="1487">
        <f t="shared" si="11"/>
        <v>111</v>
      </c>
      <c r="R46" s="714" t="s">
        <v>20</v>
      </c>
      <c r="S46" s="715">
        <f t="shared" si="12"/>
        <v>100</v>
      </c>
      <c r="T46" s="714" t="s">
        <v>20</v>
      </c>
      <c r="U46" s="715">
        <f t="shared" si="13"/>
        <v>100</v>
      </c>
      <c r="V46" s="714" t="s">
        <v>20</v>
      </c>
      <c r="W46" s="715">
        <f t="shared" si="14"/>
        <v>100</v>
      </c>
      <c r="X46" s="1490"/>
      <c r="Y46" s="363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631" t="str">
        <f>A47</f>
        <v>成交单价（元/平方米）</v>
      </c>
      <c r="Q47" s="3631"/>
      <c r="R47" s="3632">
        <f>E47</f>
        <v>0</v>
      </c>
      <c r="S47" s="3632"/>
      <c r="T47" s="3632">
        <f>G47</f>
        <v>0</v>
      </c>
      <c r="U47" s="3632"/>
      <c r="V47" s="3632">
        <f>I47</f>
        <v>0</v>
      </c>
      <c r="W47" s="3632"/>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631" t="str">
        <f>A48</f>
        <v>比较价值（元/平方米）</v>
      </c>
      <c r="Q48" s="3631"/>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34459.17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626" t="s">
        <v>2228</v>
      </c>
      <c r="AC4" s="3596" t="s">
        <v>2229</v>
      </c>
    </row>
    <row r="5" spans="1:29"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626"/>
      <c r="AC5" s="3597"/>
    </row>
    <row r="6" spans="1:29" ht="15.75" thickBot="1">
      <c r="A6" s="366"/>
      <c r="B6" s="367"/>
      <c r="C6" s="3609" t="s">
        <v>2126</v>
      </c>
      <c r="D6" s="3610"/>
      <c r="E6" s="3611" t="s">
        <v>2126</v>
      </c>
      <c r="F6" s="3612"/>
      <c r="G6" s="3609" t="s">
        <v>2126</v>
      </c>
      <c r="H6" s="3610"/>
      <c r="I6" s="3609" t="s">
        <v>2126</v>
      </c>
      <c r="J6" s="3610"/>
      <c r="K6" s="567" t="s">
        <v>2127</v>
      </c>
      <c r="L6" s="2894"/>
      <c r="M6" s="2895"/>
      <c r="N6" s="2895"/>
      <c r="O6" s="2895"/>
      <c r="P6" s="3622"/>
      <c r="Q6" s="3623"/>
      <c r="R6" s="3603"/>
      <c r="S6" s="3604"/>
      <c r="T6" s="3624"/>
      <c r="U6" s="3625"/>
      <c r="V6" s="3626"/>
      <c r="W6" s="3626"/>
      <c r="X6" s="1490"/>
      <c r="Y6" s="3624"/>
      <c r="Z6" s="3625"/>
      <c r="AA6" s="3598"/>
      <c r="AB6" s="3626"/>
      <c r="AC6" s="3598"/>
    </row>
    <row r="7" spans="1:29" s="113" customFormat="1" ht="15.75" thickBot="1">
      <c r="A7" s="368" t="s">
        <v>2128</v>
      </c>
      <c r="B7" s="369"/>
      <c r="C7" s="370">
        <f>'数据-取费表'!B2</f>
        <v>44783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599"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613"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613"/>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613"/>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613"/>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613"/>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613"/>
      <c r="Q14" s="1478">
        <f t="shared" si="6"/>
        <v>111</v>
      </c>
      <c r="R14" s="710" t="s">
        <v>17</v>
      </c>
      <c r="S14" s="711">
        <f t="shared" si="0"/>
        <v>100</v>
      </c>
      <c r="T14" s="710" t="s">
        <v>17</v>
      </c>
      <c r="U14" s="711">
        <f t="shared" si="1"/>
        <v>100</v>
      </c>
      <c r="V14" s="710" t="s">
        <v>17</v>
      </c>
      <c r="W14" s="711">
        <f t="shared" si="2"/>
        <v>100</v>
      </c>
      <c r="X14" s="712"/>
      <c r="Y14" s="3543"/>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640" t="s">
        <v>2140</v>
      </c>
      <c r="Q15" s="1487" t="str">
        <f t="shared" si="6"/>
        <v>商业繁华度</v>
      </c>
      <c r="R15" s="714" t="s">
        <v>17</v>
      </c>
      <c r="S15" s="715">
        <f t="shared" si="0"/>
        <v>100</v>
      </c>
      <c r="T15" s="714" t="s">
        <v>17</v>
      </c>
      <c r="U15" s="715">
        <f t="shared" si="1"/>
        <v>100</v>
      </c>
      <c r="V15" s="714" t="s">
        <v>17</v>
      </c>
      <c r="W15" s="715">
        <f t="shared" si="2"/>
        <v>100</v>
      </c>
      <c r="X15" s="1490"/>
      <c r="Y15" s="363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641"/>
      <c r="Q16" s="1487"/>
      <c r="R16" s="714"/>
      <c r="S16" s="715"/>
      <c r="T16" s="714"/>
      <c r="U16" s="715"/>
      <c r="V16" s="714"/>
      <c r="W16" s="715"/>
      <c r="X16" s="1490"/>
      <c r="Y16" s="363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641"/>
      <c r="Q17" s="1487" t="str">
        <f>B17</f>
        <v>交通便捷度</v>
      </c>
      <c r="R17" s="714" t="s">
        <v>17</v>
      </c>
      <c r="S17" s="715">
        <f>F17</f>
        <v>100</v>
      </c>
      <c r="T17" s="714" t="s">
        <v>17</v>
      </c>
      <c r="U17" s="715">
        <f>H17</f>
        <v>100</v>
      </c>
      <c r="V17" s="714" t="s">
        <v>17</v>
      </c>
      <c r="W17" s="715">
        <f>J17</f>
        <v>100</v>
      </c>
      <c r="X17" s="1490"/>
      <c r="Y17" s="363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641"/>
      <c r="Q18" s="1487"/>
      <c r="R18" s="714"/>
      <c r="S18" s="715"/>
      <c r="T18" s="714"/>
      <c r="U18" s="715"/>
      <c r="V18" s="714"/>
      <c r="W18" s="715"/>
      <c r="X18" s="1490"/>
      <c r="Y18" s="3634"/>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641"/>
      <c r="Q19" s="1487" t="str">
        <f>B19</f>
        <v>公共配套设施</v>
      </c>
      <c r="R19" s="714" t="s">
        <v>17</v>
      </c>
      <c r="S19" s="715">
        <f>F19</f>
        <v>100</v>
      </c>
      <c r="T19" s="714" t="s">
        <v>17</v>
      </c>
      <c r="U19" s="715">
        <f>H19</f>
        <v>100</v>
      </c>
      <c r="V19" s="714" t="s">
        <v>17</v>
      </c>
      <c r="W19" s="715">
        <f>J19</f>
        <v>100</v>
      </c>
      <c r="X19" s="1490"/>
      <c r="Y19" s="363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641"/>
      <c r="Q20" s="1487"/>
      <c r="R20" s="714"/>
      <c r="S20" s="715"/>
      <c r="T20" s="714"/>
      <c r="U20" s="715"/>
      <c r="V20" s="714"/>
      <c r="W20" s="715"/>
      <c r="X20" s="1490"/>
      <c r="Y20" s="3634"/>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641"/>
      <c r="Q21" s="1487" t="str">
        <f>B21</f>
        <v>基础设施水平</v>
      </c>
      <c r="R21" s="714" t="s">
        <v>17</v>
      </c>
      <c r="S21" s="715">
        <f>F21</f>
        <v>100</v>
      </c>
      <c r="T21" s="714" t="s">
        <v>17</v>
      </c>
      <c r="U21" s="715">
        <f>H21</f>
        <v>100</v>
      </c>
      <c r="V21" s="714" t="s">
        <v>17</v>
      </c>
      <c r="W21" s="715">
        <f>J21</f>
        <v>100</v>
      </c>
      <c r="X21" s="1490"/>
      <c r="Y21" s="363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641"/>
      <c r="Q22" s="1487"/>
      <c r="R22" s="714"/>
      <c r="S22" s="715"/>
      <c r="T22" s="714"/>
      <c r="U22" s="715"/>
      <c r="V22" s="714"/>
      <c r="W22" s="715"/>
      <c r="X22" s="1490"/>
      <c r="Y22" s="363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641"/>
      <c r="Q23" s="1487" t="str">
        <f>B23</f>
        <v>自然及人文环境</v>
      </c>
      <c r="R23" s="714" t="s">
        <v>17</v>
      </c>
      <c r="S23" s="715">
        <f>F23</f>
        <v>100</v>
      </c>
      <c r="T23" s="714" t="s">
        <v>17</v>
      </c>
      <c r="U23" s="715">
        <f>H23</f>
        <v>100</v>
      </c>
      <c r="V23" s="714" t="s">
        <v>17</v>
      </c>
      <c r="W23" s="715">
        <f>J23</f>
        <v>100</v>
      </c>
      <c r="X23" s="1490"/>
      <c r="Y23" s="363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641"/>
      <c r="Q24" s="1487"/>
      <c r="R24" s="714"/>
      <c r="S24" s="715"/>
      <c r="T24" s="714"/>
      <c r="U24" s="715"/>
      <c r="V24" s="714"/>
      <c r="W24" s="715"/>
      <c r="X24" s="1490"/>
      <c r="Y24" s="363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641"/>
      <c r="Q25" s="1487" t="str">
        <f t="shared" ref="Q25:Q46" si="11">B25</f>
        <v>临街状况</v>
      </c>
      <c r="R25" s="714" t="s">
        <v>17</v>
      </c>
      <c r="S25" s="715">
        <f>F25</f>
        <v>100</v>
      </c>
      <c r="T25" s="714" t="s">
        <v>17</v>
      </c>
      <c r="U25" s="715">
        <f>H25</f>
        <v>100</v>
      </c>
      <c r="V25" s="714" t="s">
        <v>17</v>
      </c>
      <c r="W25" s="715">
        <f>J25</f>
        <v>100</v>
      </c>
      <c r="X25" s="1490"/>
      <c r="Y25" s="363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641"/>
      <c r="Q26" s="1487" t="str">
        <f t="shared" si="11"/>
        <v>平面位置/可视性</v>
      </c>
      <c r="R26" s="714" t="s">
        <v>17</v>
      </c>
      <c r="S26" s="715">
        <f>F26</f>
        <v>100</v>
      </c>
      <c r="T26" s="714" t="s">
        <v>17</v>
      </c>
      <c r="U26" s="715">
        <f>H26</f>
        <v>100</v>
      </c>
      <c r="V26" s="714" t="s">
        <v>17</v>
      </c>
      <c r="W26" s="715">
        <f>J26</f>
        <v>100</v>
      </c>
      <c r="X26" s="1490"/>
      <c r="Y26" s="363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641"/>
      <c r="Q27" s="1478" t="str">
        <f t="shared" si="11"/>
        <v>人流量</v>
      </c>
      <c r="R27" s="710" t="s">
        <v>17</v>
      </c>
      <c r="S27" s="711">
        <f>F27</f>
        <v>100</v>
      </c>
      <c r="T27" s="710" t="s">
        <v>17</v>
      </c>
      <c r="U27" s="711">
        <f>H27</f>
        <v>100</v>
      </c>
      <c r="V27" s="710" t="s">
        <v>17</v>
      </c>
      <c r="W27" s="711">
        <f>J27</f>
        <v>100</v>
      </c>
      <c r="X27" s="712"/>
      <c r="Y27" s="363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64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63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641"/>
      <c r="Q29" s="1487">
        <f t="shared" si="11"/>
        <v>111</v>
      </c>
      <c r="R29" s="714" t="s">
        <v>17</v>
      </c>
      <c r="S29" s="715">
        <f t="shared" si="12"/>
        <v>100</v>
      </c>
      <c r="T29" s="714" t="s">
        <v>17</v>
      </c>
      <c r="U29" s="715">
        <f t="shared" si="13"/>
        <v>100</v>
      </c>
      <c r="V29" s="714" t="s">
        <v>17</v>
      </c>
      <c r="W29" s="715">
        <f t="shared" si="14"/>
        <v>100</v>
      </c>
      <c r="X29" s="1490"/>
      <c r="Y29" s="363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641"/>
      <c r="Q30" s="1487">
        <f t="shared" si="11"/>
        <v>111</v>
      </c>
      <c r="R30" s="714" t="s">
        <v>17</v>
      </c>
      <c r="S30" s="715">
        <f t="shared" si="12"/>
        <v>100</v>
      </c>
      <c r="T30" s="714" t="s">
        <v>17</v>
      </c>
      <c r="U30" s="715">
        <f t="shared" si="13"/>
        <v>100</v>
      </c>
      <c r="V30" s="714" t="s">
        <v>17</v>
      </c>
      <c r="W30" s="715">
        <f t="shared" si="14"/>
        <v>100</v>
      </c>
      <c r="X30" s="1490"/>
      <c r="Y30" s="363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641"/>
      <c r="Q31" s="1487">
        <f t="shared" si="11"/>
        <v>111</v>
      </c>
      <c r="R31" s="714" t="s">
        <v>17</v>
      </c>
      <c r="S31" s="715">
        <f t="shared" si="12"/>
        <v>100</v>
      </c>
      <c r="T31" s="714" t="s">
        <v>17</v>
      </c>
      <c r="U31" s="715">
        <f t="shared" si="13"/>
        <v>100</v>
      </c>
      <c r="V31" s="714" t="s">
        <v>17</v>
      </c>
      <c r="W31" s="715">
        <f t="shared" si="14"/>
        <v>100</v>
      </c>
      <c r="X31" s="1490"/>
      <c r="Y31" s="363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635" t="s">
        <v>2145</v>
      </c>
      <c r="Q32" s="1487" t="str">
        <f t="shared" si="11"/>
        <v>商业类型</v>
      </c>
      <c r="R32" s="714" t="s">
        <v>17</v>
      </c>
      <c r="S32" s="715">
        <f t="shared" si="12"/>
        <v>100</v>
      </c>
      <c r="T32" s="714" t="s">
        <v>17</v>
      </c>
      <c r="U32" s="715">
        <f t="shared" si="13"/>
        <v>100</v>
      </c>
      <c r="V32" s="714" t="s">
        <v>17</v>
      </c>
      <c r="W32" s="715">
        <f t="shared" si="14"/>
        <v>100</v>
      </c>
      <c r="X32" s="1490"/>
      <c r="Y32" s="363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636"/>
      <c r="Q33" s="716" t="str">
        <f t="shared" si="11"/>
        <v>项目建筑规模</v>
      </c>
      <c r="R33" s="717" t="s">
        <v>17</v>
      </c>
      <c r="S33" s="718" t="e">
        <f t="shared" si="12"/>
        <v>#N/A</v>
      </c>
      <c r="T33" s="717" t="s">
        <v>17</v>
      </c>
      <c r="U33" s="718" t="e">
        <f t="shared" si="13"/>
        <v>#N/A</v>
      </c>
      <c r="V33" s="717" t="s">
        <v>17</v>
      </c>
      <c r="W33" s="718" t="e">
        <f t="shared" si="14"/>
        <v>#N/A</v>
      </c>
      <c r="X33" s="719"/>
      <c r="Y33" s="363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636"/>
      <c r="Q34" s="1487" t="str">
        <f t="shared" si="11"/>
        <v>建筑结构</v>
      </c>
      <c r="R34" s="714" t="s">
        <v>17</v>
      </c>
      <c r="S34" s="715">
        <f t="shared" si="12"/>
        <v>100</v>
      </c>
      <c r="T34" s="714" t="s">
        <v>17</v>
      </c>
      <c r="U34" s="715">
        <f t="shared" si="13"/>
        <v>100</v>
      </c>
      <c r="V34" s="714" t="s">
        <v>17</v>
      </c>
      <c r="W34" s="715">
        <f t="shared" si="14"/>
        <v>100</v>
      </c>
      <c r="X34" s="1490"/>
      <c r="Y34" s="363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636"/>
      <c r="Q35" s="1487" t="str">
        <f t="shared" si="11"/>
        <v>公共部分装修</v>
      </c>
      <c r="R35" s="714" t="s">
        <v>17</v>
      </c>
      <c r="S35" s="715">
        <f t="shared" si="12"/>
        <v>100</v>
      </c>
      <c r="T35" s="714" t="s">
        <v>17</v>
      </c>
      <c r="U35" s="715">
        <f t="shared" si="13"/>
        <v>100</v>
      </c>
      <c r="V35" s="714" t="s">
        <v>17</v>
      </c>
      <c r="W35" s="715">
        <f t="shared" si="14"/>
        <v>100</v>
      </c>
      <c r="X35" s="1490"/>
      <c r="Y35" s="363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636"/>
      <c r="Q36" s="1487" t="str">
        <f t="shared" si="11"/>
        <v>成新度</v>
      </c>
      <c r="R36" s="714" t="s">
        <v>17</v>
      </c>
      <c r="S36" s="715" t="e">
        <f t="shared" si="12"/>
        <v>#N/A</v>
      </c>
      <c r="T36" s="714" t="s">
        <v>17</v>
      </c>
      <c r="U36" s="715" t="e">
        <f t="shared" si="13"/>
        <v>#N/A</v>
      </c>
      <c r="V36" s="714" t="s">
        <v>17</v>
      </c>
      <c r="W36" s="715" t="e">
        <f t="shared" si="14"/>
        <v>#N/A</v>
      </c>
      <c r="X36" s="1490"/>
      <c r="Y36" s="363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636"/>
      <c r="Q37" s="1478" t="str">
        <f t="shared" si="11"/>
        <v>市政基础设施</v>
      </c>
      <c r="R37" s="710" t="s">
        <v>17</v>
      </c>
      <c r="S37" s="711">
        <f t="shared" si="12"/>
        <v>100</v>
      </c>
      <c r="T37" s="710" t="s">
        <v>17</v>
      </c>
      <c r="U37" s="711">
        <f t="shared" si="13"/>
        <v>100</v>
      </c>
      <c r="V37" s="710" t="s">
        <v>17</v>
      </c>
      <c r="W37" s="711">
        <f t="shared" si="14"/>
        <v>100</v>
      </c>
      <c r="X37" s="712"/>
      <c r="Y37" s="363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636" t="s">
        <v>2145</v>
      </c>
      <c r="Q38" s="1487" t="str">
        <f t="shared" si="11"/>
        <v>业态</v>
      </c>
      <c r="R38" s="714" t="s">
        <v>17</v>
      </c>
      <c r="S38" s="715">
        <f t="shared" si="12"/>
        <v>100</v>
      </c>
      <c r="T38" s="714" t="s">
        <v>17</v>
      </c>
      <c r="U38" s="715">
        <f t="shared" si="13"/>
        <v>100</v>
      </c>
      <c r="V38" s="714" t="s">
        <v>17</v>
      </c>
      <c r="W38" s="715">
        <f t="shared" si="14"/>
        <v>100</v>
      </c>
      <c r="X38" s="1490"/>
      <c r="Y38" s="363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636"/>
      <c r="Q39" s="1487" t="str">
        <f t="shared" si="11"/>
        <v>层高</v>
      </c>
      <c r="R39" s="714" t="s">
        <v>17</v>
      </c>
      <c r="S39" s="715">
        <f t="shared" si="12"/>
        <v>100</v>
      </c>
      <c r="T39" s="714" t="s">
        <v>17</v>
      </c>
      <c r="U39" s="715">
        <f t="shared" si="13"/>
        <v>100</v>
      </c>
      <c r="V39" s="714" t="s">
        <v>17</v>
      </c>
      <c r="W39" s="715">
        <f t="shared" si="14"/>
        <v>100</v>
      </c>
      <c r="X39" s="1490"/>
      <c r="Y39" s="363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636"/>
      <c r="Q40" s="1487" t="str">
        <f t="shared" si="11"/>
        <v>单套建筑面积</v>
      </c>
      <c r="R40" s="714" t="s">
        <v>17</v>
      </c>
      <c r="S40" s="715">
        <f t="shared" si="12"/>
        <v>100</v>
      </c>
      <c r="T40" s="714" t="s">
        <v>17</v>
      </c>
      <c r="U40" s="715">
        <f t="shared" si="13"/>
        <v>100</v>
      </c>
      <c r="V40" s="714" t="s">
        <v>17</v>
      </c>
      <c r="W40" s="715">
        <f t="shared" si="14"/>
        <v>100</v>
      </c>
      <c r="X40" s="1490"/>
      <c r="Y40" s="363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636"/>
      <c r="Q41" s="716" t="str">
        <f t="shared" si="11"/>
        <v>进深比</v>
      </c>
      <c r="R41" s="717" t="s">
        <v>17</v>
      </c>
      <c r="S41" s="718">
        <f t="shared" si="12"/>
        <v>100</v>
      </c>
      <c r="T41" s="717" t="s">
        <v>17</v>
      </c>
      <c r="U41" s="718">
        <f t="shared" si="13"/>
        <v>100</v>
      </c>
      <c r="V41" s="717" t="s">
        <v>17</v>
      </c>
      <c r="W41" s="718">
        <f t="shared" si="14"/>
        <v>100</v>
      </c>
      <c r="X41" s="719"/>
      <c r="Y41" s="363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636"/>
      <c r="Q42" s="1487" t="str">
        <f t="shared" si="11"/>
        <v>内部装修</v>
      </c>
      <c r="R42" s="714" t="s">
        <v>17</v>
      </c>
      <c r="S42" s="715">
        <f t="shared" si="12"/>
        <v>100</v>
      </c>
      <c r="T42" s="714" t="s">
        <v>17</v>
      </c>
      <c r="U42" s="715">
        <f t="shared" si="13"/>
        <v>100</v>
      </c>
      <c r="V42" s="714" t="s">
        <v>17</v>
      </c>
      <c r="W42" s="715">
        <f t="shared" si="14"/>
        <v>100</v>
      </c>
      <c r="X42" s="1490"/>
      <c r="Y42" s="363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636"/>
      <c r="Q43" s="1487" t="str">
        <f t="shared" si="11"/>
        <v>内部装修维护情况</v>
      </c>
      <c r="R43" s="714" t="s">
        <v>17</v>
      </c>
      <c r="S43" s="715">
        <f t="shared" si="12"/>
        <v>100</v>
      </c>
      <c r="T43" s="714" t="s">
        <v>17</v>
      </c>
      <c r="U43" s="715">
        <f t="shared" si="13"/>
        <v>100</v>
      </c>
      <c r="V43" s="714" t="s">
        <v>17</v>
      </c>
      <c r="W43" s="715">
        <f t="shared" si="14"/>
        <v>100</v>
      </c>
      <c r="X43" s="1490"/>
      <c r="Y43" s="363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636"/>
      <c r="Q44" s="1478">
        <f t="shared" si="11"/>
        <v>111</v>
      </c>
      <c r="R44" s="710" t="s">
        <v>17</v>
      </c>
      <c r="S44" s="711">
        <f t="shared" si="12"/>
        <v>100</v>
      </c>
      <c r="T44" s="710" t="s">
        <v>17</v>
      </c>
      <c r="U44" s="711">
        <f t="shared" si="13"/>
        <v>100</v>
      </c>
      <c r="V44" s="710" t="s">
        <v>17</v>
      </c>
      <c r="W44" s="711">
        <f t="shared" si="14"/>
        <v>100</v>
      </c>
      <c r="X44" s="712"/>
      <c r="Y44" s="363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636"/>
      <c r="Q45" s="1487">
        <f t="shared" si="11"/>
        <v>111</v>
      </c>
      <c r="R45" s="714" t="s">
        <v>17</v>
      </c>
      <c r="S45" s="715">
        <f t="shared" si="12"/>
        <v>100</v>
      </c>
      <c r="T45" s="714" t="s">
        <v>17</v>
      </c>
      <c r="U45" s="715">
        <f t="shared" si="13"/>
        <v>100</v>
      </c>
      <c r="V45" s="714" t="s">
        <v>17</v>
      </c>
      <c r="W45" s="715">
        <f t="shared" si="14"/>
        <v>100</v>
      </c>
      <c r="X45" s="1490"/>
      <c r="Y45" s="363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637"/>
      <c r="Q46" s="1487">
        <f t="shared" si="11"/>
        <v>111</v>
      </c>
      <c r="R46" s="714" t="s">
        <v>17</v>
      </c>
      <c r="S46" s="715">
        <f t="shared" si="12"/>
        <v>100</v>
      </c>
      <c r="T46" s="714" t="s">
        <v>17</v>
      </c>
      <c r="U46" s="715">
        <f t="shared" si="13"/>
        <v>100</v>
      </c>
      <c r="V46" s="714" t="s">
        <v>17</v>
      </c>
      <c r="W46" s="715">
        <f t="shared" si="14"/>
        <v>100</v>
      </c>
      <c r="X46" s="1490"/>
      <c r="Y46" s="363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631" t="str">
        <f>A47</f>
        <v>成交单价（元/平方米）</v>
      </c>
      <c r="Q47" s="3631"/>
      <c r="R47" s="3626">
        <f>E47</f>
        <v>0</v>
      </c>
      <c r="S47" s="3626"/>
      <c r="T47" s="3626">
        <f>G47</f>
        <v>0</v>
      </c>
      <c r="U47" s="3626"/>
      <c r="V47" s="3626">
        <f>I47</f>
        <v>0</v>
      </c>
      <c r="W47" s="3626"/>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631" t="str">
        <f>A48</f>
        <v>比较价值（元/平方米）</v>
      </c>
      <c r="Q48" s="3631"/>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34459.17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48" t="s">
        <v>2231</v>
      </c>
      <c r="Q4" s="3649"/>
      <c r="R4" s="3643" t="s">
        <v>2227</v>
      </c>
      <c r="S4" s="3644"/>
      <c r="T4" s="3643" t="s">
        <v>2228</v>
      </c>
      <c r="U4" s="3644"/>
      <c r="V4" s="3652" t="s">
        <v>2229</v>
      </c>
      <c r="W4" s="3652"/>
      <c r="X4" s="2095"/>
      <c r="Y4" s="3643" t="s">
        <v>2231</v>
      </c>
      <c r="Z4" s="3644"/>
      <c r="AA4" s="3642" t="s">
        <v>2227</v>
      </c>
      <c r="AB4" s="3642" t="s">
        <v>2228</v>
      </c>
      <c r="AC4" s="3645" t="s">
        <v>2229</v>
      </c>
    </row>
    <row r="5" spans="1:29" ht="15">
      <c r="A5" s="364"/>
      <c r="B5" s="365"/>
      <c r="C5" s="3607" t="s">
        <v>2122</v>
      </c>
      <c r="D5" s="3608"/>
      <c r="E5" s="3605" t="s">
        <v>2123</v>
      </c>
      <c r="F5" s="3606"/>
      <c r="G5" s="3607" t="s">
        <v>2124</v>
      </c>
      <c r="H5" s="3608"/>
      <c r="I5" s="3607" t="s">
        <v>2125</v>
      </c>
      <c r="J5" s="3608"/>
      <c r="K5" s="567"/>
      <c r="L5" s="2894"/>
      <c r="M5" s="2895"/>
      <c r="N5" s="2895"/>
      <c r="O5" s="2895"/>
      <c r="P5" s="3650"/>
      <c r="Q5" s="3621"/>
      <c r="R5" s="3603"/>
      <c r="S5" s="3604"/>
      <c r="T5" s="3603"/>
      <c r="U5" s="3604"/>
      <c r="V5" s="3626"/>
      <c r="W5" s="3626"/>
      <c r="X5" s="1490"/>
      <c r="Y5" s="3603"/>
      <c r="Z5" s="3604"/>
      <c r="AA5" s="3597"/>
      <c r="AB5" s="3597"/>
      <c r="AC5" s="3646"/>
    </row>
    <row r="6" spans="1:29" ht="15.75" thickBot="1">
      <c r="A6" s="366"/>
      <c r="B6" s="367"/>
      <c r="C6" s="3609" t="s">
        <v>2126</v>
      </c>
      <c r="D6" s="3610"/>
      <c r="E6" s="3611" t="s">
        <v>2126</v>
      </c>
      <c r="F6" s="3612"/>
      <c r="G6" s="3609" t="s">
        <v>2126</v>
      </c>
      <c r="H6" s="3610"/>
      <c r="I6" s="3609" t="s">
        <v>2126</v>
      </c>
      <c r="J6" s="3610"/>
      <c r="K6" s="567" t="s">
        <v>2127</v>
      </c>
      <c r="L6" s="2894"/>
      <c r="M6" s="2895"/>
      <c r="N6" s="2895"/>
      <c r="O6" s="2895"/>
      <c r="P6" s="3651"/>
      <c r="Q6" s="3623"/>
      <c r="R6" s="3603"/>
      <c r="S6" s="3604"/>
      <c r="T6" s="3624"/>
      <c r="U6" s="3625"/>
      <c r="V6" s="3626"/>
      <c r="W6" s="3626"/>
      <c r="X6" s="1490"/>
      <c r="Y6" s="3624"/>
      <c r="Z6" s="3625"/>
      <c r="AA6" s="3598"/>
      <c r="AB6" s="3598"/>
      <c r="AC6" s="3647"/>
    </row>
    <row r="7" spans="1:29" s="113" customFormat="1" ht="15.75" thickBot="1">
      <c r="A7" s="368" t="s">
        <v>2128</v>
      </c>
      <c r="B7" s="369"/>
      <c r="C7" s="370">
        <f>'数据-取费表'!B2</f>
        <v>44783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653"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653" t="s">
        <v>2132</v>
      </c>
      <c r="Q8" s="3600"/>
      <c r="R8" s="710" t="s">
        <v>17</v>
      </c>
      <c r="S8" s="711">
        <f t="shared" si="0"/>
        <v>0</v>
      </c>
      <c r="T8" s="710" t="s">
        <v>17</v>
      </c>
      <c r="U8" s="711">
        <f t="shared" si="1"/>
        <v>0</v>
      </c>
      <c r="V8" s="710" t="s">
        <v>17</v>
      </c>
      <c r="W8" s="711">
        <f t="shared" si="2"/>
        <v>0</v>
      </c>
      <c r="X8" s="712"/>
      <c r="Y8" s="3599" t="s">
        <v>2132</v>
      </c>
      <c r="Z8" s="3600"/>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613"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613"/>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613"/>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613"/>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613"/>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613"/>
      <c r="Q14" s="1478">
        <f t="shared" si="6"/>
        <v>111</v>
      </c>
      <c r="R14" s="710" t="s">
        <v>17</v>
      </c>
      <c r="S14" s="711">
        <f t="shared" si="0"/>
        <v>100</v>
      </c>
      <c r="T14" s="710" t="s">
        <v>17</v>
      </c>
      <c r="U14" s="711">
        <f t="shared" si="1"/>
        <v>100</v>
      </c>
      <c r="V14" s="710" t="s">
        <v>17</v>
      </c>
      <c r="W14" s="711">
        <f t="shared" si="2"/>
        <v>100</v>
      </c>
      <c r="X14" s="712"/>
      <c r="Y14" s="3543"/>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640" t="s">
        <v>2140</v>
      </c>
      <c r="Q15" s="1487" t="str">
        <f t="shared" si="6"/>
        <v>办公集聚程度</v>
      </c>
      <c r="R15" s="714" t="s">
        <v>17</v>
      </c>
      <c r="S15" s="715">
        <f t="shared" si="0"/>
        <v>100</v>
      </c>
      <c r="T15" s="714" t="s">
        <v>17</v>
      </c>
      <c r="U15" s="715">
        <f t="shared" si="1"/>
        <v>100</v>
      </c>
      <c r="V15" s="714" t="s">
        <v>17</v>
      </c>
      <c r="W15" s="715">
        <f t="shared" si="2"/>
        <v>100</v>
      </c>
      <c r="X15" s="1490"/>
      <c r="Y15" s="363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641"/>
      <c r="Q16" s="1487"/>
      <c r="R16" s="714"/>
      <c r="S16" s="715"/>
      <c r="T16" s="714"/>
      <c r="U16" s="715"/>
      <c r="V16" s="714"/>
      <c r="W16" s="715"/>
      <c r="X16" s="1490"/>
      <c r="Y16" s="363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641"/>
      <c r="Q17" s="1487" t="str">
        <f>B17</f>
        <v>交通便捷度</v>
      </c>
      <c r="R17" s="714" t="s">
        <v>17</v>
      </c>
      <c r="S17" s="715">
        <f>F17</f>
        <v>100</v>
      </c>
      <c r="T17" s="714" t="s">
        <v>17</v>
      </c>
      <c r="U17" s="715">
        <f>H17</f>
        <v>100</v>
      </c>
      <c r="V17" s="714" t="s">
        <v>17</v>
      </c>
      <c r="W17" s="715">
        <f>J17</f>
        <v>100</v>
      </c>
      <c r="X17" s="1490"/>
      <c r="Y17" s="363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641"/>
      <c r="Q18" s="1487"/>
      <c r="R18" s="714"/>
      <c r="S18" s="715"/>
      <c r="T18" s="714"/>
      <c r="U18" s="715"/>
      <c r="V18" s="714"/>
      <c r="W18" s="715"/>
      <c r="X18" s="1490"/>
      <c r="Y18" s="3634"/>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641"/>
      <c r="Q19" s="1487" t="str">
        <f>B19</f>
        <v>公共配套设施</v>
      </c>
      <c r="R19" s="714" t="s">
        <v>17</v>
      </c>
      <c r="S19" s="715">
        <f>F19</f>
        <v>100</v>
      </c>
      <c r="T19" s="714" t="s">
        <v>17</v>
      </c>
      <c r="U19" s="715">
        <f>H19</f>
        <v>100</v>
      </c>
      <c r="V19" s="714" t="s">
        <v>17</v>
      </c>
      <c r="W19" s="715">
        <f>J19</f>
        <v>100</v>
      </c>
      <c r="X19" s="1490"/>
      <c r="Y19" s="363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641"/>
      <c r="Q20" s="1487"/>
      <c r="R20" s="714"/>
      <c r="S20" s="715"/>
      <c r="T20" s="714"/>
      <c r="U20" s="715"/>
      <c r="V20" s="714"/>
      <c r="W20" s="715"/>
      <c r="X20" s="1490"/>
      <c r="Y20" s="3634"/>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641"/>
      <c r="Q21" s="1487" t="str">
        <f>B21</f>
        <v>基础设施水平</v>
      </c>
      <c r="R21" s="714" t="s">
        <v>17</v>
      </c>
      <c r="S21" s="715">
        <f>F21</f>
        <v>100</v>
      </c>
      <c r="T21" s="714" t="s">
        <v>17</v>
      </c>
      <c r="U21" s="715">
        <f>H21</f>
        <v>100</v>
      </c>
      <c r="V21" s="714" t="s">
        <v>17</v>
      </c>
      <c r="W21" s="715">
        <f>J21</f>
        <v>100</v>
      </c>
      <c r="X21" s="1490"/>
      <c r="Y21" s="363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641"/>
      <c r="Q22" s="1487"/>
      <c r="R22" s="714"/>
      <c r="S22" s="715"/>
      <c r="T22" s="714"/>
      <c r="U22" s="715"/>
      <c r="V22" s="714"/>
      <c r="W22" s="715"/>
      <c r="X22" s="1490"/>
      <c r="Y22" s="3634"/>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641"/>
      <c r="Q23" s="1487" t="str">
        <f>B23</f>
        <v>环境质量</v>
      </c>
      <c r="R23" s="714" t="s">
        <v>17</v>
      </c>
      <c r="S23" s="715">
        <f>F23</f>
        <v>100</v>
      </c>
      <c r="T23" s="714" t="s">
        <v>17</v>
      </c>
      <c r="U23" s="715">
        <f>H23</f>
        <v>100</v>
      </c>
      <c r="V23" s="714" t="s">
        <v>17</v>
      </c>
      <c r="W23" s="715">
        <f>J23</f>
        <v>100</v>
      </c>
      <c r="X23" s="1490"/>
      <c r="Y23" s="363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641"/>
      <c r="Q24" s="1487"/>
      <c r="R24" s="714"/>
      <c r="S24" s="715"/>
      <c r="T24" s="714"/>
      <c r="U24" s="715"/>
      <c r="V24" s="714"/>
      <c r="W24" s="715"/>
      <c r="X24" s="1490"/>
      <c r="Y24" s="363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641"/>
      <c r="Q25" s="1487" t="str">
        <f>B25</f>
        <v>毗邻道路的类型与等级</v>
      </c>
      <c r="R25" s="714" t="s">
        <v>17</v>
      </c>
      <c r="S25" s="715">
        <f>F25</f>
        <v>100</v>
      </c>
      <c r="T25" s="714" t="s">
        <v>17</v>
      </c>
      <c r="U25" s="715">
        <f>H25</f>
        <v>100</v>
      </c>
      <c r="V25" s="714" t="s">
        <v>17</v>
      </c>
      <c r="W25" s="715">
        <f>J25</f>
        <v>100</v>
      </c>
      <c r="X25" s="1490"/>
      <c r="Y25" s="363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641"/>
      <c r="Q26" s="1487"/>
      <c r="R26" s="714"/>
      <c r="S26" s="715"/>
      <c r="T26" s="714"/>
      <c r="U26" s="715"/>
      <c r="V26" s="714"/>
      <c r="W26" s="715"/>
      <c r="X26" s="1490"/>
      <c r="Y26" s="363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641"/>
      <c r="Q27" s="1487" t="str">
        <f t="shared" ref="Q27:Q47" si="11">B27</f>
        <v>楼层</v>
      </c>
      <c r="R27" s="714" t="s">
        <v>17</v>
      </c>
      <c r="S27" s="715">
        <f>F27</f>
        <v>100</v>
      </c>
      <c r="T27" s="714" t="s">
        <v>17</v>
      </c>
      <c r="U27" s="715">
        <f>H27</f>
        <v>100</v>
      </c>
      <c r="V27" s="714" t="s">
        <v>17</v>
      </c>
      <c r="W27" s="715">
        <f>J27</f>
        <v>100</v>
      </c>
      <c r="X27" s="1490"/>
      <c r="Y27" s="363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641"/>
      <c r="Q28" s="1478" t="str">
        <f t="shared" si="11"/>
        <v>朝向</v>
      </c>
      <c r="R28" s="710" t="s">
        <v>17</v>
      </c>
      <c r="S28" s="711">
        <f>F28</f>
        <v>100</v>
      </c>
      <c r="T28" s="710" t="s">
        <v>17</v>
      </c>
      <c r="U28" s="711">
        <f>H28</f>
        <v>100</v>
      </c>
      <c r="V28" s="710" t="s">
        <v>17</v>
      </c>
      <c r="W28" s="711">
        <f>J28</f>
        <v>100</v>
      </c>
      <c r="X28" s="712"/>
      <c r="Y28" s="363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641"/>
      <c r="Q29" s="1487">
        <f t="shared" si="11"/>
        <v>111</v>
      </c>
      <c r="R29" s="714" t="s">
        <v>17</v>
      </c>
      <c r="S29" s="715">
        <f t="shared" ref="S29:S47" si="12">F29</f>
        <v>100</v>
      </c>
      <c r="T29" s="714" t="s">
        <v>17</v>
      </c>
      <c r="U29" s="715">
        <f t="shared" ref="U29:U47" si="13">H29</f>
        <v>100</v>
      </c>
      <c r="V29" s="714" t="s">
        <v>17</v>
      </c>
      <c r="W29" s="715">
        <f t="shared" ref="W29:W47" si="14">J29</f>
        <v>100</v>
      </c>
      <c r="X29" s="1490"/>
      <c r="Y29" s="363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641"/>
      <c r="Q30" s="1487">
        <f t="shared" si="11"/>
        <v>111</v>
      </c>
      <c r="R30" s="714" t="s">
        <v>17</v>
      </c>
      <c r="S30" s="715">
        <f t="shared" si="12"/>
        <v>100</v>
      </c>
      <c r="T30" s="714" t="s">
        <v>17</v>
      </c>
      <c r="U30" s="715">
        <f t="shared" si="13"/>
        <v>100</v>
      </c>
      <c r="V30" s="714" t="s">
        <v>17</v>
      </c>
      <c r="W30" s="715">
        <f t="shared" si="14"/>
        <v>100</v>
      </c>
      <c r="X30" s="1490"/>
      <c r="Y30" s="363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641"/>
      <c r="Q31" s="1487">
        <f t="shared" si="11"/>
        <v>111</v>
      </c>
      <c r="R31" s="714" t="s">
        <v>17</v>
      </c>
      <c r="S31" s="715">
        <f t="shared" si="12"/>
        <v>100</v>
      </c>
      <c r="T31" s="714" t="s">
        <v>17</v>
      </c>
      <c r="U31" s="715">
        <f t="shared" si="13"/>
        <v>100</v>
      </c>
      <c r="V31" s="714" t="s">
        <v>17</v>
      </c>
      <c r="W31" s="715">
        <f t="shared" si="14"/>
        <v>100</v>
      </c>
      <c r="X31" s="1490"/>
      <c r="Y31" s="363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641"/>
      <c r="Q32" s="1487">
        <f t="shared" si="11"/>
        <v>111</v>
      </c>
      <c r="R32" s="714" t="s">
        <v>17</v>
      </c>
      <c r="S32" s="715">
        <f t="shared" si="12"/>
        <v>100</v>
      </c>
      <c r="T32" s="714" t="s">
        <v>17</v>
      </c>
      <c r="U32" s="715">
        <f t="shared" si="13"/>
        <v>100</v>
      </c>
      <c r="V32" s="714" t="s">
        <v>17</v>
      </c>
      <c r="W32" s="715">
        <f t="shared" si="14"/>
        <v>100</v>
      </c>
      <c r="X32" s="1490"/>
      <c r="Y32" s="363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635" t="s">
        <v>2145</v>
      </c>
      <c r="Q33" s="1487" t="str">
        <f t="shared" si="11"/>
        <v>建筑类型</v>
      </c>
      <c r="R33" s="714" t="s">
        <v>17</v>
      </c>
      <c r="S33" s="715">
        <f t="shared" si="12"/>
        <v>100</v>
      </c>
      <c r="T33" s="714" t="s">
        <v>17</v>
      </c>
      <c r="U33" s="715">
        <f t="shared" si="13"/>
        <v>100</v>
      </c>
      <c r="V33" s="714" t="s">
        <v>17</v>
      </c>
      <c r="W33" s="715">
        <f t="shared" si="14"/>
        <v>100</v>
      </c>
      <c r="X33" s="1490"/>
      <c r="Y33" s="363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636"/>
      <c r="Q34" s="716" t="str">
        <f t="shared" si="11"/>
        <v>项目建筑规模</v>
      </c>
      <c r="R34" s="717" t="s">
        <v>17</v>
      </c>
      <c r="S34" s="718" t="e">
        <f t="shared" si="12"/>
        <v>#N/A</v>
      </c>
      <c r="T34" s="717" t="s">
        <v>17</v>
      </c>
      <c r="U34" s="718" t="e">
        <f t="shared" si="13"/>
        <v>#N/A</v>
      </c>
      <c r="V34" s="717" t="s">
        <v>17</v>
      </c>
      <c r="W34" s="718" t="e">
        <f t="shared" si="14"/>
        <v>#N/A</v>
      </c>
      <c r="X34" s="719"/>
      <c r="Y34" s="363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636"/>
      <c r="Q35" s="1487" t="str">
        <f t="shared" si="11"/>
        <v>建筑结构</v>
      </c>
      <c r="R35" s="714" t="s">
        <v>17</v>
      </c>
      <c r="S35" s="715">
        <f t="shared" si="12"/>
        <v>100</v>
      </c>
      <c r="T35" s="714" t="s">
        <v>17</v>
      </c>
      <c r="U35" s="715">
        <f t="shared" si="13"/>
        <v>100</v>
      </c>
      <c r="V35" s="714" t="s">
        <v>17</v>
      </c>
      <c r="W35" s="715">
        <f t="shared" si="14"/>
        <v>100</v>
      </c>
      <c r="X35" s="1490"/>
      <c r="Y35" s="363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636"/>
      <c r="Q36" s="1487" t="str">
        <f t="shared" si="11"/>
        <v>公共部分装修</v>
      </c>
      <c r="R36" s="714" t="s">
        <v>17</v>
      </c>
      <c r="S36" s="715">
        <f t="shared" si="12"/>
        <v>100</v>
      </c>
      <c r="T36" s="714" t="s">
        <v>17</v>
      </c>
      <c r="U36" s="715">
        <f t="shared" si="13"/>
        <v>100</v>
      </c>
      <c r="V36" s="714" t="s">
        <v>17</v>
      </c>
      <c r="W36" s="715">
        <f t="shared" si="14"/>
        <v>100</v>
      </c>
      <c r="X36" s="1490"/>
      <c r="Y36" s="363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636"/>
      <c r="Q37" s="1487" t="str">
        <f t="shared" si="11"/>
        <v>成新度</v>
      </c>
      <c r="R37" s="714" t="s">
        <v>17</v>
      </c>
      <c r="S37" s="715" t="e">
        <f t="shared" si="12"/>
        <v>#N/A</v>
      </c>
      <c r="T37" s="714" t="s">
        <v>17</v>
      </c>
      <c r="U37" s="715" t="e">
        <f t="shared" si="13"/>
        <v>#N/A</v>
      </c>
      <c r="V37" s="714" t="s">
        <v>17</v>
      </c>
      <c r="W37" s="715" t="e">
        <f t="shared" si="14"/>
        <v>#N/A</v>
      </c>
      <c r="X37" s="1490"/>
      <c r="Y37" s="363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636"/>
      <c r="Q38" s="1478" t="str">
        <f t="shared" si="11"/>
        <v>写字楼等级</v>
      </c>
      <c r="R38" s="710" t="s">
        <v>17</v>
      </c>
      <c r="S38" s="711">
        <f t="shared" si="12"/>
        <v>100</v>
      </c>
      <c r="T38" s="710" t="s">
        <v>17</v>
      </c>
      <c r="U38" s="711">
        <f t="shared" si="13"/>
        <v>100</v>
      </c>
      <c r="V38" s="710" t="s">
        <v>17</v>
      </c>
      <c r="W38" s="711">
        <f t="shared" si="14"/>
        <v>100</v>
      </c>
      <c r="X38" s="712"/>
      <c r="Y38" s="363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636" t="s">
        <v>2145</v>
      </c>
      <c r="Q39" s="1487" t="str">
        <f t="shared" si="11"/>
        <v>物业管理</v>
      </c>
      <c r="R39" s="714" t="s">
        <v>17</v>
      </c>
      <c r="S39" s="715">
        <f t="shared" si="12"/>
        <v>100</v>
      </c>
      <c r="T39" s="714" t="s">
        <v>17</v>
      </c>
      <c r="U39" s="715">
        <f t="shared" si="13"/>
        <v>100</v>
      </c>
      <c r="V39" s="714" t="s">
        <v>17</v>
      </c>
      <c r="W39" s="715">
        <f t="shared" si="14"/>
        <v>100</v>
      </c>
      <c r="X39" s="1490"/>
      <c r="Y39" s="363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636"/>
      <c r="Q40" s="1487" t="str">
        <f t="shared" si="11"/>
        <v>市政基础设施</v>
      </c>
      <c r="R40" s="714" t="s">
        <v>17</v>
      </c>
      <c r="S40" s="715">
        <f t="shared" si="12"/>
        <v>100</v>
      </c>
      <c r="T40" s="714" t="s">
        <v>17</v>
      </c>
      <c r="U40" s="715">
        <f t="shared" si="13"/>
        <v>100</v>
      </c>
      <c r="V40" s="714" t="s">
        <v>17</v>
      </c>
      <c r="W40" s="715">
        <f t="shared" si="14"/>
        <v>100</v>
      </c>
      <c r="X40" s="1490"/>
      <c r="Y40" s="363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636"/>
      <c r="Q41" s="1487" t="str">
        <f t="shared" si="11"/>
        <v>层高</v>
      </c>
      <c r="R41" s="714" t="s">
        <v>17</v>
      </c>
      <c r="S41" s="715">
        <f t="shared" si="12"/>
        <v>100</v>
      </c>
      <c r="T41" s="714" t="s">
        <v>17</v>
      </c>
      <c r="U41" s="715">
        <f t="shared" si="13"/>
        <v>100</v>
      </c>
      <c r="V41" s="714" t="s">
        <v>17</v>
      </c>
      <c r="W41" s="715">
        <f t="shared" si="14"/>
        <v>100</v>
      </c>
      <c r="X41" s="1490"/>
      <c r="Y41" s="363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636"/>
      <c r="Q42" s="716" t="str">
        <f t="shared" si="11"/>
        <v>单套建筑面积</v>
      </c>
      <c r="R42" s="717" t="s">
        <v>17</v>
      </c>
      <c r="S42" s="718">
        <f t="shared" si="12"/>
        <v>100</v>
      </c>
      <c r="T42" s="717" t="s">
        <v>17</v>
      </c>
      <c r="U42" s="718">
        <f t="shared" si="13"/>
        <v>100</v>
      </c>
      <c r="V42" s="717" t="s">
        <v>17</v>
      </c>
      <c r="W42" s="718">
        <f t="shared" si="14"/>
        <v>100</v>
      </c>
      <c r="X42" s="719"/>
      <c r="Y42" s="363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636"/>
      <c r="Q43" s="1487" t="str">
        <f t="shared" si="11"/>
        <v>内部装修</v>
      </c>
      <c r="R43" s="714" t="s">
        <v>17</v>
      </c>
      <c r="S43" s="715">
        <f t="shared" si="12"/>
        <v>100</v>
      </c>
      <c r="T43" s="714" t="s">
        <v>17</v>
      </c>
      <c r="U43" s="715">
        <f t="shared" si="13"/>
        <v>100</v>
      </c>
      <c r="V43" s="714" t="s">
        <v>17</v>
      </c>
      <c r="W43" s="715">
        <f t="shared" si="14"/>
        <v>100</v>
      </c>
      <c r="X43" s="1490"/>
      <c r="Y43" s="363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636"/>
      <c r="Q44" s="1487" t="str">
        <f t="shared" si="11"/>
        <v>内部装修维护情况</v>
      </c>
      <c r="R44" s="714" t="s">
        <v>17</v>
      </c>
      <c r="S44" s="715">
        <f t="shared" si="12"/>
        <v>100</v>
      </c>
      <c r="T44" s="714" t="s">
        <v>17</v>
      </c>
      <c r="U44" s="715">
        <f t="shared" si="13"/>
        <v>100</v>
      </c>
      <c r="V44" s="714" t="s">
        <v>17</v>
      </c>
      <c r="W44" s="715">
        <f t="shared" si="14"/>
        <v>100</v>
      </c>
      <c r="X44" s="1490"/>
      <c r="Y44" s="363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636"/>
      <c r="Q45" s="1478">
        <f t="shared" si="11"/>
        <v>111</v>
      </c>
      <c r="R45" s="710" t="s">
        <v>17</v>
      </c>
      <c r="S45" s="711">
        <f t="shared" si="12"/>
        <v>100</v>
      </c>
      <c r="T45" s="710" t="s">
        <v>17</v>
      </c>
      <c r="U45" s="711">
        <f t="shared" si="13"/>
        <v>100</v>
      </c>
      <c r="V45" s="710" t="s">
        <v>17</v>
      </c>
      <c r="W45" s="711">
        <f t="shared" si="14"/>
        <v>100</v>
      </c>
      <c r="X45" s="712"/>
      <c r="Y45" s="363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636"/>
      <c r="Q46" s="1487">
        <f t="shared" si="11"/>
        <v>111</v>
      </c>
      <c r="R46" s="714" t="s">
        <v>17</v>
      </c>
      <c r="S46" s="715">
        <f t="shared" si="12"/>
        <v>100</v>
      </c>
      <c r="T46" s="714" t="s">
        <v>17</v>
      </c>
      <c r="U46" s="715">
        <f t="shared" si="13"/>
        <v>100</v>
      </c>
      <c r="V46" s="714" t="s">
        <v>17</v>
      </c>
      <c r="W46" s="715">
        <f t="shared" si="14"/>
        <v>100</v>
      </c>
      <c r="X46" s="1490"/>
      <c r="Y46" s="363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637"/>
      <c r="Q47" s="1487">
        <f t="shared" si="11"/>
        <v>111</v>
      </c>
      <c r="R47" s="714" t="s">
        <v>17</v>
      </c>
      <c r="S47" s="715">
        <f t="shared" si="12"/>
        <v>100</v>
      </c>
      <c r="T47" s="714" t="s">
        <v>17</v>
      </c>
      <c r="U47" s="715">
        <f t="shared" si="13"/>
        <v>100</v>
      </c>
      <c r="V47" s="714" t="s">
        <v>17</v>
      </c>
      <c r="W47" s="715">
        <f t="shared" si="14"/>
        <v>100</v>
      </c>
      <c r="X47" s="1490"/>
      <c r="Y47" s="363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613" t="str">
        <f>A48</f>
        <v>成交单价（元/平方米）</v>
      </c>
      <c r="Q48" s="3631"/>
      <c r="R48" s="3632">
        <f>E48</f>
        <v>0</v>
      </c>
      <c r="S48" s="3632"/>
      <c r="T48" s="3632">
        <f>G48</f>
        <v>0</v>
      </c>
      <c r="U48" s="3632"/>
      <c r="V48" s="3632">
        <f>I48</f>
        <v>0</v>
      </c>
      <c r="W48" s="3632"/>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613" t="str">
        <f>A49</f>
        <v>比较价值（元/平方米）</v>
      </c>
      <c r="Q49" s="3631"/>
      <c r="R49" s="3632" t="e">
        <f>IF(F1="售价",ROUND(PRODUCT(R48,AA7:AA47),0),ROUND(PRODUCT(R48,AA7:AA47),1))</f>
        <v>#DIV/0!</v>
      </c>
      <c r="S49" s="3632"/>
      <c r="T49" s="3632" t="e">
        <f>IF(F1="售价",ROUND(PRODUCT(T48,AB7:AB47),0),ROUND(PRODUCT(T48,AB7:AB47),1))</f>
        <v>#DIV/0!</v>
      </c>
      <c r="U49" s="3632"/>
      <c r="V49" s="3632" t="e">
        <f>IF(F1="售价",ROUND(PRODUCT(V48,AC7:AC47),0),ROUND(PRODUCT(V48,AC7:AC47),1))</f>
        <v>#DIV/0!</v>
      </c>
      <c r="W49" s="363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654" t="str">
        <f>A50</f>
        <v>估价对象XX用房的比较价值（楼面单价，元/平方米）</v>
      </c>
      <c r="Q50" s="3655"/>
      <c r="R50" s="3656" t="e">
        <f>IF(F1="售价",ROUND(IF(D49="简单平均",AVERAGE(R49:V49),R49*F49+T49*H49+V49*J49),0),ROUND(IF(D49="简单平均",AVERAGE(R49:V49),R49*F49+T49*H49+V49*J49),1))</f>
        <v>#DIV/0!</v>
      </c>
      <c r="S50" s="3656"/>
      <c r="T50" s="3656"/>
      <c r="U50" s="3656"/>
      <c r="V50" s="3656"/>
      <c r="W50" s="3656"/>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估价对象为北京市房地产，为所有。根据《国有土地使用证》[]，估价对象（分摊）出让国有建设用地使用权面积为12272.21平方米，建筑面积为34459.17平方米。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估价对象为北京市房地产,属开发建设的，该项目尚在开发建设中。根据《国有土地使用证》[]，估价对象（分摊）出让国有建设用地使用权面积为12272.21平方米，规划建筑面积为34459.17平方米。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2022年8月10日（评估专业人员实地查勘之日）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34459.17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1025"/>
      <c r="M4" s="1026"/>
      <c r="N4" s="1026"/>
      <c r="O4" s="1026"/>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29" ht="15">
      <c r="A5" s="364"/>
      <c r="B5" s="365"/>
      <c r="C5" s="3607" t="s">
        <v>2122</v>
      </c>
      <c r="D5" s="3608"/>
      <c r="E5" s="3605" t="s">
        <v>2123</v>
      </c>
      <c r="F5" s="3606"/>
      <c r="G5" s="3607" t="s">
        <v>2124</v>
      </c>
      <c r="H5" s="3608"/>
      <c r="I5" s="3607" t="s">
        <v>2125</v>
      </c>
      <c r="J5" s="3608"/>
      <c r="K5" s="567"/>
      <c r="L5" s="1025"/>
      <c r="M5" s="1026"/>
      <c r="N5" s="1026"/>
      <c r="O5" s="1026"/>
      <c r="P5" s="3620"/>
      <c r="Q5" s="3621"/>
      <c r="R5" s="3603"/>
      <c r="S5" s="3604"/>
      <c r="T5" s="3603"/>
      <c r="U5" s="3604"/>
      <c r="V5" s="3626"/>
      <c r="W5" s="3626"/>
      <c r="X5" s="1490"/>
      <c r="Y5" s="3603"/>
      <c r="Z5" s="3604"/>
      <c r="AA5" s="3597"/>
      <c r="AB5" s="3597"/>
      <c r="AC5" s="3597"/>
    </row>
    <row r="6" spans="1:29" ht="15.75" thickBot="1">
      <c r="A6" s="366"/>
      <c r="B6" s="367"/>
      <c r="C6" s="3609" t="s">
        <v>2126</v>
      </c>
      <c r="D6" s="3610"/>
      <c r="E6" s="3611" t="s">
        <v>2126</v>
      </c>
      <c r="F6" s="3612"/>
      <c r="G6" s="3609" t="s">
        <v>2126</v>
      </c>
      <c r="H6" s="3610"/>
      <c r="I6" s="3609" t="s">
        <v>2126</v>
      </c>
      <c r="J6" s="3610"/>
      <c r="K6" s="567" t="s">
        <v>2127</v>
      </c>
      <c r="L6" s="1025"/>
      <c r="M6" s="1026"/>
      <c r="N6" s="1026"/>
      <c r="O6" s="1026"/>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99"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99" t="s">
        <v>2132</v>
      </c>
      <c r="Q8" s="3600"/>
      <c r="R8" s="710" t="s">
        <v>17</v>
      </c>
      <c r="S8" s="711">
        <f t="shared" si="0"/>
        <v>0</v>
      </c>
      <c r="T8" s="710" t="s">
        <v>17</v>
      </c>
      <c r="U8" s="711">
        <f t="shared" si="1"/>
        <v>0</v>
      </c>
      <c r="V8" s="710" t="s">
        <v>17</v>
      </c>
      <c r="W8" s="711">
        <f t="shared" si="2"/>
        <v>0</v>
      </c>
      <c r="X8" s="712"/>
      <c r="Y8" s="3599" t="s">
        <v>2132</v>
      </c>
      <c r="Z8" s="3600"/>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631"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631"/>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631"/>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631"/>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631"/>
      <c r="Q14" s="1478">
        <f t="shared" si="6"/>
        <v>111</v>
      </c>
      <c r="R14" s="710" t="s">
        <v>17</v>
      </c>
      <c r="S14" s="711">
        <f t="shared" si="0"/>
        <v>100</v>
      </c>
      <c r="T14" s="710" t="s">
        <v>17</v>
      </c>
      <c r="U14" s="711">
        <f t="shared" si="1"/>
        <v>100</v>
      </c>
      <c r="V14" s="710" t="s">
        <v>17</v>
      </c>
      <c r="W14" s="711">
        <f t="shared" si="2"/>
        <v>100</v>
      </c>
      <c r="X14" s="712"/>
      <c r="Y14" s="3543"/>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633" t="s">
        <v>2140</v>
      </c>
      <c r="Q15" s="1487" t="str">
        <f t="shared" si="6"/>
        <v>产业集聚程度</v>
      </c>
      <c r="R15" s="714" t="s">
        <v>17</v>
      </c>
      <c r="S15" s="715">
        <f t="shared" si="0"/>
        <v>100</v>
      </c>
      <c r="T15" s="714" t="s">
        <v>17</v>
      </c>
      <c r="U15" s="715">
        <f t="shared" si="1"/>
        <v>100</v>
      </c>
      <c r="V15" s="714" t="s">
        <v>17</v>
      </c>
      <c r="W15" s="715">
        <f t="shared" si="2"/>
        <v>100</v>
      </c>
      <c r="X15" s="1490"/>
      <c r="Y15" s="363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634"/>
      <c r="Q16" s="1487"/>
      <c r="R16" s="714"/>
      <c r="S16" s="715"/>
      <c r="T16" s="714"/>
      <c r="U16" s="715"/>
      <c r="V16" s="714"/>
      <c r="W16" s="715"/>
      <c r="X16" s="1490"/>
      <c r="Y16" s="363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634"/>
      <c r="Q17" s="1487" t="str">
        <f>B17</f>
        <v>交通便捷度</v>
      </c>
      <c r="R17" s="714" t="s">
        <v>17</v>
      </c>
      <c r="S17" s="715">
        <f>F17</f>
        <v>100</v>
      </c>
      <c r="T17" s="714" t="s">
        <v>17</v>
      </c>
      <c r="U17" s="715">
        <f>H17</f>
        <v>100</v>
      </c>
      <c r="V17" s="714" t="s">
        <v>17</v>
      </c>
      <c r="W17" s="715">
        <f>J17</f>
        <v>100</v>
      </c>
      <c r="X17" s="1490"/>
      <c r="Y17" s="363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634"/>
      <c r="Q18" s="1487"/>
      <c r="R18" s="714"/>
      <c r="S18" s="715"/>
      <c r="T18" s="714"/>
      <c r="U18" s="715"/>
      <c r="V18" s="714"/>
      <c r="W18" s="715"/>
      <c r="X18" s="1490"/>
      <c r="Y18" s="363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634"/>
      <c r="Q19" s="1487" t="str">
        <f>B19</f>
        <v>公共配套设施</v>
      </c>
      <c r="R19" s="714" t="s">
        <v>17</v>
      </c>
      <c r="S19" s="715">
        <f>F19</f>
        <v>100</v>
      </c>
      <c r="T19" s="714" t="s">
        <v>17</v>
      </c>
      <c r="U19" s="715">
        <f>H19</f>
        <v>100</v>
      </c>
      <c r="V19" s="714" t="s">
        <v>17</v>
      </c>
      <c r="W19" s="715">
        <f>J19</f>
        <v>100</v>
      </c>
      <c r="X19" s="1490"/>
      <c r="Y19" s="363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634"/>
      <c r="Q20" s="1487"/>
      <c r="R20" s="714"/>
      <c r="S20" s="715"/>
      <c r="T20" s="714"/>
      <c r="U20" s="715"/>
      <c r="V20" s="714"/>
      <c r="W20" s="715"/>
      <c r="X20" s="1490"/>
      <c r="Y20" s="363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634"/>
      <c r="Q21" s="1487" t="str">
        <f>B21</f>
        <v>基础设施水平</v>
      </c>
      <c r="R21" s="714" t="s">
        <v>17</v>
      </c>
      <c r="S21" s="715">
        <f>F21</f>
        <v>100</v>
      </c>
      <c r="T21" s="714" t="s">
        <v>17</v>
      </c>
      <c r="U21" s="715">
        <f>H21</f>
        <v>100</v>
      </c>
      <c r="V21" s="714" t="s">
        <v>17</v>
      </c>
      <c r="W21" s="715">
        <f>J21</f>
        <v>100</v>
      </c>
      <c r="X21" s="1490"/>
      <c r="Y21" s="363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634"/>
      <c r="Q22" s="1487"/>
      <c r="R22" s="714"/>
      <c r="S22" s="715"/>
      <c r="T22" s="714"/>
      <c r="U22" s="715"/>
      <c r="V22" s="714"/>
      <c r="W22" s="715"/>
      <c r="X22" s="1490"/>
      <c r="Y22" s="363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634"/>
      <c r="Q23" s="1487" t="str">
        <f>B23</f>
        <v>环境质量</v>
      </c>
      <c r="R23" s="714" t="s">
        <v>17</v>
      </c>
      <c r="S23" s="715">
        <f>F23</f>
        <v>100</v>
      </c>
      <c r="T23" s="714" t="s">
        <v>17</v>
      </c>
      <c r="U23" s="715">
        <f>H23</f>
        <v>100</v>
      </c>
      <c r="V23" s="714" t="s">
        <v>17</v>
      </c>
      <c r="W23" s="715">
        <f>J23</f>
        <v>100</v>
      </c>
      <c r="X23" s="1490"/>
      <c r="Y23" s="363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634"/>
      <c r="Q24" s="1487"/>
      <c r="R24" s="714"/>
      <c r="S24" s="715"/>
      <c r="T24" s="714"/>
      <c r="U24" s="715"/>
      <c r="V24" s="714"/>
      <c r="W24" s="715"/>
      <c r="X24" s="1490"/>
      <c r="Y24" s="363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634"/>
      <c r="Q25" s="1487">
        <f>B25</f>
        <v>111</v>
      </c>
      <c r="R25" s="714" t="s">
        <v>17</v>
      </c>
      <c r="S25" s="715">
        <f>F25</f>
        <v>100</v>
      </c>
      <c r="T25" s="714" t="s">
        <v>17</v>
      </c>
      <c r="U25" s="715">
        <f>H25</f>
        <v>100</v>
      </c>
      <c r="V25" s="714" t="s">
        <v>17</v>
      </c>
      <c r="W25" s="715">
        <f>J25</f>
        <v>100</v>
      </c>
      <c r="X25" s="1490"/>
      <c r="Y25" s="363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634"/>
      <c r="Q26" s="1487">
        <f t="shared" ref="Q26:Q40" si="11">B26</f>
        <v>111</v>
      </c>
      <c r="R26" s="714" t="s">
        <v>17</v>
      </c>
      <c r="S26" s="715">
        <f>F26</f>
        <v>100</v>
      </c>
      <c r="T26" s="714" t="s">
        <v>17</v>
      </c>
      <c r="U26" s="715">
        <f>H26</f>
        <v>100</v>
      </c>
      <c r="V26" s="714" t="s">
        <v>17</v>
      </c>
      <c r="W26" s="715">
        <f>J26</f>
        <v>100</v>
      </c>
      <c r="X26" s="1490"/>
      <c r="Y26" s="363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634"/>
      <c r="Q27" s="1478">
        <f t="shared" si="11"/>
        <v>111</v>
      </c>
      <c r="R27" s="710" t="s">
        <v>17</v>
      </c>
      <c r="S27" s="711">
        <f>F27</f>
        <v>100</v>
      </c>
      <c r="T27" s="710" t="s">
        <v>17</v>
      </c>
      <c r="U27" s="711">
        <f>H27</f>
        <v>100</v>
      </c>
      <c r="V27" s="710" t="s">
        <v>17</v>
      </c>
      <c r="W27" s="711">
        <f>J27</f>
        <v>100</v>
      </c>
      <c r="X27" s="712"/>
      <c r="Y27" s="363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634"/>
      <c r="Q28" s="1487">
        <f t="shared" si="11"/>
        <v>111</v>
      </c>
      <c r="R28" s="714" t="s">
        <v>17</v>
      </c>
      <c r="S28" s="715">
        <f t="shared" ref="S28:S40" si="12">F28</f>
        <v>100</v>
      </c>
      <c r="T28" s="714" t="s">
        <v>17</v>
      </c>
      <c r="U28" s="715">
        <f t="shared" ref="U28:U40" si="13">H28</f>
        <v>100</v>
      </c>
      <c r="V28" s="714" t="s">
        <v>17</v>
      </c>
      <c r="W28" s="715">
        <f t="shared" ref="W28:W40" si="14">J28</f>
        <v>100</v>
      </c>
      <c r="X28" s="1490"/>
      <c r="Y28" s="363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657" t="s">
        <v>2145</v>
      </c>
      <c r="Q29" s="1487" t="str">
        <f t="shared" si="11"/>
        <v>建筑类型</v>
      </c>
      <c r="R29" s="714" t="s">
        <v>17</v>
      </c>
      <c r="S29" s="715">
        <f t="shared" si="12"/>
        <v>100</v>
      </c>
      <c r="T29" s="714" t="s">
        <v>17</v>
      </c>
      <c r="U29" s="715">
        <f t="shared" si="13"/>
        <v>100</v>
      </c>
      <c r="V29" s="714" t="s">
        <v>17</v>
      </c>
      <c r="W29" s="715">
        <f t="shared" si="14"/>
        <v>100</v>
      </c>
      <c r="X29" s="1490"/>
      <c r="Y29" s="363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638"/>
      <c r="Q30" s="716" t="str">
        <f t="shared" si="11"/>
        <v>项目建筑规模</v>
      </c>
      <c r="R30" s="717" t="s">
        <v>17</v>
      </c>
      <c r="S30" s="718" t="e">
        <f t="shared" si="12"/>
        <v>#N/A</v>
      </c>
      <c r="T30" s="717" t="s">
        <v>17</v>
      </c>
      <c r="U30" s="718" t="e">
        <f t="shared" si="13"/>
        <v>#N/A</v>
      </c>
      <c r="V30" s="717" t="s">
        <v>17</v>
      </c>
      <c r="W30" s="718" t="e">
        <f t="shared" si="14"/>
        <v>#N/A</v>
      </c>
      <c r="X30" s="719"/>
      <c r="Y30" s="363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638"/>
      <c r="Q31" s="1487" t="str">
        <f t="shared" si="11"/>
        <v>建筑结构</v>
      </c>
      <c r="R31" s="714" t="s">
        <v>17</v>
      </c>
      <c r="S31" s="715">
        <f t="shared" si="12"/>
        <v>100</v>
      </c>
      <c r="T31" s="714" t="s">
        <v>17</v>
      </c>
      <c r="U31" s="715">
        <f t="shared" si="13"/>
        <v>100</v>
      </c>
      <c r="V31" s="714" t="s">
        <v>17</v>
      </c>
      <c r="W31" s="715">
        <f t="shared" si="14"/>
        <v>100</v>
      </c>
      <c r="X31" s="1490"/>
      <c r="Y31" s="363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638"/>
      <c r="Q32" s="1487" t="str">
        <f t="shared" si="11"/>
        <v>公共部分装修</v>
      </c>
      <c r="R32" s="714" t="s">
        <v>17</v>
      </c>
      <c r="S32" s="715">
        <f t="shared" si="12"/>
        <v>100</v>
      </c>
      <c r="T32" s="714" t="s">
        <v>17</v>
      </c>
      <c r="U32" s="715">
        <f t="shared" si="13"/>
        <v>100</v>
      </c>
      <c r="V32" s="714" t="s">
        <v>17</v>
      </c>
      <c r="W32" s="715">
        <f t="shared" si="14"/>
        <v>100</v>
      </c>
      <c r="X32" s="1490"/>
      <c r="Y32" s="363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638"/>
      <c r="Q33" s="1487" t="str">
        <f t="shared" si="11"/>
        <v>成新度</v>
      </c>
      <c r="R33" s="714" t="s">
        <v>17</v>
      </c>
      <c r="S33" s="715" t="e">
        <f t="shared" si="12"/>
        <v>#N/A</v>
      </c>
      <c r="T33" s="714" t="s">
        <v>17</v>
      </c>
      <c r="U33" s="715" t="e">
        <f t="shared" si="13"/>
        <v>#N/A</v>
      </c>
      <c r="V33" s="714" t="s">
        <v>17</v>
      </c>
      <c r="W33" s="715" t="e">
        <f t="shared" si="14"/>
        <v>#N/A</v>
      </c>
      <c r="X33" s="1490"/>
      <c r="Y33" s="363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638"/>
      <c r="Q34" s="1478" t="str">
        <f t="shared" si="11"/>
        <v>物业管理</v>
      </c>
      <c r="R34" s="710" t="s">
        <v>17</v>
      </c>
      <c r="S34" s="711">
        <f t="shared" si="12"/>
        <v>100</v>
      </c>
      <c r="T34" s="710" t="s">
        <v>17</v>
      </c>
      <c r="U34" s="711">
        <f t="shared" si="13"/>
        <v>100</v>
      </c>
      <c r="V34" s="710" t="s">
        <v>17</v>
      </c>
      <c r="W34" s="711">
        <f t="shared" si="14"/>
        <v>100</v>
      </c>
      <c r="X34" s="712"/>
      <c r="Y34" s="363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638" t="s">
        <v>2145</v>
      </c>
      <c r="Q35" s="1487" t="str">
        <f t="shared" si="11"/>
        <v>市政基础设施</v>
      </c>
      <c r="R35" s="714" t="s">
        <v>17</v>
      </c>
      <c r="S35" s="715">
        <f t="shared" si="12"/>
        <v>100</v>
      </c>
      <c r="T35" s="714" t="s">
        <v>17</v>
      </c>
      <c r="U35" s="715">
        <f t="shared" si="13"/>
        <v>100</v>
      </c>
      <c r="V35" s="714" t="s">
        <v>17</v>
      </c>
      <c r="W35" s="715">
        <f t="shared" si="14"/>
        <v>100</v>
      </c>
      <c r="X35" s="1490"/>
      <c r="Y35" s="363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638"/>
      <c r="Q36" s="1487" t="str">
        <f t="shared" si="11"/>
        <v>内部装修</v>
      </c>
      <c r="R36" s="714" t="s">
        <v>17</v>
      </c>
      <c r="S36" s="715">
        <f t="shared" si="12"/>
        <v>100</v>
      </c>
      <c r="T36" s="714" t="s">
        <v>17</v>
      </c>
      <c r="U36" s="715">
        <f t="shared" si="13"/>
        <v>100</v>
      </c>
      <c r="V36" s="714" t="s">
        <v>17</v>
      </c>
      <c r="W36" s="715">
        <f t="shared" si="14"/>
        <v>100</v>
      </c>
      <c r="X36" s="1490"/>
      <c r="Y36" s="363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638"/>
      <c r="Q37" s="1487" t="str">
        <f t="shared" si="11"/>
        <v>内部装修状况</v>
      </c>
      <c r="R37" s="714" t="s">
        <v>17</v>
      </c>
      <c r="S37" s="715">
        <f t="shared" si="12"/>
        <v>100</v>
      </c>
      <c r="T37" s="714" t="s">
        <v>17</v>
      </c>
      <c r="U37" s="715">
        <f t="shared" si="13"/>
        <v>100</v>
      </c>
      <c r="V37" s="714" t="s">
        <v>17</v>
      </c>
      <c r="W37" s="715">
        <f t="shared" si="14"/>
        <v>100</v>
      </c>
      <c r="X37" s="1490"/>
      <c r="Y37" s="363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638"/>
      <c r="Q38" s="716">
        <f t="shared" si="11"/>
        <v>111</v>
      </c>
      <c r="R38" s="717" t="s">
        <v>17</v>
      </c>
      <c r="S38" s="718">
        <f t="shared" si="12"/>
        <v>100</v>
      </c>
      <c r="T38" s="717" t="s">
        <v>17</v>
      </c>
      <c r="U38" s="718">
        <f t="shared" si="13"/>
        <v>100</v>
      </c>
      <c r="V38" s="717" t="s">
        <v>17</v>
      </c>
      <c r="W38" s="718">
        <f t="shared" si="14"/>
        <v>100</v>
      </c>
      <c r="X38" s="719"/>
      <c r="Y38" s="363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638"/>
      <c r="Q39" s="1487">
        <f t="shared" si="11"/>
        <v>111</v>
      </c>
      <c r="R39" s="714" t="s">
        <v>17</v>
      </c>
      <c r="S39" s="715">
        <f t="shared" si="12"/>
        <v>100</v>
      </c>
      <c r="T39" s="714" t="s">
        <v>17</v>
      </c>
      <c r="U39" s="715">
        <f t="shared" si="13"/>
        <v>100</v>
      </c>
      <c r="V39" s="714" t="s">
        <v>17</v>
      </c>
      <c r="W39" s="715">
        <f t="shared" si="14"/>
        <v>100</v>
      </c>
      <c r="X39" s="1490"/>
      <c r="Y39" s="363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639"/>
      <c r="Q40" s="1487">
        <f t="shared" si="11"/>
        <v>111</v>
      </c>
      <c r="R40" s="714" t="s">
        <v>17</v>
      </c>
      <c r="S40" s="715">
        <f t="shared" si="12"/>
        <v>100</v>
      </c>
      <c r="T40" s="714" t="s">
        <v>17</v>
      </c>
      <c r="U40" s="715">
        <f t="shared" si="13"/>
        <v>100</v>
      </c>
      <c r="V40" s="714" t="s">
        <v>17</v>
      </c>
      <c r="W40" s="715">
        <f t="shared" si="14"/>
        <v>100</v>
      </c>
      <c r="X40" s="1490"/>
      <c r="Y40" s="363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631" t="str">
        <f>A41</f>
        <v>成交单价（元/平方米）</v>
      </c>
      <c r="Q41" s="3631"/>
      <c r="R41" s="3632">
        <f>E41</f>
        <v>0</v>
      </c>
      <c r="S41" s="3632"/>
      <c r="T41" s="3632">
        <f>G41</f>
        <v>0</v>
      </c>
      <c r="U41" s="3632"/>
      <c r="V41" s="3632">
        <f>I41</f>
        <v>0</v>
      </c>
      <c r="W41" s="3632"/>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631" t="str">
        <f>A42</f>
        <v>比较价值（元/平方米）</v>
      </c>
      <c r="Q42" s="3631"/>
      <c r="R42" s="3632" t="e">
        <f>IF(F1="售价",ROUND(PRODUCT(R41,AA7:AA40),0),ROUND(PRODUCT(R41,AA7:AA40),1))</f>
        <v>#DIV/0!</v>
      </c>
      <c r="S42" s="3632"/>
      <c r="T42" s="3632" t="e">
        <f>IF(F1="售价",ROUND(PRODUCT(T41,AB7:AB40),0),ROUND(PRODUCT(T41,AB7:AB40),1))</f>
        <v>#DIV/0!</v>
      </c>
      <c r="U42" s="3632"/>
      <c r="V42" s="3632" t="e">
        <f>IF(F1="售价",ROUND(PRODUCT(V41,AC7:AC40),0),ROUND(PRODUCT(V41,AC7:AC40),1))</f>
        <v>#DIV/0!</v>
      </c>
      <c r="W42" s="363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29"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597"/>
      <c r="AC5" s="3597"/>
    </row>
    <row r="6" spans="1:29" ht="15.75" thickBot="1">
      <c r="A6" s="366"/>
      <c r="B6" s="367"/>
      <c r="C6" s="3609" t="s">
        <v>2126</v>
      </c>
      <c r="D6" s="3610"/>
      <c r="E6" s="3611" t="s">
        <v>2126</v>
      </c>
      <c r="F6" s="3612"/>
      <c r="G6" s="3609" t="s">
        <v>2126</v>
      </c>
      <c r="H6" s="3610"/>
      <c r="I6" s="3609" t="s">
        <v>2126</v>
      </c>
      <c r="J6" s="3610"/>
      <c r="K6" s="567" t="s">
        <v>2127</v>
      </c>
      <c r="L6" s="2894"/>
      <c r="M6" s="2895"/>
      <c r="N6" s="2895"/>
      <c r="O6" s="2895"/>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99" t="s">
        <v>2129</v>
      </c>
      <c r="Q7" s="3627"/>
      <c r="R7" s="710" t="s">
        <v>17</v>
      </c>
      <c r="S7" s="711">
        <f t="shared" ref="S7:S14" si="0">F7</f>
        <v>0</v>
      </c>
      <c r="T7" s="710" t="s">
        <v>17</v>
      </c>
      <c r="U7" s="711">
        <f t="shared" ref="U7:U14" si="1">H7</f>
        <v>0</v>
      </c>
      <c r="V7" s="710" t="s">
        <v>17</v>
      </c>
      <c r="W7" s="711">
        <f t="shared" ref="W7:W14" si="2">J7</f>
        <v>0</v>
      </c>
      <c r="X7" s="712"/>
      <c r="Y7" s="3599" t="s">
        <v>2129</v>
      </c>
      <c r="Z7" s="360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631" t="s">
        <v>2135</v>
      </c>
      <c r="Q9" s="1478" t="str">
        <f t="shared" ref="Q9:Q14" si="6">B9</f>
        <v>用途</v>
      </c>
      <c r="R9" s="710" t="s">
        <v>17</v>
      </c>
      <c r="S9" s="711">
        <f t="shared" si="0"/>
        <v>100</v>
      </c>
      <c r="T9" s="710" t="s">
        <v>17</v>
      </c>
      <c r="U9" s="711">
        <f t="shared" si="1"/>
        <v>100</v>
      </c>
      <c r="V9" s="710" t="s">
        <v>17</v>
      </c>
      <c r="W9" s="711">
        <f t="shared" si="2"/>
        <v>100</v>
      </c>
      <c r="X9" s="712"/>
      <c r="Y9" s="354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631"/>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631"/>
      <c r="Q11" s="1478">
        <f t="shared" si="6"/>
        <v>111</v>
      </c>
      <c r="R11" s="710" t="s">
        <v>17</v>
      </c>
      <c r="S11" s="711">
        <f t="shared" si="0"/>
        <v>100</v>
      </c>
      <c r="T11" s="710" t="s">
        <v>17</v>
      </c>
      <c r="U11" s="711">
        <f t="shared" si="1"/>
        <v>100</v>
      </c>
      <c r="V11" s="710" t="s">
        <v>17</v>
      </c>
      <c r="W11" s="711">
        <f t="shared" si="2"/>
        <v>100</v>
      </c>
      <c r="X11" s="712"/>
      <c r="Y11" s="35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631"/>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633" t="s">
        <v>2140</v>
      </c>
      <c r="Q14" s="1487" t="str">
        <f t="shared" si="6"/>
        <v>交通便捷度</v>
      </c>
      <c r="R14" s="714" t="s">
        <v>17</v>
      </c>
      <c r="S14" s="715">
        <f t="shared" si="0"/>
        <v>100</v>
      </c>
      <c r="T14" s="714" t="s">
        <v>17</v>
      </c>
      <c r="U14" s="715">
        <f t="shared" si="1"/>
        <v>100</v>
      </c>
      <c r="V14" s="714" t="s">
        <v>17</v>
      </c>
      <c r="W14" s="715">
        <f t="shared" si="2"/>
        <v>100</v>
      </c>
      <c r="X14" s="1490"/>
      <c r="Y14" s="363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634"/>
      <c r="Q15" s="1487"/>
      <c r="R15" s="714"/>
      <c r="S15" s="715"/>
      <c r="T15" s="714"/>
      <c r="U15" s="715"/>
      <c r="V15" s="714"/>
      <c r="W15" s="715"/>
      <c r="X15" s="1490"/>
      <c r="Y15" s="3634"/>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634"/>
      <c r="Q16" s="1487" t="str">
        <f>B16</f>
        <v>公共配套设施</v>
      </c>
      <c r="R16" s="714" t="s">
        <v>17</v>
      </c>
      <c r="S16" s="715">
        <f>F16</f>
        <v>100</v>
      </c>
      <c r="T16" s="714" t="s">
        <v>17</v>
      </c>
      <c r="U16" s="715">
        <f>H16</f>
        <v>100</v>
      </c>
      <c r="V16" s="714" t="s">
        <v>17</v>
      </c>
      <c r="W16" s="715">
        <f>J16</f>
        <v>100</v>
      </c>
      <c r="X16" s="1490"/>
      <c r="Y16" s="363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634"/>
      <c r="Q17" s="1487"/>
      <c r="R17" s="714"/>
      <c r="S17" s="715"/>
      <c r="T17" s="714"/>
      <c r="U17" s="715"/>
      <c r="V17" s="714"/>
      <c r="W17" s="715"/>
      <c r="X17" s="1490"/>
      <c r="Y17" s="3634"/>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634"/>
      <c r="Q18" s="1487" t="str">
        <f>B18</f>
        <v>基础设施水平</v>
      </c>
      <c r="R18" s="714" t="s">
        <v>17</v>
      </c>
      <c r="S18" s="715">
        <f>F18</f>
        <v>100</v>
      </c>
      <c r="T18" s="714" t="s">
        <v>17</v>
      </c>
      <c r="U18" s="715">
        <f>H18</f>
        <v>100</v>
      </c>
      <c r="V18" s="714" t="s">
        <v>17</v>
      </c>
      <c r="W18" s="715">
        <f>J18</f>
        <v>100</v>
      </c>
      <c r="X18" s="1490"/>
      <c r="Y18" s="363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634"/>
      <c r="Q19" s="1487"/>
      <c r="R19" s="714"/>
      <c r="S19" s="715"/>
      <c r="T19" s="714"/>
      <c r="U19" s="715"/>
      <c r="V19" s="714"/>
      <c r="W19" s="715"/>
      <c r="X19" s="1490"/>
      <c r="Y19" s="3634"/>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634"/>
      <c r="Q20" s="1487" t="str">
        <f>B20</f>
        <v>自然及人文环境</v>
      </c>
      <c r="R20" s="714" t="s">
        <v>17</v>
      </c>
      <c r="S20" s="715">
        <f>F20</f>
        <v>100</v>
      </c>
      <c r="T20" s="714" t="s">
        <v>17</v>
      </c>
      <c r="U20" s="715">
        <f>H20</f>
        <v>100</v>
      </c>
      <c r="V20" s="714" t="s">
        <v>17</v>
      </c>
      <c r="W20" s="715">
        <f>J20</f>
        <v>100</v>
      </c>
      <c r="X20" s="1490"/>
      <c r="Y20" s="363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634"/>
      <c r="Q21" s="1487"/>
      <c r="R21" s="714"/>
      <c r="S21" s="715"/>
      <c r="T21" s="714"/>
      <c r="U21" s="715"/>
      <c r="V21" s="714"/>
      <c r="W21" s="715"/>
      <c r="X21" s="1490"/>
      <c r="Y21" s="363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634"/>
      <c r="Q22" s="1487" t="str">
        <f>B22</f>
        <v>楼层</v>
      </c>
      <c r="R22" s="714" t="s">
        <v>17</v>
      </c>
      <c r="S22" s="715">
        <f>F22</f>
        <v>100</v>
      </c>
      <c r="T22" s="714" t="s">
        <v>17</v>
      </c>
      <c r="U22" s="715">
        <f>H22</f>
        <v>100</v>
      </c>
      <c r="V22" s="714" t="s">
        <v>17</v>
      </c>
      <c r="W22" s="715">
        <f>J22</f>
        <v>100</v>
      </c>
      <c r="X22" s="1490"/>
      <c r="Y22" s="363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634"/>
      <c r="Q23" s="1487">
        <f>B23</f>
        <v>111</v>
      </c>
      <c r="R23" s="714" t="s">
        <v>17</v>
      </c>
      <c r="S23" s="715">
        <f>F23</f>
        <v>100</v>
      </c>
      <c r="T23" s="714" t="s">
        <v>17</v>
      </c>
      <c r="U23" s="715">
        <f>H23</f>
        <v>100</v>
      </c>
      <c r="V23" s="714" t="s">
        <v>17</v>
      </c>
      <c r="W23" s="715">
        <f>J23</f>
        <v>100</v>
      </c>
      <c r="X23" s="1490"/>
      <c r="Y23" s="363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634"/>
      <c r="Q24" s="1487">
        <f t="shared" ref="Q24:Q36" si="11">B24</f>
        <v>111</v>
      </c>
      <c r="R24" s="714" t="s">
        <v>17</v>
      </c>
      <c r="S24" s="715">
        <f>F24</f>
        <v>100</v>
      </c>
      <c r="T24" s="714" t="s">
        <v>17</v>
      </c>
      <c r="U24" s="715">
        <f>H24</f>
        <v>100</v>
      </c>
      <c r="V24" s="714" t="s">
        <v>17</v>
      </c>
      <c r="W24" s="715">
        <f>J24</f>
        <v>100</v>
      </c>
      <c r="X24" s="1490"/>
      <c r="Y24" s="363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634"/>
      <c r="Q25" s="1478">
        <f t="shared" si="11"/>
        <v>111</v>
      </c>
      <c r="R25" s="710" t="s">
        <v>17</v>
      </c>
      <c r="S25" s="711">
        <f>F25</f>
        <v>100</v>
      </c>
      <c r="T25" s="710" t="s">
        <v>17</v>
      </c>
      <c r="U25" s="711">
        <f>H25</f>
        <v>100</v>
      </c>
      <c r="V25" s="710" t="s">
        <v>17</v>
      </c>
      <c r="W25" s="711">
        <f>J25</f>
        <v>100</v>
      </c>
      <c r="X25" s="712"/>
      <c r="Y25" s="363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65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63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638"/>
      <c r="Q27" s="716" t="str">
        <f t="shared" si="11"/>
        <v>项目停车位配比</v>
      </c>
      <c r="R27" s="717" t="s">
        <v>17</v>
      </c>
      <c r="S27" s="718">
        <f t="shared" si="12"/>
        <v>100</v>
      </c>
      <c r="T27" s="717" t="s">
        <v>17</v>
      </c>
      <c r="U27" s="718">
        <f t="shared" si="13"/>
        <v>100</v>
      </c>
      <c r="V27" s="717" t="s">
        <v>17</v>
      </c>
      <c r="W27" s="718">
        <f t="shared" si="14"/>
        <v>100</v>
      </c>
      <c r="X27" s="719"/>
      <c r="Y27" s="363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638"/>
      <c r="Q28" s="1487" t="str">
        <f t="shared" si="11"/>
        <v>公共部分装修</v>
      </c>
      <c r="R28" s="714" t="s">
        <v>17</v>
      </c>
      <c r="S28" s="715">
        <f t="shared" si="12"/>
        <v>100</v>
      </c>
      <c r="T28" s="714" t="s">
        <v>17</v>
      </c>
      <c r="U28" s="715">
        <f t="shared" si="13"/>
        <v>100</v>
      </c>
      <c r="V28" s="714" t="s">
        <v>17</v>
      </c>
      <c r="W28" s="715">
        <f t="shared" si="14"/>
        <v>100</v>
      </c>
      <c r="X28" s="1490"/>
      <c r="Y28" s="363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638"/>
      <c r="Q29" s="1487" t="str">
        <f t="shared" si="11"/>
        <v>成新率</v>
      </c>
      <c r="R29" s="714" t="s">
        <v>17</v>
      </c>
      <c r="S29" s="715" t="e">
        <f t="shared" si="12"/>
        <v>#N/A</v>
      </c>
      <c r="T29" s="714" t="s">
        <v>17</v>
      </c>
      <c r="U29" s="715" t="e">
        <f t="shared" si="13"/>
        <v>#N/A</v>
      </c>
      <c r="V29" s="714" t="s">
        <v>17</v>
      </c>
      <c r="W29" s="715" t="e">
        <f t="shared" si="14"/>
        <v>#N/A</v>
      </c>
      <c r="X29" s="1490"/>
      <c r="Y29" s="363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638"/>
      <c r="Q30" s="1487" t="str">
        <f t="shared" si="11"/>
        <v>物业等级</v>
      </c>
      <c r="R30" s="714" t="s">
        <v>17</v>
      </c>
      <c r="S30" s="715">
        <f t="shared" si="12"/>
        <v>100</v>
      </c>
      <c r="T30" s="714" t="s">
        <v>17</v>
      </c>
      <c r="U30" s="715">
        <f t="shared" si="13"/>
        <v>100</v>
      </c>
      <c r="V30" s="714" t="s">
        <v>17</v>
      </c>
      <c r="W30" s="715">
        <f t="shared" si="14"/>
        <v>100</v>
      </c>
      <c r="X30" s="1490"/>
      <c r="Y30" s="363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638"/>
      <c r="Q31" s="1478" t="str">
        <f t="shared" si="11"/>
        <v>停车位面积</v>
      </c>
      <c r="R31" s="710" t="s">
        <v>17</v>
      </c>
      <c r="S31" s="711" t="e">
        <f t="shared" si="12"/>
        <v>#N/A</v>
      </c>
      <c r="T31" s="710" t="s">
        <v>17</v>
      </c>
      <c r="U31" s="711" t="e">
        <f t="shared" si="13"/>
        <v>#N/A</v>
      </c>
      <c r="V31" s="710" t="s">
        <v>17</v>
      </c>
      <c r="W31" s="711" t="e">
        <f t="shared" si="14"/>
        <v>#N/A</v>
      </c>
      <c r="X31" s="712"/>
      <c r="Y31" s="363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638" t="s">
        <v>2145</v>
      </c>
      <c r="Q32" s="1487" t="str">
        <f t="shared" si="11"/>
        <v>车位类型</v>
      </c>
      <c r="R32" s="714" t="s">
        <v>17</v>
      </c>
      <c r="S32" s="715">
        <f t="shared" si="12"/>
        <v>100</v>
      </c>
      <c r="T32" s="714" t="s">
        <v>17</v>
      </c>
      <c r="U32" s="715">
        <f t="shared" si="13"/>
        <v>100</v>
      </c>
      <c r="V32" s="714" t="s">
        <v>17</v>
      </c>
      <c r="W32" s="715">
        <f t="shared" si="14"/>
        <v>100</v>
      </c>
      <c r="X32" s="1490"/>
      <c r="Y32" s="363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638"/>
      <c r="Q33" s="1487" t="str">
        <f t="shared" si="11"/>
        <v>是否直接入户</v>
      </c>
      <c r="R33" s="714" t="s">
        <v>17</v>
      </c>
      <c r="S33" s="715">
        <f t="shared" si="12"/>
        <v>100</v>
      </c>
      <c r="T33" s="714" t="s">
        <v>17</v>
      </c>
      <c r="U33" s="715">
        <f t="shared" si="13"/>
        <v>100</v>
      </c>
      <c r="V33" s="714" t="s">
        <v>17</v>
      </c>
      <c r="W33" s="715">
        <f t="shared" si="14"/>
        <v>100</v>
      </c>
      <c r="X33" s="1490"/>
      <c r="Y33" s="363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638"/>
      <c r="Q34" s="1487">
        <f t="shared" si="11"/>
        <v>111</v>
      </c>
      <c r="R34" s="714" t="s">
        <v>17</v>
      </c>
      <c r="S34" s="715">
        <f t="shared" si="12"/>
        <v>100</v>
      </c>
      <c r="T34" s="714" t="s">
        <v>17</v>
      </c>
      <c r="U34" s="715">
        <f t="shared" si="13"/>
        <v>100</v>
      </c>
      <c r="V34" s="714" t="s">
        <v>17</v>
      </c>
      <c r="W34" s="715">
        <f t="shared" si="14"/>
        <v>100</v>
      </c>
      <c r="X34" s="1490"/>
      <c r="Y34" s="363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638"/>
      <c r="Q35" s="716">
        <f t="shared" si="11"/>
        <v>111</v>
      </c>
      <c r="R35" s="717" t="s">
        <v>17</v>
      </c>
      <c r="S35" s="718">
        <f t="shared" si="12"/>
        <v>100</v>
      </c>
      <c r="T35" s="717" t="s">
        <v>17</v>
      </c>
      <c r="U35" s="718">
        <f t="shared" si="13"/>
        <v>100</v>
      </c>
      <c r="V35" s="717" t="s">
        <v>17</v>
      </c>
      <c r="W35" s="718">
        <f t="shared" si="14"/>
        <v>100</v>
      </c>
      <c r="X35" s="719"/>
      <c r="Y35" s="363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638"/>
      <c r="Q36" s="1487">
        <f t="shared" si="11"/>
        <v>111</v>
      </c>
      <c r="R36" s="714" t="s">
        <v>17</v>
      </c>
      <c r="S36" s="715">
        <f t="shared" si="12"/>
        <v>100</v>
      </c>
      <c r="T36" s="714" t="s">
        <v>17</v>
      </c>
      <c r="U36" s="715">
        <f t="shared" si="13"/>
        <v>100</v>
      </c>
      <c r="V36" s="714" t="s">
        <v>17</v>
      </c>
      <c r="W36" s="715">
        <f t="shared" si="14"/>
        <v>100</v>
      </c>
      <c r="X36" s="1490"/>
      <c r="Y36" s="363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631" t="str">
        <f>A37</f>
        <v>成交单价</v>
      </c>
      <c r="Q37" s="3631"/>
      <c r="R37" s="3632">
        <f>E37</f>
        <v>0</v>
      </c>
      <c r="S37" s="3632"/>
      <c r="T37" s="3632">
        <f>G37</f>
        <v>0</v>
      </c>
      <c r="U37" s="3632"/>
      <c r="V37" s="3632">
        <f>I37</f>
        <v>0</v>
      </c>
      <c r="W37" s="3632"/>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631" t="str">
        <f>A38</f>
        <v>比较价值（元/平方米）</v>
      </c>
      <c r="Q38" s="3631"/>
      <c r="R38" s="3632" t="e">
        <f>IF(F1="售价",ROUND(PRODUCT(R37,AA7:AA36),0),ROUND(PRODUCT(R37,AA7:AA36),1))</f>
        <v>#DIV/0!</v>
      </c>
      <c r="S38" s="3632"/>
      <c r="T38" s="3632" t="e">
        <f>IF(F1="售价",ROUND(PRODUCT(T37,AB7:AB36),0),ROUND(PRODUCT(T37,AB7:AB36),1))</f>
        <v>#DIV/0!</v>
      </c>
      <c r="U38" s="3632"/>
      <c r="V38" s="3632" t="e">
        <f>IF(F1="售价",ROUND(PRODUCT(V37,AC7:AC36),0),ROUND(PRODUCT(V37,AC7:AC36),1))</f>
        <v>#DIV/0!</v>
      </c>
      <c r="W38" s="363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628" t="str">
        <f>A39</f>
        <v>估价对象XX用房的比较价值（楼面单价，元/平方米）</v>
      </c>
      <c r="Q39" s="3629"/>
      <c r="R39" s="3658" t="e">
        <f>IF(F1="售价",ROUND(IF(D38="简单平均",AVERAGE(R38:W38),R38*F38+T38*H38+V38*J38),0),ROUND(IF(D38="简单平均",AVERAGE(R38:V38),R38*F38+T38*H38+V38*J38),1))</f>
        <v>#DIV/0!</v>
      </c>
      <c r="S39" s="3658"/>
      <c r="T39" s="3658"/>
      <c r="U39" s="3658"/>
      <c r="V39" s="3658"/>
      <c r="W39" s="3658"/>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29"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597"/>
      <c r="AC5" s="3597"/>
    </row>
    <row r="6" spans="1:29" ht="15.75" thickBot="1">
      <c r="A6" s="366"/>
      <c r="B6" s="367"/>
      <c r="C6" s="3609" t="s">
        <v>2126</v>
      </c>
      <c r="D6" s="3610"/>
      <c r="E6" s="3611" t="s">
        <v>2126</v>
      </c>
      <c r="F6" s="3612"/>
      <c r="G6" s="3609" t="s">
        <v>2126</v>
      </c>
      <c r="H6" s="3610"/>
      <c r="I6" s="3609" t="s">
        <v>2126</v>
      </c>
      <c r="J6" s="3610"/>
      <c r="K6" s="567" t="s">
        <v>2127</v>
      </c>
      <c r="L6" s="2894"/>
      <c r="M6" s="2895"/>
      <c r="N6" s="2895"/>
      <c r="O6" s="2895"/>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99" t="s">
        <v>2129</v>
      </c>
      <c r="Q7" s="3627"/>
      <c r="R7" s="710" t="s">
        <v>17</v>
      </c>
      <c r="S7" s="711">
        <f t="shared" ref="S7:S14" si="0">F7</f>
        <v>0</v>
      </c>
      <c r="T7" s="710" t="s">
        <v>17</v>
      </c>
      <c r="U7" s="711">
        <f t="shared" ref="U7:U14" si="1">H7</f>
        <v>0</v>
      </c>
      <c r="V7" s="710" t="s">
        <v>17</v>
      </c>
      <c r="W7" s="711">
        <f t="shared" ref="W7:W14" si="2">J7</f>
        <v>0</v>
      </c>
      <c r="X7" s="712"/>
      <c r="Y7" s="3599" t="s">
        <v>2129</v>
      </c>
      <c r="Z7" s="360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631" t="s">
        <v>2135</v>
      </c>
      <c r="Q9" s="1478" t="str">
        <f t="shared" ref="Q9:Q14" si="6">B9</f>
        <v>用途</v>
      </c>
      <c r="R9" s="710" t="s">
        <v>17</v>
      </c>
      <c r="S9" s="711">
        <f t="shared" si="0"/>
        <v>100</v>
      </c>
      <c r="T9" s="710" t="s">
        <v>17</v>
      </c>
      <c r="U9" s="711">
        <f t="shared" si="1"/>
        <v>100</v>
      </c>
      <c r="V9" s="710" t="s">
        <v>17</v>
      </c>
      <c r="W9" s="711">
        <f t="shared" si="2"/>
        <v>100</v>
      </c>
      <c r="X9" s="712"/>
      <c r="Y9" s="354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631"/>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631"/>
      <c r="Q11" s="1478">
        <f t="shared" si="6"/>
        <v>111</v>
      </c>
      <c r="R11" s="710" t="s">
        <v>17</v>
      </c>
      <c r="S11" s="711">
        <f t="shared" si="0"/>
        <v>100</v>
      </c>
      <c r="T11" s="710" t="s">
        <v>17</v>
      </c>
      <c r="U11" s="711">
        <f t="shared" si="1"/>
        <v>100</v>
      </c>
      <c r="V11" s="710" t="s">
        <v>17</v>
      </c>
      <c r="W11" s="711">
        <f t="shared" si="2"/>
        <v>100</v>
      </c>
      <c r="X11" s="712"/>
      <c r="Y11" s="354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631"/>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633" t="s">
        <v>2140</v>
      </c>
      <c r="Q14" s="1487" t="str">
        <f t="shared" si="6"/>
        <v>交通便捷度</v>
      </c>
      <c r="R14" s="714" t="s">
        <v>17</v>
      </c>
      <c r="S14" s="715">
        <f t="shared" si="0"/>
        <v>100</v>
      </c>
      <c r="T14" s="714" t="s">
        <v>17</v>
      </c>
      <c r="U14" s="715">
        <f t="shared" si="1"/>
        <v>100</v>
      </c>
      <c r="V14" s="714" t="s">
        <v>17</v>
      </c>
      <c r="W14" s="715">
        <f t="shared" si="2"/>
        <v>100</v>
      </c>
      <c r="X14" s="1490"/>
      <c r="Y14" s="363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634"/>
      <c r="Q15" s="1487"/>
      <c r="R15" s="714"/>
      <c r="S15" s="715"/>
      <c r="T15" s="714"/>
      <c r="U15" s="715"/>
      <c r="V15" s="714"/>
      <c r="W15" s="715"/>
      <c r="X15" s="1490"/>
      <c r="Y15" s="3634"/>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634"/>
      <c r="Q16" s="1487" t="str">
        <f>B16</f>
        <v>公共配套设施</v>
      </c>
      <c r="R16" s="714" t="s">
        <v>17</v>
      </c>
      <c r="S16" s="715">
        <f>F16</f>
        <v>100</v>
      </c>
      <c r="T16" s="714" t="s">
        <v>17</v>
      </c>
      <c r="U16" s="715">
        <f>H16</f>
        <v>100</v>
      </c>
      <c r="V16" s="714" t="s">
        <v>17</v>
      </c>
      <c r="W16" s="715">
        <f>J16</f>
        <v>100</v>
      </c>
      <c r="X16" s="1490"/>
      <c r="Y16" s="363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634"/>
      <c r="Q17" s="1487"/>
      <c r="R17" s="714"/>
      <c r="S17" s="715"/>
      <c r="T17" s="714"/>
      <c r="U17" s="715"/>
      <c r="V17" s="714"/>
      <c r="W17" s="715"/>
      <c r="X17" s="1490"/>
      <c r="Y17" s="3634"/>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634"/>
      <c r="Q18" s="1487" t="str">
        <f>B18</f>
        <v>基础设施水平</v>
      </c>
      <c r="R18" s="714" t="s">
        <v>17</v>
      </c>
      <c r="S18" s="715">
        <f>F18</f>
        <v>100</v>
      </c>
      <c r="T18" s="714" t="s">
        <v>17</v>
      </c>
      <c r="U18" s="715">
        <f>H18</f>
        <v>100</v>
      </c>
      <c r="V18" s="714" t="s">
        <v>17</v>
      </c>
      <c r="W18" s="715">
        <f>J18</f>
        <v>100</v>
      </c>
      <c r="X18" s="1490"/>
      <c r="Y18" s="363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634"/>
      <c r="Q19" s="1487"/>
      <c r="R19" s="714"/>
      <c r="S19" s="715"/>
      <c r="T19" s="714"/>
      <c r="U19" s="715"/>
      <c r="V19" s="714"/>
      <c r="W19" s="715"/>
      <c r="X19" s="1490"/>
      <c r="Y19" s="3634"/>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634"/>
      <c r="Q20" s="1487" t="str">
        <f>B20</f>
        <v>自然及人文环境</v>
      </c>
      <c r="R20" s="714" t="s">
        <v>17</v>
      </c>
      <c r="S20" s="715">
        <f>F20</f>
        <v>100</v>
      </c>
      <c r="T20" s="714" t="s">
        <v>17</v>
      </c>
      <c r="U20" s="715">
        <f>H20</f>
        <v>100</v>
      </c>
      <c r="V20" s="714" t="s">
        <v>17</v>
      </c>
      <c r="W20" s="715">
        <f>J20</f>
        <v>100</v>
      </c>
      <c r="X20" s="1490"/>
      <c r="Y20" s="363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634"/>
      <c r="Q21" s="1487"/>
      <c r="R21" s="714"/>
      <c r="S21" s="715"/>
      <c r="T21" s="714"/>
      <c r="U21" s="715"/>
      <c r="V21" s="714"/>
      <c r="W21" s="715"/>
      <c r="X21" s="1490"/>
      <c r="Y21" s="363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634"/>
      <c r="Q22" s="1487" t="str">
        <f>B22</f>
        <v>楼层</v>
      </c>
      <c r="R22" s="714" t="s">
        <v>17</v>
      </c>
      <c r="S22" s="715">
        <f>F22</f>
        <v>100</v>
      </c>
      <c r="T22" s="714" t="s">
        <v>17</v>
      </c>
      <c r="U22" s="715">
        <f>H22</f>
        <v>100</v>
      </c>
      <c r="V22" s="714" t="s">
        <v>17</v>
      </c>
      <c r="W22" s="715">
        <f>J22</f>
        <v>100</v>
      </c>
      <c r="X22" s="1490"/>
      <c r="Y22" s="363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634"/>
      <c r="Q23" s="1487">
        <f>B23</f>
        <v>111</v>
      </c>
      <c r="R23" s="714" t="s">
        <v>17</v>
      </c>
      <c r="S23" s="715">
        <f>F23</f>
        <v>100</v>
      </c>
      <c r="T23" s="714" t="s">
        <v>17</v>
      </c>
      <c r="U23" s="715">
        <f>H23</f>
        <v>100</v>
      </c>
      <c r="V23" s="714" t="s">
        <v>17</v>
      </c>
      <c r="W23" s="715">
        <f>J23</f>
        <v>100</v>
      </c>
      <c r="X23" s="1490"/>
      <c r="Y23" s="363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634"/>
      <c r="Q24" s="1487">
        <f t="shared" ref="Q24:Q34" si="11">B24</f>
        <v>111</v>
      </c>
      <c r="R24" s="714" t="s">
        <v>17</v>
      </c>
      <c r="S24" s="715">
        <f>F24</f>
        <v>100</v>
      </c>
      <c r="T24" s="714" t="s">
        <v>17</v>
      </c>
      <c r="U24" s="715">
        <f>H24</f>
        <v>100</v>
      </c>
      <c r="V24" s="714" t="s">
        <v>17</v>
      </c>
      <c r="W24" s="715">
        <f>J24</f>
        <v>100</v>
      </c>
      <c r="X24" s="1490"/>
      <c r="Y24" s="363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634"/>
      <c r="Q25" s="1478">
        <f t="shared" si="11"/>
        <v>111</v>
      </c>
      <c r="R25" s="710" t="s">
        <v>17</v>
      </c>
      <c r="S25" s="711">
        <f>F25</f>
        <v>100</v>
      </c>
      <c r="T25" s="710" t="s">
        <v>17</v>
      </c>
      <c r="U25" s="711">
        <f>H25</f>
        <v>100</v>
      </c>
      <c r="V25" s="710" t="s">
        <v>17</v>
      </c>
      <c r="W25" s="711">
        <f>J25</f>
        <v>100</v>
      </c>
      <c r="X25" s="712"/>
      <c r="Y25" s="363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65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63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638"/>
      <c r="Q27" s="716" t="str">
        <f t="shared" si="11"/>
        <v>成新率</v>
      </c>
      <c r="R27" s="717" t="s">
        <v>17</v>
      </c>
      <c r="S27" s="718" t="e">
        <f t="shared" si="12"/>
        <v>#N/A</v>
      </c>
      <c r="T27" s="717" t="s">
        <v>17</v>
      </c>
      <c r="U27" s="718" t="e">
        <f t="shared" si="13"/>
        <v>#N/A</v>
      </c>
      <c r="V27" s="717" t="s">
        <v>17</v>
      </c>
      <c r="W27" s="718" t="e">
        <f t="shared" si="14"/>
        <v>#N/A</v>
      </c>
      <c r="X27" s="719"/>
      <c r="Y27" s="363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638"/>
      <c r="Q28" s="1487" t="str">
        <f t="shared" si="11"/>
        <v>物业等级</v>
      </c>
      <c r="R28" s="714" t="s">
        <v>17</v>
      </c>
      <c r="S28" s="715">
        <f t="shared" si="12"/>
        <v>100</v>
      </c>
      <c r="T28" s="714" t="s">
        <v>17</v>
      </c>
      <c r="U28" s="715">
        <f t="shared" si="13"/>
        <v>100</v>
      </c>
      <c r="V28" s="714" t="s">
        <v>17</v>
      </c>
      <c r="W28" s="715">
        <f t="shared" si="14"/>
        <v>100</v>
      </c>
      <c r="X28" s="1490"/>
      <c r="Y28" s="363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638"/>
      <c r="Q29" s="1487" t="str">
        <f t="shared" si="11"/>
        <v>有无电梯</v>
      </c>
      <c r="R29" s="714" t="s">
        <v>17</v>
      </c>
      <c r="S29" s="715">
        <f t="shared" si="12"/>
        <v>100</v>
      </c>
      <c r="T29" s="714" t="s">
        <v>17</v>
      </c>
      <c r="U29" s="715">
        <f t="shared" si="13"/>
        <v>100</v>
      </c>
      <c r="V29" s="714" t="s">
        <v>17</v>
      </c>
      <c r="W29" s="715">
        <f t="shared" si="14"/>
        <v>100</v>
      </c>
      <c r="X29" s="1490"/>
      <c r="Y29" s="363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638"/>
      <c r="Q30" s="1487" t="str">
        <f t="shared" si="11"/>
        <v>建筑面积</v>
      </c>
      <c r="R30" s="714" t="s">
        <v>17</v>
      </c>
      <c r="S30" s="715" t="e">
        <f t="shared" si="12"/>
        <v>#N/A</v>
      </c>
      <c r="T30" s="714" t="s">
        <v>17</v>
      </c>
      <c r="U30" s="715" t="e">
        <f t="shared" si="13"/>
        <v>#N/A</v>
      </c>
      <c r="V30" s="714" t="s">
        <v>17</v>
      </c>
      <c r="W30" s="715" t="e">
        <f t="shared" si="14"/>
        <v>#N/A</v>
      </c>
      <c r="X30" s="1490"/>
      <c r="Y30" s="363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638"/>
      <c r="Q31" s="1478" t="str">
        <f t="shared" si="11"/>
        <v>是否封闭</v>
      </c>
      <c r="R31" s="710" t="s">
        <v>17</v>
      </c>
      <c r="S31" s="711">
        <f t="shared" si="12"/>
        <v>100</v>
      </c>
      <c r="T31" s="710" t="s">
        <v>17</v>
      </c>
      <c r="U31" s="711">
        <f t="shared" si="13"/>
        <v>100</v>
      </c>
      <c r="V31" s="710" t="s">
        <v>17</v>
      </c>
      <c r="W31" s="711">
        <f t="shared" si="14"/>
        <v>100</v>
      </c>
      <c r="X31" s="712"/>
      <c r="Y31" s="363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638" t="s">
        <v>2145</v>
      </c>
      <c r="Q32" s="1487">
        <f t="shared" si="11"/>
        <v>111</v>
      </c>
      <c r="R32" s="714" t="s">
        <v>17</v>
      </c>
      <c r="S32" s="715">
        <f t="shared" si="12"/>
        <v>100</v>
      </c>
      <c r="T32" s="714" t="s">
        <v>17</v>
      </c>
      <c r="U32" s="715">
        <f t="shared" si="13"/>
        <v>100</v>
      </c>
      <c r="V32" s="714" t="s">
        <v>17</v>
      </c>
      <c r="W32" s="715">
        <f t="shared" si="14"/>
        <v>100</v>
      </c>
      <c r="X32" s="1490"/>
      <c r="Y32" s="363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638"/>
      <c r="Q33" s="1487">
        <f t="shared" si="11"/>
        <v>111</v>
      </c>
      <c r="R33" s="714" t="s">
        <v>17</v>
      </c>
      <c r="S33" s="715">
        <f t="shared" si="12"/>
        <v>100</v>
      </c>
      <c r="T33" s="714" t="s">
        <v>17</v>
      </c>
      <c r="U33" s="715">
        <f t="shared" si="13"/>
        <v>100</v>
      </c>
      <c r="V33" s="714" t="s">
        <v>17</v>
      </c>
      <c r="W33" s="715">
        <f t="shared" si="14"/>
        <v>100</v>
      </c>
      <c r="X33" s="1490"/>
      <c r="Y33" s="363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638"/>
      <c r="Q34" s="1487">
        <f t="shared" si="11"/>
        <v>111</v>
      </c>
      <c r="R34" s="714" t="s">
        <v>17</v>
      </c>
      <c r="S34" s="715">
        <f t="shared" si="12"/>
        <v>100</v>
      </c>
      <c r="T34" s="714" t="s">
        <v>17</v>
      </c>
      <c r="U34" s="715">
        <f t="shared" si="13"/>
        <v>100</v>
      </c>
      <c r="V34" s="714" t="s">
        <v>17</v>
      </c>
      <c r="W34" s="715">
        <f t="shared" si="14"/>
        <v>100</v>
      </c>
      <c r="X34" s="1490"/>
      <c r="Y34" s="363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631" t="str">
        <f>A35</f>
        <v>成交单价（元/平方米）</v>
      </c>
      <c r="Q35" s="3631"/>
      <c r="R35" s="3632">
        <f>E35</f>
        <v>0</v>
      </c>
      <c r="S35" s="3632"/>
      <c r="T35" s="3632">
        <f>G35</f>
        <v>0</v>
      </c>
      <c r="U35" s="3632"/>
      <c r="V35" s="3632">
        <f>I35</f>
        <v>0</v>
      </c>
      <c r="W35" s="3632"/>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631" t="str">
        <f>A36</f>
        <v>比较价值（元/平方米）</v>
      </c>
      <c r="Q36" s="3631"/>
      <c r="R36" s="3632" t="e">
        <f>IF(F1="售价",ROUND(PRODUCT(R35,AA7:AA34),0),ROUND(PRODUCT(R35,AA7:AA34),1))</f>
        <v>#DIV/0!</v>
      </c>
      <c r="S36" s="3632"/>
      <c r="T36" s="3632" t="e">
        <f>IF(F1="售价",ROUND(PRODUCT(T35,AB7:AB34),0),ROUND(PRODUCT(T35,AB7:AB34),1))</f>
        <v>#DIV/0!</v>
      </c>
      <c r="U36" s="3632"/>
      <c r="V36" s="3632" t="e">
        <f>IF(F1="售价",ROUND(PRODUCT(V35,AC7:AC34),0),ROUND(PRODUCT(V35,AC7:AC34),1))</f>
        <v>#DIV/0!</v>
      </c>
      <c r="W36" s="363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628" t="str">
        <f>A37</f>
        <v>估价对象XX用房的比较价值（楼面单价，元/平方米）</v>
      </c>
      <c r="Q37" s="3629"/>
      <c r="R37" s="3658" t="e">
        <f>IF(F1="售价",ROUND(IF(D36="简单平均",AVERAGE(R36:W36),R36*F36+T36*H36+V36*J36),0),ROUND(IF(D36="简单平均",AVERAGE(R36:V36),R36*F36+T36*H36+V36*J36),1))</f>
        <v>#DIV/0!</v>
      </c>
      <c r="S37" s="3658"/>
      <c r="T37" s="3658"/>
      <c r="U37" s="3658"/>
      <c r="V37" s="3658"/>
      <c r="W37" s="3658"/>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30"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597"/>
      <c r="AC5" s="3597"/>
    </row>
    <row r="6" spans="1:30" ht="15.75" thickBot="1">
      <c r="A6" s="366"/>
      <c r="B6" s="367"/>
      <c r="C6" s="3609" t="s">
        <v>2126</v>
      </c>
      <c r="D6" s="3610"/>
      <c r="E6" s="3611" t="s">
        <v>2126</v>
      </c>
      <c r="F6" s="3612"/>
      <c r="G6" s="3609" t="s">
        <v>2126</v>
      </c>
      <c r="H6" s="3610"/>
      <c r="I6" s="3609" t="s">
        <v>2126</v>
      </c>
      <c r="J6" s="3610"/>
      <c r="K6" s="567" t="s">
        <v>2127</v>
      </c>
      <c r="L6" s="2894"/>
      <c r="M6" s="2895"/>
      <c r="N6" s="2895"/>
      <c r="O6" s="2895"/>
      <c r="P6" s="3622"/>
      <c r="Q6" s="3623"/>
      <c r="R6" s="3603"/>
      <c r="S6" s="3604"/>
      <c r="T6" s="3624"/>
      <c r="U6" s="3625"/>
      <c r="V6" s="3626"/>
      <c r="W6" s="3626"/>
      <c r="X6" s="1490"/>
      <c r="Y6" s="3624"/>
      <c r="Z6" s="3625"/>
      <c r="AA6" s="3598"/>
      <c r="AB6" s="3598"/>
      <c r="AC6" s="3598"/>
    </row>
    <row r="7" spans="1:30" s="113" customFormat="1" ht="15.75" thickBot="1">
      <c r="A7" s="368" t="s">
        <v>2128</v>
      </c>
      <c r="B7" s="369"/>
      <c r="C7" s="370">
        <f>'数据-取费表'!B2</f>
        <v>44783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99"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631"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130</v>
      </c>
      <c r="G10" s="422"/>
      <c r="H10" s="132">
        <f>ROUND(100/'数据-取费表'!G16,0)</f>
        <v>130</v>
      </c>
      <c r="I10" s="422"/>
      <c r="J10" s="132">
        <f>ROUND(100/'数据-取费表'!G16,0)</f>
        <v>130</v>
      </c>
      <c r="K10" s="628"/>
      <c r="L10" s="2898"/>
      <c r="M10" s="2899"/>
      <c r="N10" s="2899"/>
      <c r="O10" s="2952"/>
      <c r="P10" s="3631"/>
      <c r="Q10" s="1478" t="str">
        <f t="shared" si="6"/>
        <v>土地使用年限（年）</v>
      </c>
      <c r="R10" s="710" t="s">
        <v>17</v>
      </c>
      <c r="S10" s="711">
        <f t="shared" si="0"/>
        <v>130</v>
      </c>
      <c r="T10" s="710" t="s">
        <v>17</v>
      </c>
      <c r="U10" s="711">
        <f t="shared" si="1"/>
        <v>130</v>
      </c>
      <c r="V10" s="710" t="s">
        <v>17</v>
      </c>
      <c r="W10" s="711">
        <f t="shared" si="2"/>
        <v>130</v>
      </c>
      <c r="X10" s="712"/>
      <c r="Y10" s="3543"/>
      <c r="Z10" s="55" t="str">
        <f t="shared" si="7"/>
        <v>土地使用年限（年）</v>
      </c>
      <c r="AA10" s="713">
        <f t="shared" si="3"/>
        <v>0.76923076923076927</v>
      </c>
      <c r="AB10" s="713">
        <f t="shared" si="4"/>
        <v>0.76923076923076927</v>
      </c>
      <c r="AC10" s="713">
        <f t="shared" si="5"/>
        <v>0.76923076923076927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631"/>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631"/>
      <c r="Q12" s="1478" t="str">
        <f t="shared" si="6"/>
        <v>配建</v>
      </c>
      <c r="R12" s="710" t="s">
        <v>17</v>
      </c>
      <c r="S12" s="711">
        <f t="shared" si="0"/>
        <v>100</v>
      </c>
      <c r="T12" s="710" t="s">
        <v>17</v>
      </c>
      <c r="U12" s="711">
        <f t="shared" si="1"/>
        <v>100</v>
      </c>
      <c r="V12" s="710" t="s">
        <v>17</v>
      </c>
      <c r="W12" s="711">
        <f t="shared" si="2"/>
        <v>100</v>
      </c>
      <c r="X12" s="712"/>
      <c r="Y12" s="354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631"/>
      <c r="Q14" s="1478">
        <f t="shared" si="6"/>
        <v>111</v>
      </c>
      <c r="R14" s="710" t="s">
        <v>17</v>
      </c>
      <c r="S14" s="711">
        <f t="shared" si="0"/>
        <v>100</v>
      </c>
      <c r="T14" s="710" t="s">
        <v>17</v>
      </c>
      <c r="U14" s="711">
        <f t="shared" si="1"/>
        <v>100</v>
      </c>
      <c r="V14" s="710" t="s">
        <v>17</v>
      </c>
      <c r="W14" s="711">
        <f t="shared" si="2"/>
        <v>100</v>
      </c>
      <c r="X14" s="712"/>
      <c r="Y14" s="3543"/>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633" t="s">
        <v>2140</v>
      </c>
      <c r="Q15" s="1487" t="str">
        <f t="shared" si="6"/>
        <v>居住社区成熟度</v>
      </c>
      <c r="R15" s="714" t="s">
        <v>17</v>
      </c>
      <c r="S15" s="715">
        <f t="shared" si="0"/>
        <v>100</v>
      </c>
      <c r="T15" s="714" t="s">
        <v>17</v>
      </c>
      <c r="U15" s="715">
        <f t="shared" si="1"/>
        <v>100</v>
      </c>
      <c r="V15" s="714" t="s">
        <v>17</v>
      </c>
      <c r="W15" s="715">
        <f t="shared" si="2"/>
        <v>100</v>
      </c>
      <c r="X15" s="1490"/>
      <c r="Y15" s="363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634"/>
      <c r="Q16" s="1487"/>
      <c r="R16" s="714"/>
      <c r="S16" s="715"/>
      <c r="T16" s="714"/>
      <c r="U16" s="715"/>
      <c r="V16" s="714"/>
      <c r="W16" s="715"/>
      <c r="X16" s="1490"/>
      <c r="Y16" s="3634"/>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634"/>
      <c r="Q17" s="1487" t="str">
        <f>B17</f>
        <v>商业繁华度</v>
      </c>
      <c r="R17" s="714" t="s">
        <v>17</v>
      </c>
      <c r="S17" s="715">
        <f>F17</f>
        <v>100</v>
      </c>
      <c r="T17" s="714" t="s">
        <v>17</v>
      </c>
      <c r="U17" s="715">
        <f>H17</f>
        <v>100</v>
      </c>
      <c r="V17" s="714" t="s">
        <v>17</v>
      </c>
      <c r="W17" s="715">
        <f>J17</f>
        <v>100</v>
      </c>
      <c r="X17" s="1490"/>
      <c r="Y17" s="363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634"/>
      <c r="Q18" s="1487"/>
      <c r="R18" s="714"/>
      <c r="S18" s="715"/>
      <c r="T18" s="714"/>
      <c r="U18" s="715"/>
      <c r="V18" s="714"/>
      <c r="W18" s="715"/>
      <c r="X18" s="1490"/>
      <c r="Y18" s="3634"/>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634"/>
      <c r="Q19" s="1487" t="str">
        <f>B19</f>
        <v>办公集聚程度</v>
      </c>
      <c r="R19" s="714" t="s">
        <v>17</v>
      </c>
      <c r="S19" s="715">
        <f>F19</f>
        <v>100</v>
      </c>
      <c r="T19" s="714" t="s">
        <v>17</v>
      </c>
      <c r="U19" s="715">
        <f>H19</f>
        <v>100</v>
      </c>
      <c r="V19" s="714" t="s">
        <v>17</v>
      </c>
      <c r="W19" s="715">
        <f>J19</f>
        <v>100</v>
      </c>
      <c r="X19" s="1490"/>
      <c r="Y19" s="363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634"/>
      <c r="Q20" s="1487"/>
      <c r="R20" s="714"/>
      <c r="S20" s="715"/>
      <c r="T20" s="714"/>
      <c r="U20" s="715"/>
      <c r="V20" s="714"/>
      <c r="W20" s="715"/>
      <c r="X20" s="1490"/>
      <c r="Y20" s="3634"/>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634"/>
      <c r="Q21" s="1487" t="str">
        <f>B21</f>
        <v>交通便捷度</v>
      </c>
      <c r="R21" s="714" t="s">
        <v>17</v>
      </c>
      <c r="S21" s="715">
        <f>F21</f>
        <v>100</v>
      </c>
      <c r="T21" s="714" t="s">
        <v>17</v>
      </c>
      <c r="U21" s="715">
        <f>H21</f>
        <v>100</v>
      </c>
      <c r="V21" s="714" t="s">
        <v>17</v>
      </c>
      <c r="W21" s="715">
        <f>J21</f>
        <v>100</v>
      </c>
      <c r="X21" s="1490"/>
      <c r="Y21" s="363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634"/>
      <c r="Q22" s="1487"/>
      <c r="R22" s="714"/>
      <c r="S22" s="715"/>
      <c r="T22" s="714"/>
      <c r="U22" s="715"/>
      <c r="V22" s="714"/>
      <c r="W22" s="715"/>
      <c r="X22" s="1490"/>
      <c r="Y22" s="363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634"/>
      <c r="Q23" s="1487" t="str">
        <f t="shared" ref="Q23:Q37" si="8">B23</f>
        <v>区域土地利用方向</v>
      </c>
      <c r="R23" s="714" t="s">
        <v>17</v>
      </c>
      <c r="S23" s="715">
        <f>F23</f>
        <v>100</v>
      </c>
      <c r="T23" s="714" t="s">
        <v>17</v>
      </c>
      <c r="U23" s="715">
        <f>H23</f>
        <v>100</v>
      </c>
      <c r="V23" s="714" t="s">
        <v>17</v>
      </c>
      <c r="W23" s="715">
        <f>J23</f>
        <v>100</v>
      </c>
      <c r="X23" s="1490"/>
      <c r="Y23" s="363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634"/>
      <c r="Q24" s="1487"/>
      <c r="R24" s="714"/>
      <c r="S24" s="715"/>
      <c r="T24" s="714"/>
      <c r="U24" s="715"/>
      <c r="V24" s="714"/>
      <c r="W24" s="715"/>
      <c r="X24" s="1490"/>
      <c r="Y24" s="3634"/>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634"/>
      <c r="Q25" s="1487" t="str">
        <f t="shared" si="8"/>
        <v>自然及人文环境状况</v>
      </c>
      <c r="R25" s="714" t="s">
        <v>17</v>
      </c>
      <c r="S25" s="715">
        <f>F25</f>
        <v>100</v>
      </c>
      <c r="T25" s="714" t="s">
        <v>17</v>
      </c>
      <c r="U25" s="715">
        <f>H25</f>
        <v>100</v>
      </c>
      <c r="V25" s="714" t="s">
        <v>17</v>
      </c>
      <c r="W25" s="715">
        <f>J25</f>
        <v>100</v>
      </c>
      <c r="X25" s="1490"/>
      <c r="Y25" s="363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634"/>
      <c r="Q26" s="1487"/>
      <c r="R26" s="714"/>
      <c r="S26" s="715"/>
      <c r="T26" s="714"/>
      <c r="U26" s="715"/>
      <c r="V26" s="714"/>
      <c r="W26" s="715"/>
      <c r="X26" s="1490"/>
      <c r="Y26" s="3634"/>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634"/>
      <c r="Q27" s="1478" t="str">
        <f t="shared" si="8"/>
        <v>公共配套设施</v>
      </c>
      <c r="R27" s="710" t="s">
        <v>17</v>
      </c>
      <c r="S27" s="711">
        <f>F27</f>
        <v>100</v>
      </c>
      <c r="T27" s="710" t="s">
        <v>17</v>
      </c>
      <c r="U27" s="711">
        <f>H27</f>
        <v>100</v>
      </c>
      <c r="V27" s="710" t="s">
        <v>17</v>
      </c>
      <c r="W27" s="711">
        <f>J27</f>
        <v>100</v>
      </c>
      <c r="X27" s="712"/>
      <c r="Y27" s="363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634"/>
      <c r="Q28" s="1478"/>
      <c r="R28" s="710"/>
      <c r="S28" s="711"/>
      <c r="T28" s="710"/>
      <c r="U28" s="711"/>
      <c r="V28" s="710"/>
      <c r="W28" s="711"/>
      <c r="X28" s="712"/>
      <c r="Y28" s="3634"/>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634"/>
      <c r="Q29" s="1478" t="str">
        <f t="shared" ref="Q29" si="9">B29</f>
        <v>基础设施水平</v>
      </c>
      <c r="R29" s="710" t="s">
        <v>17</v>
      </c>
      <c r="S29" s="711">
        <f>F29</f>
        <v>100</v>
      </c>
      <c r="T29" s="710" t="s">
        <v>17</v>
      </c>
      <c r="U29" s="711">
        <f>H29</f>
        <v>100</v>
      </c>
      <c r="V29" s="710" t="s">
        <v>17</v>
      </c>
      <c r="W29" s="711">
        <f>J29</f>
        <v>100</v>
      </c>
      <c r="X29" s="712"/>
      <c r="Y29" s="363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634"/>
      <c r="Q30" s="1478"/>
      <c r="R30" s="710"/>
      <c r="S30" s="711"/>
      <c r="T30" s="710"/>
      <c r="U30" s="711"/>
      <c r="V30" s="710"/>
      <c r="W30" s="711"/>
      <c r="X30" s="712"/>
      <c r="Y30" s="363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63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63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634"/>
      <c r="Q32" s="1487" t="str">
        <f t="shared" si="8"/>
        <v>毗邻道路的类型与等级</v>
      </c>
      <c r="R32" s="714" t="s">
        <v>17</v>
      </c>
      <c r="S32" s="715">
        <f t="shared" si="10"/>
        <v>100</v>
      </c>
      <c r="T32" s="714" t="s">
        <v>17</v>
      </c>
      <c r="U32" s="715">
        <f t="shared" si="11"/>
        <v>100</v>
      </c>
      <c r="V32" s="714" t="s">
        <v>17</v>
      </c>
      <c r="W32" s="715">
        <f t="shared" si="12"/>
        <v>100</v>
      </c>
      <c r="X32" s="1490"/>
      <c r="Y32" s="363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634"/>
      <c r="Q33" s="1487"/>
      <c r="R33" s="714"/>
      <c r="S33" s="715"/>
      <c r="T33" s="714"/>
      <c r="U33" s="715"/>
      <c r="V33" s="714"/>
      <c r="W33" s="715"/>
      <c r="X33" s="1490"/>
      <c r="Y33" s="363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634"/>
      <c r="Q34" s="1487" t="str">
        <f t="shared" si="8"/>
        <v>土地级别</v>
      </c>
      <c r="R34" s="714" t="s">
        <v>17</v>
      </c>
      <c r="S34" s="715">
        <f t="shared" si="10"/>
        <v>100</v>
      </c>
      <c r="T34" s="714" t="s">
        <v>17</v>
      </c>
      <c r="U34" s="715">
        <f t="shared" si="11"/>
        <v>100</v>
      </c>
      <c r="V34" s="714" t="s">
        <v>17</v>
      </c>
      <c r="W34" s="715">
        <f t="shared" si="12"/>
        <v>100</v>
      </c>
      <c r="X34" s="1490"/>
      <c r="Y34" s="363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634"/>
      <c r="Q35" s="1487">
        <f t="shared" si="8"/>
        <v>111</v>
      </c>
      <c r="R35" s="714" t="s">
        <v>17</v>
      </c>
      <c r="S35" s="715">
        <f t="shared" si="10"/>
        <v>100</v>
      </c>
      <c r="T35" s="714" t="s">
        <v>17</v>
      </c>
      <c r="U35" s="715">
        <f t="shared" si="11"/>
        <v>100</v>
      </c>
      <c r="V35" s="714" t="s">
        <v>17</v>
      </c>
      <c r="W35" s="715">
        <f t="shared" si="12"/>
        <v>100</v>
      </c>
      <c r="X35" s="1490"/>
      <c r="Y35" s="363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657" t="s">
        <v>2145</v>
      </c>
      <c r="Q36" s="1487">
        <f t="shared" si="8"/>
        <v>111</v>
      </c>
      <c r="R36" s="714" t="s">
        <v>17</v>
      </c>
      <c r="S36" s="715">
        <f t="shared" si="10"/>
        <v>100</v>
      </c>
      <c r="T36" s="714" t="s">
        <v>17</v>
      </c>
      <c r="U36" s="715">
        <f t="shared" si="11"/>
        <v>100</v>
      </c>
      <c r="V36" s="714" t="s">
        <v>17</v>
      </c>
      <c r="W36" s="715">
        <f t="shared" si="12"/>
        <v>100</v>
      </c>
      <c r="X36" s="1490"/>
      <c r="Y36" s="363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638"/>
      <c r="Q37" s="1487">
        <f t="shared" si="8"/>
        <v>111</v>
      </c>
      <c r="R37" s="717" t="s">
        <v>17</v>
      </c>
      <c r="S37" s="718">
        <f t="shared" si="10"/>
        <v>100</v>
      </c>
      <c r="T37" s="717" t="s">
        <v>17</v>
      </c>
      <c r="U37" s="718">
        <f t="shared" si="11"/>
        <v>100</v>
      </c>
      <c r="V37" s="717" t="s">
        <v>17</v>
      </c>
      <c r="W37" s="718">
        <f t="shared" si="12"/>
        <v>100</v>
      </c>
      <c r="X37" s="719"/>
      <c r="Y37" s="363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638"/>
      <c r="Q38" s="1487" t="str">
        <f>B38</f>
        <v>宗地面积</v>
      </c>
      <c r="R38" s="714" t="s">
        <v>17</v>
      </c>
      <c r="S38" s="715" t="e">
        <f t="shared" si="10"/>
        <v>#N/A</v>
      </c>
      <c r="T38" s="714" t="s">
        <v>17</v>
      </c>
      <c r="U38" s="715" t="e">
        <f t="shared" si="11"/>
        <v>#N/A</v>
      </c>
      <c r="V38" s="714" t="s">
        <v>17</v>
      </c>
      <c r="W38" s="715" t="e">
        <f t="shared" si="12"/>
        <v>#N/A</v>
      </c>
      <c r="X38" s="1490"/>
      <c r="Y38" s="363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638"/>
      <c r="Q39" s="1487" t="str">
        <f t="shared" ref="Q39:Q45" si="14">B39</f>
        <v>宗地形状</v>
      </c>
      <c r="R39" s="714" t="s">
        <v>17</v>
      </c>
      <c r="S39" s="715">
        <f t="shared" si="10"/>
        <v>100</v>
      </c>
      <c r="T39" s="714" t="s">
        <v>17</v>
      </c>
      <c r="U39" s="715">
        <f t="shared" si="11"/>
        <v>100</v>
      </c>
      <c r="V39" s="714" t="s">
        <v>17</v>
      </c>
      <c r="W39" s="715">
        <f t="shared" si="12"/>
        <v>100</v>
      </c>
      <c r="X39" s="1490"/>
      <c r="Y39" s="363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638"/>
      <c r="Q40" s="1487" t="str">
        <f t="shared" si="14"/>
        <v>临街宽度及深度</v>
      </c>
      <c r="R40" s="714" t="s">
        <v>17</v>
      </c>
      <c r="S40" s="715">
        <f t="shared" si="10"/>
        <v>100</v>
      </c>
      <c r="T40" s="714" t="s">
        <v>17</v>
      </c>
      <c r="U40" s="715">
        <f t="shared" si="11"/>
        <v>100</v>
      </c>
      <c r="V40" s="714" t="s">
        <v>17</v>
      </c>
      <c r="W40" s="715">
        <f t="shared" si="12"/>
        <v>100</v>
      </c>
      <c r="X40" s="1490"/>
      <c r="Y40" s="363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638"/>
      <c r="Q41" s="1487" t="str">
        <f t="shared" si="14"/>
        <v>宗地开发程度</v>
      </c>
      <c r="R41" s="710" t="s">
        <v>17</v>
      </c>
      <c r="S41" s="711">
        <f t="shared" si="10"/>
        <v>100</v>
      </c>
      <c r="T41" s="710" t="s">
        <v>17</v>
      </c>
      <c r="U41" s="711">
        <f t="shared" si="11"/>
        <v>100</v>
      </c>
      <c r="V41" s="710" t="s">
        <v>17</v>
      </c>
      <c r="W41" s="711">
        <f t="shared" si="12"/>
        <v>100</v>
      </c>
      <c r="X41" s="712"/>
      <c r="Y41" s="363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638" t="s">
        <v>2145</v>
      </c>
      <c r="Q42" s="1487" t="str">
        <f t="shared" si="14"/>
        <v>工程地质条件</v>
      </c>
      <c r="R42" s="714" t="s">
        <v>17</v>
      </c>
      <c r="S42" s="715">
        <f t="shared" si="10"/>
        <v>100</v>
      </c>
      <c r="T42" s="714" t="s">
        <v>17</v>
      </c>
      <c r="U42" s="715">
        <f t="shared" si="11"/>
        <v>100</v>
      </c>
      <c r="V42" s="714" t="s">
        <v>17</v>
      </c>
      <c r="W42" s="715">
        <f t="shared" si="12"/>
        <v>100</v>
      </c>
      <c r="X42" s="1490"/>
      <c r="Y42" s="363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638"/>
      <c r="Q43" s="1487">
        <f t="shared" si="14"/>
        <v>111</v>
      </c>
      <c r="R43" s="714" t="s">
        <v>17</v>
      </c>
      <c r="S43" s="715">
        <f t="shared" si="10"/>
        <v>100</v>
      </c>
      <c r="T43" s="714" t="s">
        <v>17</v>
      </c>
      <c r="U43" s="715">
        <f t="shared" si="11"/>
        <v>100</v>
      </c>
      <c r="V43" s="714" t="s">
        <v>17</v>
      </c>
      <c r="W43" s="715">
        <f t="shared" si="12"/>
        <v>100</v>
      </c>
      <c r="X43" s="1490"/>
      <c r="Y43" s="363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638"/>
      <c r="Q44" s="1487">
        <f t="shared" si="14"/>
        <v>111</v>
      </c>
      <c r="R44" s="714" t="s">
        <v>17</v>
      </c>
      <c r="S44" s="715">
        <f t="shared" si="10"/>
        <v>100</v>
      </c>
      <c r="T44" s="714" t="s">
        <v>17</v>
      </c>
      <c r="U44" s="715">
        <f t="shared" si="11"/>
        <v>100</v>
      </c>
      <c r="V44" s="714" t="s">
        <v>17</v>
      </c>
      <c r="W44" s="715">
        <f t="shared" si="12"/>
        <v>100</v>
      </c>
      <c r="X44" s="1490"/>
      <c r="Y44" s="363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638"/>
      <c r="Q45" s="1487">
        <f t="shared" si="14"/>
        <v>111</v>
      </c>
      <c r="R45" s="717" t="s">
        <v>17</v>
      </c>
      <c r="S45" s="718">
        <f t="shared" si="10"/>
        <v>100</v>
      </c>
      <c r="T45" s="717" t="s">
        <v>17</v>
      </c>
      <c r="U45" s="718">
        <f t="shared" si="11"/>
        <v>100</v>
      </c>
      <c r="V45" s="717" t="s">
        <v>17</v>
      </c>
      <c r="W45" s="718">
        <f t="shared" si="12"/>
        <v>100</v>
      </c>
      <c r="X45" s="719"/>
      <c r="Y45" s="363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631" t="str">
        <f>A46</f>
        <v>成交单价</v>
      </c>
      <c r="Q46" s="3631"/>
      <c r="R46" s="3626">
        <f>E46</f>
        <v>0</v>
      </c>
      <c r="S46" s="3626"/>
      <c r="T46" s="3626">
        <f>G46</f>
        <v>0</v>
      </c>
      <c r="U46" s="3626"/>
      <c r="V46" s="3626">
        <f>I46</f>
        <v>0</v>
      </c>
      <c r="W46" s="3626"/>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631" t="str">
        <f>A47</f>
        <v>比较价值（元/平方米）</v>
      </c>
      <c r="Q47" s="3631"/>
      <c r="R47" s="3659" t="e">
        <f>ROUND(PRODUCT(R46,AA7:AA45),0)</f>
        <v>#DIV/0!</v>
      </c>
      <c r="S47" s="3659"/>
      <c r="T47" s="3659" t="e">
        <f>ROUND(PRODUCT(T46,AB7:AB45),0)</f>
        <v>#DIV/0!</v>
      </c>
      <c r="U47" s="3659"/>
      <c r="V47" s="3659" t="e">
        <f>ROUND(PRODUCT(V46,AC7:AC45),0)</f>
        <v>#DIV/0!</v>
      </c>
      <c r="W47" s="3659"/>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628" t="str">
        <f>A48</f>
        <v>估价对象XX用房的比较价值（楼面单价，元/平方米）</v>
      </c>
      <c r="Q48" s="3629"/>
      <c r="R48" s="3660" t="e">
        <f>ROUND(IF(D47="简单平均",AVERAGE(R47:W47),R47*F47+T47*H47+V47*J47),0)</f>
        <v>#DIV/0!</v>
      </c>
      <c r="S48" s="3660"/>
      <c r="T48" s="3660"/>
      <c r="U48" s="3660"/>
      <c r="V48" s="3660"/>
      <c r="W48" s="3660"/>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614" t="s">
        <v>2344</v>
      </c>
      <c r="H55" s="3661"/>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20206.989999999998</v>
      </c>
      <c r="F56" s="998" t="e">
        <f t="shared" ref="F56:F64" si="15">ROUND(B56*E56/10000,0)</f>
        <v>#DIV/0!</v>
      </c>
      <c r="G56" s="3613"/>
      <c r="H56" s="3631"/>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0.7</v>
      </c>
      <c r="D57" s="1057">
        <v>0.25</v>
      </c>
      <c r="E57" s="650"/>
      <c r="F57" s="998" t="e">
        <f t="shared" si="15"/>
        <v>#DIV/0!</v>
      </c>
      <c r="G57" s="3228" t="s">
        <v>2349</v>
      </c>
      <c r="H57" s="999" t="str">
        <f>项目基本情况!B37</f>
        <v>二级</v>
      </c>
      <c r="I57" s="1003">
        <f>SUMIF(修正!A57:A68,H57,修正!B57:B68)</f>
        <v>0.7</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0.4</v>
      </c>
      <c r="D58" s="1057">
        <v>0.25</v>
      </c>
      <c r="E58" s="650"/>
      <c r="F58" s="998" t="e">
        <f t="shared" si="15"/>
        <v>#DIV/0!</v>
      </c>
      <c r="G58" s="3229"/>
      <c r="H58" s="999" t="str">
        <f>项目基本情况!B37</f>
        <v>二级</v>
      </c>
      <c r="I58" s="1003">
        <f>SUMIF(修正!A57:A68,H58,修正!C57:C68)</f>
        <v>0.4</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0.3</v>
      </c>
      <c r="D59" s="1057">
        <v>0.25</v>
      </c>
      <c r="E59" s="650"/>
      <c r="F59" s="998" t="e">
        <f t="shared" si="15"/>
        <v>#DIV/0!</v>
      </c>
      <c r="G59" s="3229"/>
      <c r="H59" s="999" t="str">
        <f>项目基本情况!B37</f>
        <v>二级</v>
      </c>
      <c r="I59" s="1003">
        <f>SUMIF(修正!A57:A68,H59,修正!D57:D68)</f>
        <v>0.3</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0.2</v>
      </c>
      <c r="D63" s="1057">
        <v>0.25</v>
      </c>
      <c r="E63" s="223">
        <f>'数据-汇总表'!E14</f>
        <v>0</v>
      </c>
      <c r="F63" s="998" t="e">
        <f t="shared" si="15"/>
        <v>#DIV/0!</v>
      </c>
      <c r="G63" s="2124" t="s">
        <v>2349</v>
      </c>
      <c r="H63" s="999" t="str">
        <f>项目基本情况!B37</f>
        <v>二级</v>
      </c>
      <c r="I63" s="1003">
        <f>SUMIF(修正!A57:A68,H63,修正!G57:G68)</f>
        <v>0.2</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20206.989999999998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29"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597"/>
      <c r="AC5" s="3597"/>
    </row>
    <row r="6" spans="1:29" ht="15.75" thickBot="1">
      <c r="A6" s="366"/>
      <c r="B6" s="367"/>
      <c r="C6" s="3662" t="s">
        <v>2376</v>
      </c>
      <c r="D6" s="3663"/>
      <c r="E6" s="3664" t="s">
        <v>2376</v>
      </c>
      <c r="F6" s="3665"/>
      <c r="G6" s="3662" t="s">
        <v>2376</v>
      </c>
      <c r="H6" s="3663"/>
      <c r="I6" s="3662" t="s">
        <v>2376</v>
      </c>
      <c r="J6" s="3663"/>
      <c r="K6" s="567" t="s">
        <v>2127</v>
      </c>
      <c r="L6" s="2894"/>
      <c r="M6" s="2895"/>
      <c r="N6" s="2895"/>
      <c r="O6" s="2895"/>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99"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631"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130</v>
      </c>
      <c r="G10" s="391"/>
      <c r="H10" s="132">
        <f>ROUND(100/'数据-取费表'!G16,0)</f>
        <v>130</v>
      </c>
      <c r="I10" s="391"/>
      <c r="J10" s="132">
        <f>ROUND(100/'数据-取费表'!G16,0)</f>
        <v>130</v>
      </c>
      <c r="K10" s="628"/>
      <c r="L10" s="2898"/>
      <c r="M10" s="2899"/>
      <c r="N10" s="2899"/>
      <c r="O10" s="2952"/>
      <c r="P10" s="3631"/>
      <c r="Q10" s="1478" t="str">
        <f t="shared" si="6"/>
        <v>土地使用年限（年）</v>
      </c>
      <c r="R10" s="710" t="s">
        <v>17</v>
      </c>
      <c r="S10" s="711">
        <f t="shared" si="0"/>
        <v>130</v>
      </c>
      <c r="T10" s="710" t="s">
        <v>17</v>
      </c>
      <c r="U10" s="711">
        <f t="shared" si="1"/>
        <v>130</v>
      </c>
      <c r="V10" s="710" t="s">
        <v>17</v>
      </c>
      <c r="W10" s="711">
        <f t="shared" si="2"/>
        <v>130</v>
      </c>
      <c r="X10" s="712"/>
      <c r="Y10" s="3543"/>
      <c r="Z10" s="55" t="str">
        <f t="shared" si="7"/>
        <v>土地使用年限（年）</v>
      </c>
      <c r="AA10" s="713">
        <f t="shared" si="3"/>
        <v>0.76923076923076927</v>
      </c>
      <c r="AB10" s="713">
        <f t="shared" si="4"/>
        <v>0.76923076923076927</v>
      </c>
      <c r="AC10" s="713">
        <f t="shared" si="5"/>
        <v>0.76923076923076927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631"/>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631"/>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631"/>
      <c r="Q14" s="1478">
        <f t="shared" si="6"/>
        <v>111</v>
      </c>
      <c r="R14" s="710" t="s">
        <v>17</v>
      </c>
      <c r="S14" s="711">
        <f t="shared" si="0"/>
        <v>100</v>
      </c>
      <c r="T14" s="710" t="s">
        <v>17</v>
      </c>
      <c r="U14" s="711">
        <f t="shared" si="1"/>
        <v>100</v>
      </c>
      <c r="V14" s="710" t="s">
        <v>17</v>
      </c>
      <c r="W14" s="711">
        <f t="shared" si="2"/>
        <v>100</v>
      </c>
      <c r="X14" s="712"/>
      <c r="Y14" s="3543"/>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633" t="s">
        <v>2140</v>
      </c>
      <c r="Q15" s="1487" t="str">
        <f t="shared" si="6"/>
        <v>产业集聚程度</v>
      </c>
      <c r="R15" s="714" t="s">
        <v>17</v>
      </c>
      <c r="S15" s="715">
        <f t="shared" si="0"/>
        <v>100</v>
      </c>
      <c r="T15" s="714" t="s">
        <v>17</v>
      </c>
      <c r="U15" s="715">
        <f t="shared" si="1"/>
        <v>100</v>
      </c>
      <c r="V15" s="714" t="s">
        <v>17</v>
      </c>
      <c r="W15" s="715">
        <f t="shared" si="2"/>
        <v>100</v>
      </c>
      <c r="X15" s="1490"/>
      <c r="Y15" s="3633"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634"/>
      <c r="Q16" s="1487"/>
      <c r="R16" s="714"/>
      <c r="S16" s="715"/>
      <c r="T16" s="714"/>
      <c r="U16" s="715"/>
      <c r="V16" s="714"/>
      <c r="W16" s="715"/>
      <c r="X16" s="1490"/>
      <c r="Y16" s="363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634"/>
      <c r="Q17" s="1487" t="str">
        <f>B17</f>
        <v>交通便捷度</v>
      </c>
      <c r="R17" s="714" t="s">
        <v>17</v>
      </c>
      <c r="S17" s="715">
        <f>F17</f>
        <v>100</v>
      </c>
      <c r="T17" s="714" t="s">
        <v>17</v>
      </c>
      <c r="U17" s="715">
        <f>H17</f>
        <v>100</v>
      </c>
      <c r="V17" s="714" t="s">
        <v>17</v>
      </c>
      <c r="W17" s="715">
        <f>J17</f>
        <v>100</v>
      </c>
      <c r="X17" s="1490"/>
      <c r="Y17" s="363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634"/>
      <c r="Q18" s="1487"/>
      <c r="R18" s="714"/>
      <c r="S18" s="715"/>
      <c r="T18" s="714"/>
      <c r="U18" s="715"/>
      <c r="V18" s="714"/>
      <c r="W18" s="715"/>
      <c r="X18" s="1490"/>
      <c r="Y18" s="363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634"/>
      <c r="Q19" s="1487" t="str">
        <f t="shared" ref="Q19:Q33" si="8">B19</f>
        <v>区域土地利用方向</v>
      </c>
      <c r="R19" s="714" t="s">
        <v>17</v>
      </c>
      <c r="S19" s="715">
        <f>F19</f>
        <v>100</v>
      </c>
      <c r="T19" s="714" t="s">
        <v>17</v>
      </c>
      <c r="U19" s="715">
        <f>H19</f>
        <v>100</v>
      </c>
      <c r="V19" s="714" t="s">
        <v>17</v>
      </c>
      <c r="W19" s="715">
        <f>J19</f>
        <v>100</v>
      </c>
      <c r="X19" s="1490"/>
      <c r="Y19" s="363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634"/>
      <c r="Q20" s="1487"/>
      <c r="R20" s="714"/>
      <c r="S20" s="715"/>
      <c r="T20" s="714"/>
      <c r="U20" s="715"/>
      <c r="V20" s="714"/>
      <c r="W20" s="715"/>
      <c r="X20" s="1490"/>
      <c r="Y20" s="363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634"/>
      <c r="Q21" s="1487" t="str">
        <f t="shared" si="8"/>
        <v>环境状况</v>
      </c>
      <c r="R21" s="714" t="s">
        <v>17</v>
      </c>
      <c r="S21" s="715">
        <f>F21</f>
        <v>100</v>
      </c>
      <c r="T21" s="714" t="s">
        <v>17</v>
      </c>
      <c r="U21" s="715">
        <f>H21</f>
        <v>100</v>
      </c>
      <c r="V21" s="714" t="s">
        <v>17</v>
      </c>
      <c r="W21" s="715">
        <f>J21</f>
        <v>100</v>
      </c>
      <c r="X21" s="1490"/>
      <c r="Y21" s="363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634"/>
      <c r="Q22" s="1487"/>
      <c r="R22" s="714"/>
      <c r="S22" s="715"/>
      <c r="T22" s="714"/>
      <c r="U22" s="715"/>
      <c r="V22" s="714"/>
      <c r="W22" s="715"/>
      <c r="X22" s="1490"/>
      <c r="Y22" s="363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634"/>
      <c r="Q23" s="1478" t="str">
        <f t="shared" si="8"/>
        <v>公共配套设施</v>
      </c>
      <c r="R23" s="710" t="s">
        <v>17</v>
      </c>
      <c r="S23" s="711">
        <f>F23</f>
        <v>100</v>
      </c>
      <c r="T23" s="710" t="s">
        <v>17</v>
      </c>
      <c r="U23" s="711">
        <f>H23</f>
        <v>100</v>
      </c>
      <c r="V23" s="710" t="s">
        <v>17</v>
      </c>
      <c r="W23" s="711">
        <f>J23</f>
        <v>100</v>
      </c>
      <c r="X23" s="712"/>
      <c r="Y23" s="363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634"/>
      <c r="Q24" s="1478"/>
      <c r="R24" s="710"/>
      <c r="S24" s="711"/>
      <c r="T24" s="710"/>
      <c r="U24" s="711"/>
      <c r="V24" s="710"/>
      <c r="W24" s="711"/>
      <c r="X24" s="712"/>
      <c r="Y24" s="363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634"/>
      <c r="Q25" s="1478" t="str">
        <f t="shared" ref="Q25" si="9">B25</f>
        <v>基础设施水平</v>
      </c>
      <c r="R25" s="710" t="s">
        <v>17</v>
      </c>
      <c r="S25" s="711">
        <f>F25</f>
        <v>100</v>
      </c>
      <c r="T25" s="710" t="s">
        <v>17</v>
      </c>
      <c r="U25" s="711">
        <f>H25</f>
        <v>100</v>
      </c>
      <c r="V25" s="710" t="s">
        <v>17</v>
      </c>
      <c r="W25" s="711">
        <f>J25</f>
        <v>100</v>
      </c>
      <c r="X25" s="712"/>
      <c r="Y25" s="363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634"/>
      <c r="Q26" s="1478"/>
      <c r="R26" s="710"/>
      <c r="S26" s="711"/>
      <c r="T26" s="710"/>
      <c r="U26" s="711"/>
      <c r="V26" s="710"/>
      <c r="W26" s="711"/>
      <c r="X26" s="712"/>
      <c r="Y26" s="363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63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634"/>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634"/>
      <c r="Q28" s="1487" t="str">
        <f t="shared" si="8"/>
        <v>毗邻道路的类型与等级</v>
      </c>
      <c r="R28" s="714" t="s">
        <v>17</v>
      </c>
      <c r="S28" s="715">
        <f t="shared" si="10"/>
        <v>100</v>
      </c>
      <c r="T28" s="714" t="s">
        <v>17</v>
      </c>
      <c r="U28" s="715">
        <f t="shared" si="11"/>
        <v>100</v>
      </c>
      <c r="V28" s="714" t="s">
        <v>17</v>
      </c>
      <c r="W28" s="715">
        <f t="shared" si="12"/>
        <v>100</v>
      </c>
      <c r="X28" s="1490"/>
      <c r="Y28" s="363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634"/>
      <c r="Q29" s="1487"/>
      <c r="R29" s="714"/>
      <c r="S29" s="715"/>
      <c r="T29" s="714"/>
      <c r="U29" s="715"/>
      <c r="V29" s="714"/>
      <c r="W29" s="715"/>
      <c r="X29" s="1490"/>
      <c r="Y29" s="363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634"/>
      <c r="Q30" s="1487" t="str">
        <f t="shared" si="8"/>
        <v>土地级别</v>
      </c>
      <c r="R30" s="714" t="s">
        <v>17</v>
      </c>
      <c r="S30" s="715">
        <f t="shared" si="10"/>
        <v>100</v>
      </c>
      <c r="T30" s="714" t="s">
        <v>17</v>
      </c>
      <c r="U30" s="715">
        <f t="shared" si="11"/>
        <v>100</v>
      </c>
      <c r="V30" s="714" t="s">
        <v>17</v>
      </c>
      <c r="W30" s="715">
        <f t="shared" si="12"/>
        <v>100</v>
      </c>
      <c r="X30" s="1490"/>
      <c r="Y30" s="363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634"/>
      <c r="Q31" s="1487">
        <f t="shared" si="8"/>
        <v>111</v>
      </c>
      <c r="R31" s="714" t="s">
        <v>17</v>
      </c>
      <c r="S31" s="715">
        <f t="shared" si="10"/>
        <v>100</v>
      </c>
      <c r="T31" s="714" t="s">
        <v>17</v>
      </c>
      <c r="U31" s="715">
        <f t="shared" si="11"/>
        <v>100</v>
      </c>
      <c r="V31" s="714" t="s">
        <v>17</v>
      </c>
      <c r="W31" s="715">
        <f t="shared" si="12"/>
        <v>100</v>
      </c>
      <c r="X31" s="1490"/>
      <c r="Y31" s="363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657" t="s">
        <v>2145</v>
      </c>
      <c r="Q32" s="1487">
        <f t="shared" si="8"/>
        <v>111</v>
      </c>
      <c r="R32" s="714" t="s">
        <v>17</v>
      </c>
      <c r="S32" s="715">
        <f t="shared" si="10"/>
        <v>100</v>
      </c>
      <c r="T32" s="714" t="s">
        <v>17</v>
      </c>
      <c r="U32" s="715">
        <f t="shared" si="11"/>
        <v>100</v>
      </c>
      <c r="V32" s="714" t="s">
        <v>17</v>
      </c>
      <c r="W32" s="715">
        <f t="shared" si="12"/>
        <v>100</v>
      </c>
      <c r="X32" s="1490"/>
      <c r="Y32" s="363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638"/>
      <c r="Q33" s="1487">
        <f t="shared" si="8"/>
        <v>111</v>
      </c>
      <c r="R33" s="717" t="s">
        <v>17</v>
      </c>
      <c r="S33" s="718">
        <f t="shared" si="10"/>
        <v>100</v>
      </c>
      <c r="T33" s="717" t="s">
        <v>17</v>
      </c>
      <c r="U33" s="718">
        <f t="shared" si="11"/>
        <v>100</v>
      </c>
      <c r="V33" s="717" t="s">
        <v>17</v>
      </c>
      <c r="W33" s="718">
        <f t="shared" si="12"/>
        <v>100</v>
      </c>
      <c r="X33" s="719"/>
      <c r="Y33" s="363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638"/>
      <c r="Q34" s="1487" t="str">
        <f>B34</f>
        <v>宗地面积</v>
      </c>
      <c r="R34" s="714" t="s">
        <v>17</v>
      </c>
      <c r="S34" s="715" t="e">
        <f t="shared" si="10"/>
        <v>#N/A</v>
      </c>
      <c r="T34" s="714" t="s">
        <v>17</v>
      </c>
      <c r="U34" s="715" t="e">
        <f t="shared" si="11"/>
        <v>#N/A</v>
      </c>
      <c r="V34" s="714" t="s">
        <v>17</v>
      </c>
      <c r="W34" s="715" t="e">
        <f t="shared" si="12"/>
        <v>#N/A</v>
      </c>
      <c r="X34" s="1490"/>
      <c r="Y34" s="363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638"/>
      <c r="Q35" s="1487" t="str">
        <f t="shared" ref="Q35:Q40" si="14">B35</f>
        <v>宗地形状</v>
      </c>
      <c r="R35" s="714" t="s">
        <v>17</v>
      </c>
      <c r="S35" s="715">
        <f t="shared" si="10"/>
        <v>100</v>
      </c>
      <c r="T35" s="714" t="s">
        <v>17</v>
      </c>
      <c r="U35" s="715">
        <f t="shared" si="11"/>
        <v>100</v>
      </c>
      <c r="V35" s="714" t="s">
        <v>17</v>
      </c>
      <c r="W35" s="715">
        <f t="shared" si="12"/>
        <v>100</v>
      </c>
      <c r="X35" s="1490"/>
      <c r="Y35" s="363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638"/>
      <c r="Q36" s="1487" t="str">
        <f t="shared" si="14"/>
        <v>宗地开发程度</v>
      </c>
      <c r="R36" s="710" t="s">
        <v>17</v>
      </c>
      <c r="S36" s="711">
        <f t="shared" si="10"/>
        <v>100</v>
      </c>
      <c r="T36" s="710" t="s">
        <v>17</v>
      </c>
      <c r="U36" s="711">
        <f t="shared" si="11"/>
        <v>100</v>
      </c>
      <c r="V36" s="710" t="s">
        <v>17</v>
      </c>
      <c r="W36" s="711">
        <f t="shared" si="12"/>
        <v>100</v>
      </c>
      <c r="X36" s="712"/>
      <c r="Y36" s="363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638" t="s">
        <v>2145</v>
      </c>
      <c r="Q37" s="1487" t="str">
        <f t="shared" si="14"/>
        <v>工程地质条件</v>
      </c>
      <c r="R37" s="714" t="s">
        <v>17</v>
      </c>
      <c r="S37" s="715">
        <f t="shared" si="10"/>
        <v>100</v>
      </c>
      <c r="T37" s="714" t="s">
        <v>17</v>
      </c>
      <c r="U37" s="715">
        <f t="shared" si="11"/>
        <v>100</v>
      </c>
      <c r="V37" s="714" t="s">
        <v>17</v>
      </c>
      <c r="W37" s="715">
        <f t="shared" si="12"/>
        <v>100</v>
      </c>
      <c r="X37" s="1490"/>
      <c r="Y37" s="363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638"/>
      <c r="Q38" s="1487">
        <f t="shared" si="14"/>
        <v>111</v>
      </c>
      <c r="R38" s="714" t="s">
        <v>17</v>
      </c>
      <c r="S38" s="715">
        <f t="shared" si="10"/>
        <v>100</v>
      </c>
      <c r="T38" s="714" t="s">
        <v>17</v>
      </c>
      <c r="U38" s="715">
        <f t="shared" si="11"/>
        <v>100</v>
      </c>
      <c r="V38" s="714" t="s">
        <v>17</v>
      </c>
      <c r="W38" s="715">
        <f t="shared" si="12"/>
        <v>100</v>
      </c>
      <c r="X38" s="1490"/>
      <c r="Y38" s="363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638"/>
      <c r="Q39" s="1487">
        <f t="shared" si="14"/>
        <v>111</v>
      </c>
      <c r="R39" s="714" t="s">
        <v>17</v>
      </c>
      <c r="S39" s="715">
        <f t="shared" si="10"/>
        <v>100</v>
      </c>
      <c r="T39" s="714" t="s">
        <v>17</v>
      </c>
      <c r="U39" s="715">
        <f t="shared" si="11"/>
        <v>100</v>
      </c>
      <c r="V39" s="714" t="s">
        <v>17</v>
      </c>
      <c r="W39" s="715">
        <f t="shared" si="12"/>
        <v>100</v>
      </c>
      <c r="X39" s="1490"/>
      <c r="Y39" s="363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638"/>
      <c r="Q40" s="1487">
        <f t="shared" si="14"/>
        <v>111</v>
      </c>
      <c r="R40" s="717" t="s">
        <v>17</v>
      </c>
      <c r="S40" s="718">
        <f t="shared" si="10"/>
        <v>100</v>
      </c>
      <c r="T40" s="717" t="s">
        <v>17</v>
      </c>
      <c r="U40" s="718">
        <f t="shared" si="11"/>
        <v>100</v>
      </c>
      <c r="V40" s="717" t="s">
        <v>17</v>
      </c>
      <c r="W40" s="718">
        <f t="shared" si="12"/>
        <v>100</v>
      </c>
      <c r="X40" s="719"/>
      <c r="Y40" s="3638"/>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631" t="str">
        <f>A41</f>
        <v>成交单价</v>
      </c>
      <c r="Q41" s="3631"/>
      <c r="R41" s="3626">
        <f>E41</f>
        <v>0</v>
      </c>
      <c r="S41" s="3626"/>
      <c r="T41" s="3626">
        <f>G41</f>
        <v>0</v>
      </c>
      <c r="U41" s="3626"/>
      <c r="V41" s="3626">
        <f>I41</f>
        <v>0</v>
      </c>
      <c r="W41" s="3626"/>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631" t="str">
        <f>A42</f>
        <v>比较价值（元/平方米）</v>
      </c>
      <c r="Q42" s="3631"/>
      <c r="R42" s="3659" t="e">
        <f>ROUND(PRODUCT(R41,AA7:AA40),0)</f>
        <v>#DIV/0!</v>
      </c>
      <c r="S42" s="3659"/>
      <c r="T42" s="3659" t="e">
        <f>ROUND(PRODUCT(T41,AB7:AB40),0)</f>
        <v>#DIV/0!</v>
      </c>
      <c r="U42" s="3659"/>
      <c r="V42" s="3659" t="e">
        <f>ROUND(PRODUCT(V41,AC7:AC40),0)</f>
        <v>#DIV/0!</v>
      </c>
      <c r="W42" s="3659"/>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628" t="str">
        <f>A43</f>
        <v>估价对象XX用房的比较价值（楼面单价，元/平方米）</v>
      </c>
      <c r="Q43" s="3629"/>
      <c r="R43" s="3660" t="e">
        <f>ROUND(IF(D42="简单平均",AVERAGE(R42:W42),R42*F42+T42*H42+V42*J42),0)</f>
        <v>#DIV/0!</v>
      </c>
      <c r="S43" s="3660"/>
      <c r="T43" s="3660"/>
      <c r="U43" s="3660"/>
      <c r="V43" s="3660"/>
      <c r="W43" s="3660"/>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614" t="s">
        <v>2344</v>
      </c>
      <c r="H50" s="3661"/>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20206.989999999998</v>
      </c>
      <c r="F51" s="647" t="e">
        <f t="shared" ref="F51:F60" si="15">ROUND(B51*E51/10000,0)</f>
        <v>#DIV/0!</v>
      </c>
      <c r="G51" s="3613"/>
      <c r="H51" s="3631"/>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0.7</v>
      </c>
      <c r="D52" s="1057">
        <v>0.25</v>
      </c>
      <c r="E52" s="650"/>
      <c r="F52" s="647" t="e">
        <f t="shared" si="15"/>
        <v>#DIV/0!</v>
      </c>
      <c r="G52" s="3228" t="s">
        <v>2349</v>
      </c>
      <c r="H52" s="999" t="str">
        <f>项目基本情况!B37</f>
        <v>二级</v>
      </c>
      <c r="I52" s="860">
        <f>SUMIF(修正!A57:A68,H52,修正!B57:B68)</f>
        <v>0.7</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0.4</v>
      </c>
      <c r="D53" s="1057">
        <v>0.25</v>
      </c>
      <c r="E53" s="650"/>
      <c r="F53" s="647" t="e">
        <f t="shared" si="15"/>
        <v>#DIV/0!</v>
      </c>
      <c r="G53" s="3229"/>
      <c r="H53" s="999" t="str">
        <f>项目基本情况!B37</f>
        <v>二级</v>
      </c>
      <c r="I53" s="860">
        <f>SUMIF(修正!A57:A68,H53,修正!C57:C68)</f>
        <v>0.4</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0.3</v>
      </c>
      <c r="D54" s="1057">
        <v>0.25</v>
      </c>
      <c r="E54" s="650"/>
      <c r="F54" s="647" t="e">
        <f t="shared" si="15"/>
        <v>#DIV/0!</v>
      </c>
      <c r="G54" s="3229"/>
      <c r="H54" s="999" t="str">
        <f>项目基本情况!B37</f>
        <v>二级</v>
      </c>
      <c r="I54" s="860">
        <f>SUMIF(修正!A57:A68,H54,修正!D57:D68)</f>
        <v>0.3</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0.2</v>
      </c>
      <c r="D59" s="1057">
        <v>0.25</v>
      </c>
      <c r="E59" s="223">
        <f>'数据-汇总表'!E14</f>
        <v>0</v>
      </c>
      <c r="F59" s="647" t="e">
        <f t="shared" si="15"/>
        <v>#DIV/0!</v>
      </c>
      <c r="G59" s="2124" t="s">
        <v>2349</v>
      </c>
      <c r="H59" s="999" t="str">
        <f>项目基本情况!B37</f>
        <v>二级</v>
      </c>
      <c r="I59" s="860">
        <f>SUMIF(修正!A57:A68,H59,修正!G57:G68)</f>
        <v>0.2</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12272.21</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1.66</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85"/>
      <c r="B4" s="3686"/>
      <c r="C4" s="3686"/>
      <c r="D4" s="3687"/>
      <c r="E4" s="3687"/>
      <c r="F4" s="3687"/>
      <c r="G4" s="3687"/>
      <c r="H4" s="3687"/>
      <c r="I4" s="3687"/>
      <c r="J4" s="3688"/>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66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1.66</v>
      </c>
      <c r="AA7" s="1331"/>
      <c r="AB7" s="1331"/>
      <c r="AC7" s="1332"/>
      <c r="AD7" s="1333"/>
      <c r="AE7" s="1333"/>
      <c r="AF7" s="1333"/>
      <c r="AG7" s="1333"/>
      <c r="AH7" s="1333"/>
      <c r="AI7" s="1333"/>
      <c r="AJ7" s="1334"/>
    </row>
    <row r="8" spans="1:36" ht="15">
      <c r="A8" s="368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82" t="s">
        <v>2419</v>
      </c>
      <c r="X8" s="368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68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8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8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8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8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84" t="s">
        <v>2443</v>
      </c>
      <c r="X11" s="1339" t="s">
        <v>2444</v>
      </c>
      <c r="Y11" s="1340">
        <f>$G$3</f>
        <v>1.66</v>
      </c>
      <c r="Z11" s="1340">
        <f t="shared" ref="Z11:AJ11" si="3">$G$3</f>
        <v>1.66</v>
      </c>
      <c r="AA11" s="1340">
        <f t="shared" si="3"/>
        <v>1.66</v>
      </c>
      <c r="AB11" s="1340">
        <f t="shared" si="3"/>
        <v>1.66</v>
      </c>
      <c r="AC11" s="1340">
        <f t="shared" si="3"/>
        <v>1.66</v>
      </c>
      <c r="AD11" s="1340">
        <f t="shared" si="3"/>
        <v>1.66</v>
      </c>
      <c r="AE11" s="1340">
        <f t="shared" si="3"/>
        <v>1.66</v>
      </c>
      <c r="AF11" s="1340">
        <f t="shared" si="3"/>
        <v>1.66</v>
      </c>
      <c r="AG11" s="1340">
        <f t="shared" si="3"/>
        <v>1.66</v>
      </c>
      <c r="AH11" s="1340">
        <f t="shared" si="3"/>
        <v>1.66</v>
      </c>
      <c r="AI11" s="1340">
        <f t="shared" si="3"/>
        <v>1.66</v>
      </c>
      <c r="AJ11" s="1340">
        <f t="shared" si="3"/>
        <v>1.66</v>
      </c>
    </row>
    <row r="12" spans="1:36" ht="25.5" thickBot="1">
      <c r="A12" s="366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8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9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684"/>
      <c r="X13" s="1341"/>
      <c r="Y13" s="1338">
        <f>(-0.163*(Y12^2)-0.59*Y12+7617)*(10^(-4))/Y11</f>
        <v>0.45885542168674703</v>
      </c>
      <c r="Z13" s="1338">
        <f t="shared" ref="Z13:AJ13" si="5">(-0.163*(Z12^2)-0.59*Z12+7617)*(10^(-4))/Z11</f>
        <v>0.45885542168674703</v>
      </c>
      <c r="AA13" s="1338">
        <f t="shared" si="5"/>
        <v>0.45885542168674703</v>
      </c>
      <c r="AB13" s="1338">
        <f t="shared" si="5"/>
        <v>0.45885542168674703</v>
      </c>
      <c r="AC13" s="1338">
        <f t="shared" si="5"/>
        <v>0.45885542168674703</v>
      </c>
      <c r="AD13" s="1338">
        <f t="shared" si="5"/>
        <v>0.45885542168674703</v>
      </c>
      <c r="AE13" s="1338">
        <f t="shared" si="5"/>
        <v>0.45885542168674703</v>
      </c>
      <c r="AF13" s="1338">
        <f t="shared" si="5"/>
        <v>0.45885542168674703</v>
      </c>
      <c r="AG13" s="1338">
        <f t="shared" si="5"/>
        <v>0.45885542168674703</v>
      </c>
      <c r="AH13" s="1338">
        <f t="shared" si="5"/>
        <v>0.45885542168674703</v>
      </c>
      <c r="AI13" s="1338">
        <f t="shared" si="5"/>
        <v>0.45885542168674703</v>
      </c>
      <c r="AJ13" s="1338">
        <f t="shared" si="5"/>
        <v>0.45885542168674703</v>
      </c>
    </row>
    <row r="14" spans="1:36" ht="15">
      <c r="A14" s="369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69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666" t="s">
        <v>2462</v>
      </c>
      <c r="B16" s="2160" t="s">
        <v>2463</v>
      </c>
      <c r="C16" s="2322" t="e">
        <f>ROUND(IF(F17="与级别开发程度一致",0,(G17-E17)/C17),0)</f>
        <v>#DIV/0!</v>
      </c>
      <c r="D16" s="3679" t="s">
        <v>2467</v>
      </c>
      <c r="E16" s="3680"/>
      <c r="F16" s="3679" t="s">
        <v>2464</v>
      </c>
      <c r="G16" s="368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667"/>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44783</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1.7000000000000002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676"/>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681"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677"/>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7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677"/>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67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678"/>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67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668" t="s">
        <v>2550</v>
      </c>
      <c r="B90" s="3668"/>
      <c r="C90" s="3668"/>
      <c r="D90" s="3668"/>
      <c r="E90" s="3668"/>
      <c r="F90" s="3668"/>
      <c r="G90" s="3668"/>
      <c r="H90" s="3668"/>
      <c r="I90" s="3668"/>
      <c r="J90" s="3668"/>
      <c r="K90" s="2294"/>
      <c r="L90" s="2294"/>
      <c r="M90" s="2294"/>
      <c r="N90" s="2294"/>
    </row>
    <row r="91" spans="1:37">
      <c r="A91" s="3670" t="s">
        <v>2551</v>
      </c>
      <c r="B91" s="3670" t="s">
        <v>2552</v>
      </c>
      <c r="C91" s="2248" t="s">
        <v>2553</v>
      </c>
      <c r="D91" s="2249"/>
      <c r="E91" s="2249"/>
      <c r="F91" s="2249"/>
      <c r="G91" s="2249"/>
      <c r="H91" s="2249"/>
      <c r="I91" s="2249"/>
      <c r="J91" s="2295"/>
      <c r="K91" s="2296"/>
      <c r="L91" s="2296"/>
      <c r="M91" s="2296"/>
      <c r="N91" s="2296"/>
    </row>
    <row r="92" spans="1:37">
      <c r="A92" s="3670"/>
      <c r="B92" s="3670"/>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671"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7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7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7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7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7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72"/>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7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71" t="s">
        <v>2555</v>
      </c>
      <c r="B101" s="2301" t="s">
        <v>2556</v>
      </c>
      <c r="C101" s="2302">
        <f>$G$3</f>
        <v>1.66</v>
      </c>
      <c r="D101" s="2302">
        <f t="shared" ref="D101:N101" si="31">$G$3</f>
        <v>1.66</v>
      </c>
      <c r="E101" s="2302">
        <f t="shared" si="31"/>
        <v>1.66</v>
      </c>
      <c r="F101" s="2302">
        <f t="shared" si="31"/>
        <v>1.66</v>
      </c>
      <c r="G101" s="2302">
        <f t="shared" si="31"/>
        <v>1.66</v>
      </c>
      <c r="H101" s="2302">
        <f t="shared" si="31"/>
        <v>1.66</v>
      </c>
      <c r="I101" s="2302">
        <f t="shared" si="31"/>
        <v>1.66</v>
      </c>
      <c r="J101" s="2302">
        <f t="shared" si="31"/>
        <v>1.66</v>
      </c>
      <c r="K101" s="2302">
        <f t="shared" si="31"/>
        <v>1.66</v>
      </c>
      <c r="L101" s="2302">
        <f t="shared" si="31"/>
        <v>1.66</v>
      </c>
      <c r="M101" s="2302">
        <f t="shared" si="31"/>
        <v>1.66</v>
      </c>
      <c r="N101" s="2302">
        <f t="shared" si="31"/>
        <v>1.66</v>
      </c>
    </row>
    <row r="102" spans="1:14">
      <c r="A102" s="3672"/>
      <c r="B102" s="2297">
        <v>1</v>
      </c>
      <c r="C102" s="2298">
        <f>1.9362/C101</f>
        <v>1.1663855421686746</v>
      </c>
      <c r="D102" s="2298">
        <f>1.9362/D101</f>
        <v>1.1663855421686746</v>
      </c>
      <c r="E102" s="2298">
        <f>1.8629/E101</f>
        <v>1.1222289156626506</v>
      </c>
      <c r="F102" s="2298">
        <f>1.8629/F101</f>
        <v>1.1222289156626506</v>
      </c>
      <c r="G102" s="2298">
        <f>1.8629/G101</f>
        <v>1.1222289156626506</v>
      </c>
      <c r="H102" s="2298">
        <f>1.8629/H101</f>
        <v>1.1222289156626506</v>
      </c>
      <c r="I102" s="2298">
        <f>1.8629/I101</f>
        <v>1.1222289156626506</v>
      </c>
      <c r="J102" s="2298">
        <f>1.942/J101</f>
        <v>1.1698795180722892</v>
      </c>
      <c r="K102" s="2298">
        <f>1.942/K101</f>
        <v>1.1698795180722892</v>
      </c>
      <c r="L102" s="2298">
        <f>1.942/L101</f>
        <v>1.1698795180722892</v>
      </c>
      <c r="M102" s="2298">
        <f>1.942/M101</f>
        <v>1.1698795180722892</v>
      </c>
      <c r="N102" s="2298">
        <f>1.942/N101</f>
        <v>1.1698795180722892</v>
      </c>
    </row>
    <row r="103" spans="1:14">
      <c r="A103" s="3672"/>
      <c r="B103" s="2297">
        <v>2</v>
      </c>
      <c r="C103" s="2298">
        <f>1.4198/C101</f>
        <v>0.85530120481927707</v>
      </c>
      <c r="D103" s="2298">
        <f>1.4198/D101</f>
        <v>0.85530120481927707</v>
      </c>
      <c r="E103" s="2298">
        <f>1.3372/E101</f>
        <v>0.80554216867469886</v>
      </c>
      <c r="F103" s="2298">
        <f>1.3372/F101</f>
        <v>0.80554216867469886</v>
      </c>
      <c r="G103" s="2298">
        <f>1.3372/G101</f>
        <v>0.80554216867469886</v>
      </c>
      <c r="H103" s="2298">
        <f>1.3372/H101</f>
        <v>0.80554216867469886</v>
      </c>
      <c r="I103" s="2298">
        <f>1.3372/I101</f>
        <v>0.80554216867469886</v>
      </c>
      <c r="J103" s="2298">
        <f>1.2799/J101</f>
        <v>0.77102409638554226</v>
      </c>
      <c r="K103" s="2298">
        <f>1.2799/K101</f>
        <v>0.77102409638554226</v>
      </c>
      <c r="L103" s="2298">
        <f>1.2799/L101</f>
        <v>0.77102409638554226</v>
      </c>
      <c r="M103" s="2298">
        <f>1.2799/M101</f>
        <v>0.77102409638554226</v>
      </c>
      <c r="N103" s="2298">
        <f>1.2799/N101</f>
        <v>0.77102409638554226</v>
      </c>
    </row>
    <row r="104" spans="1:14">
      <c r="A104" s="3672"/>
      <c r="B104" s="2297">
        <v>3</v>
      </c>
      <c r="C104" s="2298">
        <f>1.1594/C101</f>
        <v>0.69843373493975902</v>
      </c>
      <c r="D104" s="2298">
        <f>1.1594/D101</f>
        <v>0.69843373493975902</v>
      </c>
      <c r="E104" s="2298">
        <f>1.0788/E101</f>
        <v>0.64987951807228916</v>
      </c>
      <c r="F104" s="2298">
        <f>1.0788/F101</f>
        <v>0.64987951807228916</v>
      </c>
      <c r="G104" s="2298">
        <f>1.0788/G101</f>
        <v>0.64987951807228916</v>
      </c>
      <c r="H104" s="2298">
        <f>1.0788/H101</f>
        <v>0.64987951807228916</v>
      </c>
      <c r="I104" s="2298">
        <f>1.0788/I101</f>
        <v>0.64987951807228916</v>
      </c>
      <c r="J104" s="2298">
        <f>1.0072/J101</f>
        <v>0.60674698795180737</v>
      </c>
      <c r="K104" s="2298">
        <f>1.0072/K101</f>
        <v>0.60674698795180737</v>
      </c>
      <c r="L104" s="2298">
        <f>1.0072/L101</f>
        <v>0.60674698795180737</v>
      </c>
      <c r="M104" s="2298">
        <f>1.0072/M101</f>
        <v>0.60674698795180737</v>
      </c>
      <c r="N104" s="2298">
        <f>1.0072/N101</f>
        <v>0.60674698795180737</v>
      </c>
    </row>
    <row r="105" spans="1:14">
      <c r="A105" s="3672"/>
      <c r="B105" s="2297">
        <v>4</v>
      </c>
      <c r="C105" s="2298">
        <f>0.9622/C101</f>
        <v>0.5796385542168675</v>
      </c>
      <c r="D105" s="2298">
        <f>0.9622/D101</f>
        <v>0.5796385542168675</v>
      </c>
      <c r="E105" s="2298">
        <f>0.8656/E101</f>
        <v>0.52144578313253021</v>
      </c>
      <c r="F105" s="2298">
        <f>0.8656/F101</f>
        <v>0.52144578313253021</v>
      </c>
      <c r="G105" s="2298">
        <f>0.8656/G101</f>
        <v>0.52144578313253021</v>
      </c>
      <c r="H105" s="2298">
        <f>0.8656/H101</f>
        <v>0.52144578313253021</v>
      </c>
      <c r="I105" s="2298">
        <f>0.8656/I101</f>
        <v>0.52144578313253021</v>
      </c>
      <c r="J105" s="2298">
        <f>0.7525/J101</f>
        <v>0.45331325301204817</v>
      </c>
      <c r="K105" s="2298">
        <f>0.7525/K101</f>
        <v>0.45331325301204817</v>
      </c>
      <c r="L105" s="2298">
        <f>0.7525/L101</f>
        <v>0.45331325301204817</v>
      </c>
      <c r="M105" s="2298">
        <f>0.7525/M101</f>
        <v>0.45331325301204817</v>
      </c>
      <c r="N105" s="2298">
        <f>0.7525/N101</f>
        <v>0.45331325301204817</v>
      </c>
    </row>
    <row r="106" spans="1:14">
      <c r="A106" s="3672"/>
      <c r="B106" s="2297">
        <v>5</v>
      </c>
      <c r="C106" s="2298">
        <f>0.8417/C101</f>
        <v>0.50704819277108437</v>
      </c>
      <c r="D106" s="2298">
        <f>0.8417/D101</f>
        <v>0.50704819277108437</v>
      </c>
      <c r="E106" s="2298">
        <f>0.7371/E101</f>
        <v>0.44403614457831325</v>
      </c>
      <c r="F106" s="2298">
        <f>0.7371/F101</f>
        <v>0.44403614457831325</v>
      </c>
      <c r="G106" s="2298">
        <f>0.7371/G101</f>
        <v>0.44403614457831325</v>
      </c>
      <c r="H106" s="2298">
        <f>0.7371/H101</f>
        <v>0.44403614457831325</v>
      </c>
      <c r="I106" s="2298">
        <f>0.7371/I101</f>
        <v>0.44403614457831325</v>
      </c>
      <c r="J106" s="2298">
        <f>0.5659/J101</f>
        <v>0.34090361445783129</v>
      </c>
      <c r="K106" s="2298">
        <f>0.5659/K101</f>
        <v>0.34090361445783129</v>
      </c>
      <c r="L106" s="2298">
        <f>0.5659/L101</f>
        <v>0.34090361445783129</v>
      </c>
      <c r="M106" s="2298">
        <f>0.5659/M101</f>
        <v>0.34090361445783129</v>
      </c>
      <c r="N106" s="2298">
        <f>0.5659/N101</f>
        <v>0.34090361445783129</v>
      </c>
    </row>
    <row r="107" spans="1:14">
      <c r="A107" s="3672"/>
      <c r="B107" s="2297">
        <v>6</v>
      </c>
      <c r="C107" s="2298">
        <f>0.7608/C101</f>
        <v>0.45831325301204823</v>
      </c>
      <c r="D107" s="2298">
        <f>0.7608/D101</f>
        <v>0.45831325301204823</v>
      </c>
      <c r="E107" s="2298">
        <f>0.6482/E101</f>
        <v>0.39048192771084339</v>
      </c>
      <c r="F107" s="2298">
        <f>0.6482/F101</f>
        <v>0.39048192771084339</v>
      </c>
      <c r="G107" s="2298">
        <f>0.6482/G101</f>
        <v>0.39048192771084339</v>
      </c>
      <c r="H107" s="2298">
        <f>0.6482/H101</f>
        <v>0.39048192771084339</v>
      </c>
      <c r="I107" s="2298">
        <f>0.6482/I101</f>
        <v>0.39048192771084339</v>
      </c>
      <c r="J107" s="2298">
        <f>0.4525/J101</f>
        <v>0.27259036144578314</v>
      </c>
      <c r="K107" s="2298">
        <f>0.4525/K101</f>
        <v>0.27259036144578314</v>
      </c>
      <c r="L107" s="2298">
        <f>0.4525/L101</f>
        <v>0.27259036144578314</v>
      </c>
      <c r="M107" s="2298">
        <f>0.4525/M101</f>
        <v>0.27259036144578314</v>
      </c>
      <c r="N107" s="2298">
        <f>0.4525/N101</f>
        <v>0.27259036144578314</v>
      </c>
    </row>
    <row r="108" spans="1:14">
      <c r="A108" s="3672"/>
      <c r="B108" s="3674"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73"/>
      <c r="B109" s="3675"/>
      <c r="C109" s="2300">
        <f>(-0.163*(C108^2)-0.59*C108+7617)*(10^(-4))/C101</f>
        <v>0.45885542168674703</v>
      </c>
      <c r="D109" s="2300">
        <f>(-0.163*(D108^2)-0.59*D108+7617)*(10^(-4))/D101</f>
        <v>0.45885542168674703</v>
      </c>
      <c r="E109" s="2300">
        <f>(-0.161*(E108^2)-7.509*E108+6533)*(10^(-4))/E101</f>
        <v>0.39355421686746989</v>
      </c>
      <c r="F109" s="2300">
        <f>(-0.161*(F108^2)-7.509*F108+6533)*(10^(-4))/F101</f>
        <v>0.39355421686746989</v>
      </c>
      <c r="G109" s="2300">
        <f>(-0.161*(G108^2)-7.509*G108+6533)*(10^(-4))/G101</f>
        <v>0.39355421686746989</v>
      </c>
      <c r="H109" s="2300">
        <f>(-0.161*(H108^2)-7.509*H108+6533)*(10^(-4))/H101</f>
        <v>0.39355421686746989</v>
      </c>
      <c r="I109" s="2300">
        <f>(-0.161*(I108^2)-7.509*I108+6533)*(10^(-4))/I101</f>
        <v>0.39355421686746989</v>
      </c>
      <c r="J109" s="2300">
        <f>(-0.214*(J108^2)-21.991*J108+4665)*(10^(-4))/J101</f>
        <v>0.28102409638554221</v>
      </c>
      <c r="K109" s="2300">
        <f>(-0.214*(K108^2)-21.991*K108+4665)*(10^(-4))/K101</f>
        <v>0.28102409638554221</v>
      </c>
      <c r="L109" s="2300">
        <f>(-0.214*(L108^2)-21.991*L108+4665)*(10^(-4))/L101</f>
        <v>0.28102409638554221</v>
      </c>
      <c r="M109" s="2300">
        <f>(-0.214*(M108^2)-21.991*M108+4665)*(10^(-4))/M101</f>
        <v>0.28102409638554221</v>
      </c>
      <c r="N109" s="2300">
        <f>(-0.214*(N108^2)-21.991*N108+4665)*(10^(-4))/N101</f>
        <v>0.28102409638554221</v>
      </c>
    </row>
    <row r="110" spans="1:14">
      <c r="A110" s="3669" t="s">
        <v>2558</v>
      </c>
      <c r="B110" s="3669"/>
      <c r="C110" s="3669"/>
      <c r="D110" s="3669"/>
      <c r="E110" s="3669"/>
      <c r="F110" s="3669"/>
      <c r="G110" s="3669"/>
      <c r="H110" s="3669"/>
      <c r="I110" s="3669"/>
      <c r="J110" s="3669"/>
      <c r="K110" s="2303"/>
      <c r="L110" s="2303"/>
      <c r="M110" s="2303"/>
      <c r="N110" s="2303"/>
    </row>
    <row r="112" spans="1:14" ht="13.5" thickBot="1"/>
    <row r="113" spans="1:13" ht="25.5" thickBot="1">
      <c r="A113" s="824" t="s">
        <v>2559</v>
      </c>
      <c r="B113" s="1178">
        <f>G3</f>
        <v>1.66</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0.91790000000000005</v>
      </c>
      <c r="C115" s="831">
        <f>B115</f>
        <v>0.91790000000000005</v>
      </c>
      <c r="D115" s="831">
        <f>ROUND(0.8331-0.0109*B113,4)</f>
        <v>0.81499999999999995</v>
      </c>
      <c r="E115" s="831">
        <f>D115</f>
        <v>0.81499999999999995</v>
      </c>
      <c r="F115" s="831">
        <f>E115</f>
        <v>0.81499999999999995</v>
      </c>
      <c r="G115" s="831">
        <f>F115</f>
        <v>0.81499999999999995</v>
      </c>
      <c r="H115" s="831">
        <f>G115</f>
        <v>0.81499999999999995</v>
      </c>
      <c r="I115" s="831">
        <f>ROUND(0.689-0.0155*B113,4)</f>
        <v>0.6633</v>
      </c>
      <c r="J115" s="831">
        <f t="shared" ref="J115:M118" si="33">I115</f>
        <v>0.6633</v>
      </c>
      <c r="K115" s="831">
        <f t="shared" si="33"/>
        <v>0.6633</v>
      </c>
      <c r="L115" s="831">
        <f t="shared" si="33"/>
        <v>0.6633</v>
      </c>
      <c r="M115" s="832">
        <f t="shared" si="33"/>
        <v>0.6633</v>
      </c>
    </row>
    <row r="116" spans="1:13">
      <c r="A116" s="830" t="s">
        <v>2459</v>
      </c>
      <c r="B116" s="831">
        <f>ROUND(0.949-0.012*B113,4)</f>
        <v>0.92910000000000004</v>
      </c>
      <c r="C116" s="831">
        <f>B116</f>
        <v>0.92910000000000004</v>
      </c>
      <c r="D116" s="831">
        <f>ROUND(0.8567-0.013*B113,4)</f>
        <v>0.83509999999999995</v>
      </c>
      <c r="E116" s="831">
        <f t="shared" ref="E116:H117" si="34">D116</f>
        <v>0.83509999999999995</v>
      </c>
      <c r="F116" s="831">
        <f t="shared" si="34"/>
        <v>0.83509999999999995</v>
      </c>
      <c r="G116" s="831">
        <f t="shared" si="34"/>
        <v>0.83509999999999995</v>
      </c>
      <c r="H116" s="831">
        <f t="shared" si="34"/>
        <v>0.83509999999999995</v>
      </c>
      <c r="I116" s="831">
        <f>ROUND(0.7694-0.014*B113,4)</f>
        <v>0.74619999999999997</v>
      </c>
      <c r="J116" s="831">
        <f t="shared" si="33"/>
        <v>0.74619999999999997</v>
      </c>
      <c r="K116" s="831">
        <f t="shared" si="33"/>
        <v>0.74619999999999997</v>
      </c>
      <c r="L116" s="831">
        <f t="shared" si="33"/>
        <v>0.74619999999999997</v>
      </c>
      <c r="M116" s="832">
        <f t="shared" si="33"/>
        <v>0.74619999999999997</v>
      </c>
    </row>
    <row r="117" spans="1:13">
      <c r="A117" s="830" t="s">
        <v>2460</v>
      </c>
      <c r="B117" s="831">
        <f>ROUND(0.8808-0.006*B113,4)</f>
        <v>0.87080000000000002</v>
      </c>
      <c r="C117" s="831">
        <f>B117</f>
        <v>0.87080000000000002</v>
      </c>
      <c r="D117" s="831">
        <f>ROUND(0.8748-0.008*B113,4)</f>
        <v>0.86150000000000004</v>
      </c>
      <c r="E117" s="831">
        <f t="shared" si="34"/>
        <v>0.86150000000000004</v>
      </c>
      <c r="F117" s="831">
        <f t="shared" si="34"/>
        <v>0.86150000000000004</v>
      </c>
      <c r="G117" s="831">
        <f t="shared" si="34"/>
        <v>0.86150000000000004</v>
      </c>
      <c r="H117" s="831">
        <f t="shared" si="34"/>
        <v>0.86150000000000004</v>
      </c>
      <c r="I117" s="831">
        <f>ROUND(0.7412-0.0095*B113,4)</f>
        <v>0.72540000000000004</v>
      </c>
      <c r="J117" s="831">
        <f t="shared" si="33"/>
        <v>0.72540000000000004</v>
      </c>
      <c r="K117" s="831">
        <f t="shared" si="33"/>
        <v>0.72540000000000004</v>
      </c>
      <c r="L117" s="831">
        <f t="shared" si="33"/>
        <v>0.72540000000000004</v>
      </c>
      <c r="M117" s="832">
        <f t="shared" si="33"/>
        <v>0.72540000000000004</v>
      </c>
    </row>
    <row r="118" spans="1:13" ht="13.5" thickBot="1">
      <c r="A118" s="670" t="s">
        <v>2461</v>
      </c>
      <c r="B118" s="833">
        <f>ROUND(0.7275-0.01*B113,4)</f>
        <v>0.71089999999999998</v>
      </c>
      <c r="C118" s="833">
        <f>B118</f>
        <v>0.71089999999999998</v>
      </c>
      <c r="D118" s="833">
        <f>ROUND(0.7043-0.012*B113,4)</f>
        <v>0.68440000000000001</v>
      </c>
      <c r="E118" s="833">
        <f>D118</f>
        <v>0.68440000000000001</v>
      </c>
      <c r="F118" s="833">
        <f>E118</f>
        <v>0.68440000000000001</v>
      </c>
      <c r="G118" s="833">
        <f>ROUND(0.6299-0.0122*B113,4)</f>
        <v>0.60960000000000003</v>
      </c>
      <c r="H118" s="833">
        <f>G118</f>
        <v>0.60960000000000003</v>
      </c>
      <c r="I118" s="833">
        <f>ROUND(0.5667-0.0136*B113,4)</f>
        <v>0.54410000000000003</v>
      </c>
      <c r="J118" s="833">
        <f t="shared" si="33"/>
        <v>0.54410000000000003</v>
      </c>
      <c r="K118" s="833">
        <f t="shared" si="33"/>
        <v>0.54410000000000003</v>
      </c>
      <c r="L118" s="833">
        <f t="shared" si="33"/>
        <v>0.54410000000000003</v>
      </c>
      <c r="M118" s="834">
        <f t="shared" si="33"/>
        <v>0.54410000000000003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699" t="s">
        <v>2955</v>
      </c>
      <c r="B20" s="3692" t="s">
        <v>2956</v>
      </c>
      <c r="C20" s="3213" t="s">
        <v>2957</v>
      </c>
      <c r="D20" s="3214"/>
      <c r="E20" s="3215">
        <v>1</v>
      </c>
      <c r="F20" s="3216" t="s">
        <v>2958</v>
      </c>
      <c r="G20" s="807"/>
      <c r="H20" s="801"/>
      <c r="I20" s="801"/>
    </row>
    <row r="21" spans="1:13" s="808" customFormat="1" ht="19.5" customHeight="1">
      <c r="A21" s="3700"/>
      <c r="B21" s="3693"/>
      <c r="C21" s="805" t="s">
        <v>2959</v>
      </c>
      <c r="D21" s="806"/>
      <c r="E21" s="3217">
        <v>1</v>
      </c>
      <c r="F21" s="3216" t="s">
        <v>2960</v>
      </c>
      <c r="G21" s="807"/>
      <c r="H21" s="801"/>
      <c r="I21" s="801"/>
    </row>
    <row r="22" spans="1:13" s="808" customFormat="1" ht="19.5" customHeight="1">
      <c r="A22" s="3700"/>
      <c r="B22" s="3693"/>
      <c r="C22" s="805" t="s">
        <v>2961</v>
      </c>
      <c r="D22" s="806"/>
      <c r="E22" s="3217">
        <v>0.9</v>
      </c>
      <c r="F22" s="3216" t="s">
        <v>2962</v>
      </c>
      <c r="G22" s="807"/>
      <c r="H22" s="801"/>
      <c r="I22" s="801"/>
    </row>
    <row r="23" spans="1:13" s="808" customFormat="1" ht="19.5" customHeight="1">
      <c r="A23" s="3700"/>
      <c r="B23" s="3693"/>
      <c r="C23" s="805" t="s">
        <v>2963</v>
      </c>
      <c r="D23" s="806"/>
      <c r="E23" s="3217">
        <v>0.9</v>
      </c>
      <c r="F23" s="3216" t="s">
        <v>2964</v>
      </c>
      <c r="G23" s="807"/>
      <c r="H23" s="801"/>
      <c r="I23" s="801"/>
    </row>
    <row r="24" spans="1:13" s="808" customFormat="1" ht="19.5" customHeight="1">
      <c r="A24" s="3700"/>
      <c r="B24" s="3693"/>
      <c r="C24" s="805" t="s">
        <v>2965</v>
      </c>
      <c r="D24" s="806"/>
      <c r="E24" s="3217">
        <v>0.8</v>
      </c>
      <c r="F24" s="3216" t="s">
        <v>2966</v>
      </c>
      <c r="G24" s="807"/>
      <c r="H24" s="801"/>
      <c r="I24" s="801"/>
    </row>
    <row r="25" spans="1:13" s="808" customFormat="1" ht="19.5" customHeight="1" thickBot="1">
      <c r="A25" s="3701"/>
      <c r="B25" s="3694"/>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695" t="s">
        <v>2972</v>
      </c>
      <c r="B27" s="3692" t="s">
        <v>2972</v>
      </c>
      <c r="C27" s="3213" t="s">
        <v>2973</v>
      </c>
      <c r="D27" s="3214"/>
      <c r="E27" s="3215">
        <v>1</v>
      </c>
      <c r="F27" s="3216" t="s">
        <v>2974</v>
      </c>
      <c r="G27" s="807"/>
      <c r="H27" s="801"/>
      <c r="I27" s="801"/>
    </row>
    <row r="28" spans="1:13" s="808" customFormat="1" ht="19.5" customHeight="1">
      <c r="A28" s="3696"/>
      <c r="B28" s="3693"/>
      <c r="C28" s="805" t="s">
        <v>2975</v>
      </c>
      <c r="D28" s="806"/>
      <c r="E28" s="3217">
        <v>1</v>
      </c>
      <c r="F28" s="3216" t="s">
        <v>2976</v>
      </c>
      <c r="G28" s="807"/>
      <c r="H28" s="801"/>
      <c r="I28" s="801"/>
    </row>
    <row r="29" spans="1:13" s="808" customFormat="1" ht="19.5" customHeight="1">
      <c r="A29" s="3696"/>
      <c r="B29" s="3693"/>
      <c r="C29" s="805" t="s">
        <v>2977</v>
      </c>
      <c r="D29" s="806"/>
      <c r="E29" s="3217">
        <v>0.8</v>
      </c>
      <c r="F29" s="3216" t="s">
        <v>2978</v>
      </c>
      <c r="G29" s="807"/>
      <c r="H29" s="801"/>
      <c r="I29" s="801"/>
    </row>
    <row r="30" spans="1:13" s="808" customFormat="1" ht="19.5" customHeight="1">
      <c r="A30" s="3696"/>
      <c r="B30" s="3693"/>
      <c r="C30" s="805" t="s">
        <v>2979</v>
      </c>
      <c r="D30" s="806"/>
      <c r="E30" s="3217">
        <v>0.8</v>
      </c>
      <c r="F30" s="3216" t="s">
        <v>2980</v>
      </c>
      <c r="G30" s="807"/>
      <c r="H30" s="801"/>
      <c r="I30" s="801"/>
    </row>
    <row r="31" spans="1:13" s="808" customFormat="1" ht="19.5" customHeight="1">
      <c r="A31" s="3696"/>
      <c r="B31" s="3693"/>
      <c r="C31" s="805" t="s">
        <v>2981</v>
      </c>
      <c r="D31" s="806"/>
      <c r="E31" s="3217">
        <v>0.8</v>
      </c>
      <c r="F31" s="3216" t="s">
        <v>2982</v>
      </c>
      <c r="G31" s="807"/>
      <c r="H31" s="801"/>
      <c r="I31" s="801"/>
    </row>
    <row r="32" spans="1:13" s="808" customFormat="1" ht="19.5" customHeight="1">
      <c r="A32" s="3696"/>
      <c r="B32" s="3693"/>
      <c r="C32" s="805" t="s">
        <v>2983</v>
      </c>
      <c r="D32" s="806"/>
      <c r="E32" s="3217">
        <v>0.7</v>
      </c>
      <c r="F32" s="3216" t="s">
        <v>2984</v>
      </c>
      <c r="G32" s="807"/>
      <c r="H32" s="801"/>
      <c r="I32" s="801"/>
    </row>
    <row r="33" spans="1:9" s="808" customFormat="1" ht="19.5" customHeight="1">
      <c r="A33" s="3696"/>
      <c r="B33" s="3693"/>
      <c r="C33" s="805" t="s">
        <v>2985</v>
      </c>
      <c r="D33" s="806"/>
      <c r="E33" s="3217">
        <v>0.8</v>
      </c>
      <c r="F33" s="3216" t="s">
        <v>2986</v>
      </c>
      <c r="G33" s="807"/>
      <c r="H33" s="801"/>
      <c r="I33" s="801"/>
    </row>
    <row r="34" spans="1:9" s="808" customFormat="1" ht="19.5" customHeight="1">
      <c r="A34" s="3696"/>
      <c r="B34" s="3693"/>
      <c r="C34" s="805" t="s">
        <v>2987</v>
      </c>
      <c r="D34" s="806"/>
      <c r="E34" s="3217">
        <v>0.6</v>
      </c>
      <c r="F34" s="3216" t="s">
        <v>2988</v>
      </c>
      <c r="G34" s="807"/>
      <c r="H34" s="801"/>
      <c r="I34" s="801"/>
    </row>
    <row r="35" spans="1:9" s="808" customFormat="1" ht="19.5" customHeight="1">
      <c r="A35" s="3696"/>
      <c r="B35" s="3693"/>
      <c r="C35" s="805" t="s">
        <v>2989</v>
      </c>
      <c r="D35" s="806"/>
      <c r="E35" s="3217">
        <v>0.2</v>
      </c>
      <c r="F35" s="3216" t="s">
        <v>2990</v>
      </c>
      <c r="G35" s="807"/>
      <c r="H35" s="801"/>
      <c r="I35" s="801"/>
    </row>
    <row r="36" spans="1:9" s="808" customFormat="1" ht="19.5" customHeight="1">
      <c r="A36" s="3696"/>
      <c r="B36" s="3693"/>
      <c r="C36" s="805" t="s">
        <v>2991</v>
      </c>
      <c r="D36" s="806"/>
      <c r="E36" s="3217">
        <v>0.2</v>
      </c>
      <c r="F36" s="3216" t="s">
        <v>2992</v>
      </c>
      <c r="G36" s="807"/>
      <c r="H36" s="801"/>
      <c r="I36" s="801"/>
    </row>
    <row r="37" spans="1:9" s="808" customFormat="1" ht="19.5" customHeight="1">
      <c r="A37" s="3696"/>
      <c r="B37" s="3698" t="s">
        <v>2993</v>
      </c>
      <c r="C37" s="805" t="s">
        <v>2994</v>
      </c>
      <c r="D37" s="806"/>
      <c r="E37" s="3217">
        <v>0.6</v>
      </c>
      <c r="F37" s="3216" t="s">
        <v>2995</v>
      </c>
      <c r="G37" s="807"/>
      <c r="H37" s="801"/>
      <c r="I37" s="801"/>
    </row>
    <row r="38" spans="1:9" s="808" customFormat="1" ht="19.5" customHeight="1">
      <c r="A38" s="3696"/>
      <c r="B38" s="3693"/>
      <c r="C38" s="805" t="s">
        <v>2996</v>
      </c>
      <c r="D38" s="806"/>
      <c r="E38" s="3217">
        <v>0.6</v>
      </c>
      <c r="F38" s="3216" t="s">
        <v>2997</v>
      </c>
      <c r="G38" s="807"/>
      <c r="H38" s="801"/>
      <c r="I38" s="801"/>
    </row>
    <row r="39" spans="1:9" s="808" customFormat="1" ht="19.5" customHeight="1" thickBot="1">
      <c r="A39" s="3697"/>
      <c r="B39" s="3694"/>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699" t="s">
        <v>3003</v>
      </c>
      <c r="B41" s="3692" t="s">
        <v>3004</v>
      </c>
      <c r="C41" s="3213" t="s">
        <v>3005</v>
      </c>
      <c r="D41" s="3214"/>
      <c r="E41" s="3215">
        <v>1</v>
      </c>
      <c r="F41" s="3216" t="s">
        <v>3006</v>
      </c>
      <c r="G41" s="807"/>
      <c r="H41" s="801"/>
      <c r="I41" s="801"/>
    </row>
    <row r="42" spans="1:9" s="808" customFormat="1" ht="19.5" customHeight="1">
      <c r="A42" s="3700"/>
      <c r="B42" s="3693"/>
      <c r="C42" s="805" t="s">
        <v>3007</v>
      </c>
      <c r="D42" s="806"/>
      <c r="E42" s="3217">
        <v>1</v>
      </c>
      <c r="F42" s="3216" t="s">
        <v>3008</v>
      </c>
      <c r="G42" s="807"/>
      <c r="H42" s="801"/>
      <c r="I42" s="801"/>
    </row>
    <row r="43" spans="1:9" s="808" customFormat="1" ht="19.5" customHeight="1">
      <c r="A43" s="3700"/>
      <c r="B43" s="3702"/>
      <c r="C43" s="805" t="s">
        <v>3009</v>
      </c>
      <c r="D43" s="806"/>
      <c r="E43" s="3217">
        <v>1.5</v>
      </c>
      <c r="F43" s="3216" t="s">
        <v>3010</v>
      </c>
      <c r="G43" s="807"/>
      <c r="H43" s="801"/>
      <c r="I43" s="801"/>
    </row>
    <row r="44" spans="1:9" s="808" customFormat="1" ht="19.5" customHeight="1">
      <c r="A44" s="3700"/>
      <c r="B44" s="3226" t="s">
        <v>2972</v>
      </c>
      <c r="C44" s="805" t="s">
        <v>3011</v>
      </c>
      <c r="D44" s="806"/>
      <c r="E44" s="3217">
        <v>2</v>
      </c>
      <c r="F44" s="3216" t="s">
        <v>3012</v>
      </c>
      <c r="G44" s="807"/>
      <c r="H44" s="801"/>
      <c r="I44" s="801"/>
    </row>
    <row r="45" spans="1:9" s="808" customFormat="1" ht="19.5" customHeight="1">
      <c r="A45" s="3700"/>
      <c r="B45" s="3698" t="s">
        <v>3013</v>
      </c>
      <c r="C45" s="805" t="s">
        <v>3014</v>
      </c>
      <c r="D45" s="806"/>
      <c r="E45" s="3217">
        <v>1</v>
      </c>
      <c r="F45" s="3216" t="s">
        <v>3015</v>
      </c>
      <c r="G45" s="807"/>
      <c r="H45" s="801"/>
      <c r="I45" s="801"/>
    </row>
    <row r="46" spans="1:9" s="808" customFormat="1" ht="19.5" customHeight="1">
      <c r="A46" s="3700"/>
      <c r="B46" s="3693"/>
      <c r="C46" s="805" t="s">
        <v>3016</v>
      </c>
      <c r="D46" s="806"/>
      <c r="E46" s="3217">
        <v>1</v>
      </c>
      <c r="F46" s="3216" t="s">
        <v>3017</v>
      </c>
      <c r="G46" s="807"/>
      <c r="H46" s="801"/>
      <c r="I46" s="801"/>
    </row>
    <row r="47" spans="1:9" s="808" customFormat="1" ht="19.5" customHeight="1">
      <c r="A47" s="3700"/>
      <c r="B47" s="3693"/>
      <c r="C47" s="805" t="s">
        <v>3018</v>
      </c>
      <c r="D47" s="806"/>
      <c r="E47" s="3217">
        <v>1</v>
      </c>
      <c r="F47" s="3216" t="s">
        <v>3019</v>
      </c>
      <c r="G47" s="807"/>
      <c r="H47" s="801"/>
      <c r="I47" s="801"/>
    </row>
    <row r="48" spans="1:9" s="808" customFormat="1" ht="19.5" customHeight="1">
      <c r="A48" s="3700"/>
      <c r="B48" s="3693"/>
      <c r="C48" s="805" t="s">
        <v>3020</v>
      </c>
      <c r="D48" s="806"/>
      <c r="E48" s="3217">
        <v>1</v>
      </c>
      <c r="F48" s="3216" t="s">
        <v>3021</v>
      </c>
      <c r="G48" s="807"/>
      <c r="H48" s="801"/>
      <c r="I48" s="801"/>
    </row>
    <row r="49" spans="1:9" s="808" customFormat="1" ht="19.5" customHeight="1">
      <c r="A49" s="3700"/>
      <c r="B49" s="3693"/>
      <c r="C49" s="805" t="s">
        <v>3022</v>
      </c>
      <c r="D49" s="806"/>
      <c r="E49" s="3217">
        <v>1</v>
      </c>
      <c r="F49" s="3216" t="s">
        <v>3023</v>
      </c>
      <c r="G49" s="807"/>
      <c r="H49" s="801"/>
      <c r="I49" s="801"/>
    </row>
    <row r="50" spans="1:9" s="808" customFormat="1" ht="19.5" customHeight="1">
      <c r="A50" s="3700"/>
      <c r="B50" s="3693"/>
      <c r="C50" s="805" t="s">
        <v>3024</v>
      </c>
      <c r="D50" s="806"/>
      <c r="E50" s="3217">
        <v>1</v>
      </c>
      <c r="F50" s="3216" t="s">
        <v>3025</v>
      </c>
      <c r="G50" s="807"/>
      <c r="H50" s="801"/>
      <c r="I50" s="801"/>
    </row>
    <row r="51" spans="1:9" s="808" customFormat="1" ht="19.5" customHeight="1" thickBot="1">
      <c r="A51" s="3701"/>
      <c r="B51" s="3694"/>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698" t="s">
        <v>3029</v>
      </c>
      <c r="C73" s="3206" t="s">
        <v>3030</v>
      </c>
      <c r="D73" s="3206" t="s">
        <v>3031</v>
      </c>
      <c r="E73" s="3227">
        <v>0.2</v>
      </c>
      <c r="F73" s="3226">
        <v>25</v>
      </c>
    </row>
    <row r="74" spans="1:7" s="801" customFormat="1" ht="24">
      <c r="A74" s="3226">
        <v>2</v>
      </c>
      <c r="B74" s="3693"/>
      <c r="C74" s="3206" t="s">
        <v>3032</v>
      </c>
      <c r="D74" s="3206" t="s">
        <v>3033</v>
      </c>
      <c r="E74" s="3227">
        <v>0.2</v>
      </c>
      <c r="F74" s="3226">
        <v>25</v>
      </c>
    </row>
    <row r="75" spans="1:7" s="801" customFormat="1" ht="24">
      <c r="A75" s="3226">
        <v>3</v>
      </c>
      <c r="B75" s="3693"/>
      <c r="C75" s="3206" t="s">
        <v>3034</v>
      </c>
      <c r="D75" s="3206" t="s">
        <v>3035</v>
      </c>
      <c r="E75" s="3227">
        <v>0.2</v>
      </c>
      <c r="F75" s="3226">
        <v>25</v>
      </c>
    </row>
    <row r="76" spans="1:7" s="801" customFormat="1" ht="13.5">
      <c r="A76" s="3226">
        <v>4</v>
      </c>
      <c r="B76" s="3693"/>
      <c r="C76" s="3206" t="s">
        <v>3036</v>
      </c>
      <c r="D76" s="3206" t="s">
        <v>3037</v>
      </c>
      <c r="E76" s="3227">
        <v>0.15</v>
      </c>
      <c r="F76" s="3226">
        <v>20</v>
      </c>
    </row>
    <row r="77" spans="1:7" s="801" customFormat="1" ht="24">
      <c r="A77" s="3226">
        <v>5</v>
      </c>
      <c r="B77" s="3693"/>
      <c r="C77" s="3206" t="s">
        <v>3038</v>
      </c>
      <c r="D77" s="3206" t="s">
        <v>3039</v>
      </c>
      <c r="E77" s="3227">
        <v>0.15</v>
      </c>
      <c r="F77" s="3226">
        <v>20</v>
      </c>
    </row>
    <row r="78" spans="1:7" s="801" customFormat="1" ht="24">
      <c r="A78" s="3226">
        <v>6</v>
      </c>
      <c r="B78" s="3693"/>
      <c r="C78" s="3206" t="s">
        <v>3040</v>
      </c>
      <c r="D78" s="3206" t="s">
        <v>3041</v>
      </c>
      <c r="E78" s="3227">
        <v>0.15</v>
      </c>
      <c r="F78" s="3226">
        <v>20</v>
      </c>
    </row>
    <row r="79" spans="1:7" s="801" customFormat="1" ht="24">
      <c r="A79" s="3226">
        <v>7</v>
      </c>
      <c r="B79" s="3693"/>
      <c r="C79" s="3206" t="s">
        <v>3042</v>
      </c>
      <c r="D79" s="3206" t="s">
        <v>3043</v>
      </c>
      <c r="E79" s="3227">
        <v>0.15</v>
      </c>
      <c r="F79" s="3226">
        <v>20</v>
      </c>
    </row>
    <row r="80" spans="1:7" s="801" customFormat="1" ht="24">
      <c r="A80" s="3226">
        <v>8</v>
      </c>
      <c r="B80" s="3693"/>
      <c r="C80" s="3206" t="s">
        <v>3044</v>
      </c>
      <c r="D80" s="3206" t="s">
        <v>3045</v>
      </c>
      <c r="E80" s="3227">
        <v>0.1</v>
      </c>
      <c r="F80" s="3226">
        <v>15</v>
      </c>
    </row>
    <row r="81" spans="1:6" s="801" customFormat="1" ht="24">
      <c r="A81" s="3226">
        <v>9</v>
      </c>
      <c r="B81" s="3693"/>
      <c r="C81" s="3206" t="s">
        <v>3046</v>
      </c>
      <c r="D81" s="3206" t="s">
        <v>3047</v>
      </c>
      <c r="E81" s="3227">
        <v>0.1</v>
      </c>
      <c r="F81" s="3226">
        <v>15</v>
      </c>
    </row>
    <row r="82" spans="1:6" s="801" customFormat="1" ht="24">
      <c r="A82" s="3226">
        <v>10</v>
      </c>
      <c r="B82" s="3693"/>
      <c r="C82" s="3206" t="s">
        <v>3048</v>
      </c>
      <c r="D82" s="3206" t="s">
        <v>3049</v>
      </c>
      <c r="E82" s="3227">
        <v>0.1</v>
      </c>
      <c r="F82" s="3226">
        <v>15</v>
      </c>
    </row>
    <row r="83" spans="1:6" s="801" customFormat="1" ht="24">
      <c r="A83" s="3226">
        <v>11</v>
      </c>
      <c r="B83" s="3693"/>
      <c r="C83" s="3206" t="s">
        <v>3050</v>
      </c>
      <c r="D83" s="3206" t="s">
        <v>3051</v>
      </c>
      <c r="E83" s="3227">
        <v>0.1</v>
      </c>
      <c r="F83" s="3226">
        <v>15</v>
      </c>
    </row>
    <row r="84" spans="1:6" s="801" customFormat="1" ht="24">
      <c r="A84" s="3226">
        <v>12</v>
      </c>
      <c r="B84" s="3693"/>
      <c r="C84" s="3206" t="s">
        <v>3052</v>
      </c>
      <c r="D84" s="3206" t="s">
        <v>3053</v>
      </c>
      <c r="E84" s="3227">
        <v>0.1</v>
      </c>
      <c r="F84" s="3226">
        <v>15</v>
      </c>
    </row>
    <row r="85" spans="1:6" s="801" customFormat="1" ht="13.5">
      <c r="A85" s="3226">
        <v>13</v>
      </c>
      <c r="B85" s="3693"/>
      <c r="C85" s="3206" t="s">
        <v>3054</v>
      </c>
      <c r="D85" s="3206" t="s">
        <v>3055</v>
      </c>
      <c r="E85" s="3227">
        <v>0.1</v>
      </c>
      <c r="F85" s="3226">
        <v>15</v>
      </c>
    </row>
    <row r="86" spans="1:6" s="801" customFormat="1" ht="13.5">
      <c r="A86" s="3226">
        <v>14</v>
      </c>
      <c r="B86" s="3693"/>
      <c r="C86" s="3206" t="s">
        <v>3056</v>
      </c>
      <c r="D86" s="3206" t="s">
        <v>3057</v>
      </c>
      <c r="E86" s="3227">
        <v>0.1</v>
      </c>
      <c r="F86" s="3226">
        <v>15</v>
      </c>
    </row>
    <row r="87" spans="1:6" s="801" customFormat="1" ht="13.5">
      <c r="A87" s="3226">
        <v>15</v>
      </c>
      <c r="B87" s="3693"/>
      <c r="C87" s="3206" t="s">
        <v>3058</v>
      </c>
      <c r="D87" s="3206" t="s">
        <v>3059</v>
      </c>
      <c r="E87" s="3227">
        <v>0.1</v>
      </c>
      <c r="F87" s="3226">
        <v>15</v>
      </c>
    </row>
    <row r="88" spans="1:6" s="801" customFormat="1" ht="24">
      <c r="A88" s="3226">
        <v>16</v>
      </c>
      <c r="B88" s="3693"/>
      <c r="C88" s="3206" t="s">
        <v>3060</v>
      </c>
      <c r="D88" s="3206" t="s">
        <v>3061</v>
      </c>
      <c r="E88" s="3227">
        <v>0.1</v>
      </c>
      <c r="F88" s="3226">
        <v>15</v>
      </c>
    </row>
    <row r="89" spans="1:6" s="801" customFormat="1" ht="24">
      <c r="A89" s="3226">
        <v>17</v>
      </c>
      <c r="B89" s="3702"/>
      <c r="C89" s="3206" t="s">
        <v>3062</v>
      </c>
      <c r="D89" s="3206" t="s">
        <v>3063</v>
      </c>
      <c r="E89" s="3227">
        <v>0.1</v>
      </c>
      <c r="F89" s="3226">
        <v>15</v>
      </c>
    </row>
    <row r="90" spans="1:6" s="801" customFormat="1" ht="13.5">
      <c r="A90" s="3226">
        <v>18</v>
      </c>
      <c r="B90" s="3698" t="s">
        <v>3064</v>
      </c>
      <c r="C90" s="3206" t="s">
        <v>3065</v>
      </c>
      <c r="D90" s="3206" t="s">
        <v>3066</v>
      </c>
      <c r="E90" s="3227">
        <v>0.2</v>
      </c>
      <c r="F90" s="3226">
        <v>25</v>
      </c>
    </row>
    <row r="91" spans="1:6" s="801" customFormat="1" ht="24">
      <c r="A91" s="3226">
        <v>19</v>
      </c>
      <c r="B91" s="3693"/>
      <c r="C91" s="3206" t="s">
        <v>3067</v>
      </c>
      <c r="D91" s="3206" t="s">
        <v>3068</v>
      </c>
      <c r="E91" s="3227">
        <v>0.2</v>
      </c>
      <c r="F91" s="3226">
        <v>25</v>
      </c>
    </row>
    <row r="92" spans="1:6" s="801" customFormat="1" ht="13.5">
      <c r="A92" s="3226">
        <v>20</v>
      </c>
      <c r="B92" s="3693"/>
      <c r="C92" s="3206" t="s">
        <v>3069</v>
      </c>
      <c r="D92" s="3206" t="s">
        <v>3070</v>
      </c>
      <c r="E92" s="3227">
        <v>0.15</v>
      </c>
      <c r="F92" s="3226">
        <v>20</v>
      </c>
    </row>
    <row r="93" spans="1:6" s="801" customFormat="1" ht="24">
      <c r="A93" s="3226">
        <v>21</v>
      </c>
      <c r="B93" s="3693"/>
      <c r="C93" s="3206" t="s">
        <v>3071</v>
      </c>
      <c r="D93" s="3206" t="s">
        <v>3072</v>
      </c>
      <c r="E93" s="3227">
        <v>0.15</v>
      </c>
      <c r="F93" s="3226">
        <v>20</v>
      </c>
    </row>
    <row r="94" spans="1:6" s="801" customFormat="1" ht="24">
      <c r="A94" s="3226">
        <v>22</v>
      </c>
      <c r="B94" s="3693"/>
      <c r="C94" s="3206" t="s">
        <v>3073</v>
      </c>
      <c r="D94" s="3206" t="s">
        <v>3074</v>
      </c>
      <c r="E94" s="3227">
        <v>0.15</v>
      </c>
      <c r="F94" s="3226">
        <v>20</v>
      </c>
    </row>
    <row r="95" spans="1:6" s="801" customFormat="1" ht="36">
      <c r="A95" s="3226">
        <v>23</v>
      </c>
      <c r="B95" s="3693"/>
      <c r="C95" s="3206" t="s">
        <v>3075</v>
      </c>
      <c r="D95" s="3206" t="s">
        <v>3076</v>
      </c>
      <c r="E95" s="3227">
        <v>0.15</v>
      </c>
      <c r="F95" s="3226">
        <v>20</v>
      </c>
    </row>
    <row r="96" spans="1:6" s="801" customFormat="1" ht="13.5">
      <c r="A96" s="3226">
        <v>24</v>
      </c>
      <c r="B96" s="3693"/>
      <c r="C96" s="3206" t="s">
        <v>3077</v>
      </c>
      <c r="D96" s="3206" t="s">
        <v>3078</v>
      </c>
      <c r="E96" s="3227">
        <v>0.1</v>
      </c>
      <c r="F96" s="3226">
        <v>15</v>
      </c>
    </row>
    <row r="97" spans="1:6" s="801" customFormat="1" ht="24">
      <c r="A97" s="3226">
        <v>25</v>
      </c>
      <c r="B97" s="3693"/>
      <c r="C97" s="3206" t="s">
        <v>3079</v>
      </c>
      <c r="D97" s="3206" t="s">
        <v>3080</v>
      </c>
      <c r="E97" s="3227">
        <v>0.1</v>
      </c>
      <c r="F97" s="3226">
        <v>15</v>
      </c>
    </row>
    <row r="98" spans="1:6" s="801" customFormat="1" ht="24">
      <c r="A98" s="3226">
        <v>26</v>
      </c>
      <c r="B98" s="3693"/>
      <c r="C98" s="3206" t="s">
        <v>3081</v>
      </c>
      <c r="D98" s="3206" t="s">
        <v>3082</v>
      </c>
      <c r="E98" s="3227">
        <v>0.1</v>
      </c>
      <c r="F98" s="3226">
        <v>15</v>
      </c>
    </row>
    <row r="99" spans="1:6" s="801" customFormat="1" ht="24">
      <c r="A99" s="3226">
        <v>27</v>
      </c>
      <c r="B99" s="3693"/>
      <c r="C99" s="3206" t="s">
        <v>3083</v>
      </c>
      <c r="D99" s="3206" t="s">
        <v>3084</v>
      </c>
      <c r="E99" s="3227">
        <v>0.1</v>
      </c>
      <c r="F99" s="3226">
        <v>15</v>
      </c>
    </row>
    <row r="100" spans="1:6" s="801" customFormat="1" ht="24">
      <c r="A100" s="3226">
        <v>28</v>
      </c>
      <c r="B100" s="3693"/>
      <c r="C100" s="3206" t="s">
        <v>3085</v>
      </c>
      <c r="D100" s="3206" t="s">
        <v>3086</v>
      </c>
      <c r="E100" s="3227">
        <v>0.1</v>
      </c>
      <c r="F100" s="3226">
        <v>15</v>
      </c>
    </row>
    <row r="101" spans="1:6" s="801" customFormat="1" ht="24">
      <c r="A101" s="3226">
        <v>29</v>
      </c>
      <c r="B101" s="3693"/>
      <c r="C101" s="3206" t="s">
        <v>3087</v>
      </c>
      <c r="D101" s="3206" t="s">
        <v>3088</v>
      </c>
      <c r="E101" s="3227">
        <v>0.1</v>
      </c>
      <c r="F101" s="3226">
        <v>15</v>
      </c>
    </row>
    <row r="102" spans="1:6" s="801" customFormat="1" ht="24">
      <c r="A102" s="3226">
        <v>30</v>
      </c>
      <c r="B102" s="3693"/>
      <c r="C102" s="3206" t="s">
        <v>3089</v>
      </c>
      <c r="D102" s="3206" t="s">
        <v>3090</v>
      </c>
      <c r="E102" s="3227">
        <v>0.1</v>
      </c>
      <c r="F102" s="3226">
        <v>15</v>
      </c>
    </row>
    <row r="103" spans="1:6" s="801" customFormat="1" ht="24">
      <c r="A103" s="3226">
        <v>31</v>
      </c>
      <c r="B103" s="3693"/>
      <c r="C103" s="3206" t="s">
        <v>3091</v>
      </c>
      <c r="D103" s="3206" t="s">
        <v>3092</v>
      </c>
      <c r="E103" s="3227">
        <v>0.1</v>
      </c>
      <c r="F103" s="3226">
        <v>15</v>
      </c>
    </row>
    <row r="104" spans="1:6" s="801" customFormat="1" ht="24">
      <c r="A104" s="3226">
        <v>32</v>
      </c>
      <c r="B104" s="3693"/>
      <c r="C104" s="3206" t="s">
        <v>3093</v>
      </c>
      <c r="D104" s="3206" t="s">
        <v>3094</v>
      </c>
      <c r="E104" s="3227">
        <v>0.1</v>
      </c>
      <c r="F104" s="3226">
        <v>15</v>
      </c>
    </row>
    <row r="105" spans="1:6" s="801" customFormat="1" ht="24">
      <c r="A105" s="3226">
        <v>33</v>
      </c>
      <c r="B105" s="3693"/>
      <c r="C105" s="3206" t="s">
        <v>3095</v>
      </c>
      <c r="D105" s="3206" t="s">
        <v>3096</v>
      </c>
      <c r="E105" s="3227">
        <v>0.1</v>
      </c>
      <c r="F105" s="3226">
        <v>15</v>
      </c>
    </row>
    <row r="106" spans="1:6" s="801" customFormat="1" ht="24">
      <c r="A106" s="3226">
        <v>34</v>
      </c>
      <c r="B106" s="3702"/>
      <c r="C106" s="3206" t="s">
        <v>3097</v>
      </c>
      <c r="D106" s="3206" t="s">
        <v>3098</v>
      </c>
      <c r="E106" s="3227">
        <v>0.1</v>
      </c>
      <c r="F106" s="3226">
        <v>15</v>
      </c>
    </row>
    <row r="107" spans="1:6" s="801" customFormat="1" ht="24">
      <c r="A107" s="3226">
        <v>35</v>
      </c>
      <c r="B107" s="3698" t="s">
        <v>3099</v>
      </c>
      <c r="C107" s="3226" t="s">
        <v>3100</v>
      </c>
      <c r="D107" s="3206" t="s">
        <v>3101</v>
      </c>
      <c r="E107" s="3227">
        <v>0.15</v>
      </c>
      <c r="F107" s="3226">
        <v>20</v>
      </c>
    </row>
    <row r="108" spans="1:6" s="801" customFormat="1" ht="24">
      <c r="A108" s="3226">
        <v>36</v>
      </c>
      <c r="B108" s="3693"/>
      <c r="C108" s="3226" t="s">
        <v>3102</v>
      </c>
      <c r="D108" s="3206" t="s">
        <v>3103</v>
      </c>
      <c r="E108" s="3227">
        <v>0.15</v>
      </c>
      <c r="F108" s="3226">
        <v>20</v>
      </c>
    </row>
    <row r="109" spans="1:6" s="801" customFormat="1" ht="24">
      <c r="A109" s="3226">
        <v>37</v>
      </c>
      <c r="B109" s="3693"/>
      <c r="C109" s="3226" t="s">
        <v>3104</v>
      </c>
      <c r="D109" s="3206" t="s">
        <v>3105</v>
      </c>
      <c r="E109" s="3227">
        <v>0.15</v>
      </c>
      <c r="F109" s="3226">
        <v>20</v>
      </c>
    </row>
    <row r="110" spans="1:6" s="801" customFormat="1" ht="13.5">
      <c r="A110" s="3226">
        <v>38</v>
      </c>
      <c r="B110" s="3693"/>
      <c r="C110" s="3226" t="s">
        <v>3106</v>
      </c>
      <c r="D110" s="3206" t="s">
        <v>3107</v>
      </c>
      <c r="E110" s="3227">
        <v>0.1</v>
      </c>
      <c r="F110" s="3226">
        <v>15</v>
      </c>
    </row>
    <row r="111" spans="1:6" s="801" customFormat="1" ht="24">
      <c r="A111" s="3226">
        <v>39</v>
      </c>
      <c r="B111" s="3693"/>
      <c r="C111" s="3226" t="s">
        <v>3108</v>
      </c>
      <c r="D111" s="3206" t="s">
        <v>3109</v>
      </c>
      <c r="E111" s="3227">
        <v>0.1</v>
      </c>
      <c r="F111" s="3226">
        <v>15</v>
      </c>
    </row>
    <row r="112" spans="1:6" s="801" customFormat="1" ht="24">
      <c r="A112" s="3226">
        <v>40</v>
      </c>
      <c r="B112" s="3702"/>
      <c r="C112" s="3226" t="s">
        <v>3110</v>
      </c>
      <c r="D112" s="3206" t="s">
        <v>3111</v>
      </c>
      <c r="E112" s="3227">
        <v>0.1</v>
      </c>
      <c r="F112" s="3226">
        <v>15</v>
      </c>
    </row>
    <row r="113" spans="1:6" s="801" customFormat="1" ht="24">
      <c r="A113" s="3226">
        <v>41</v>
      </c>
      <c r="B113" s="3703" t="s">
        <v>3112</v>
      </c>
      <c r="C113" s="3226" t="s">
        <v>3113</v>
      </c>
      <c r="D113" s="3206" t="s">
        <v>3114</v>
      </c>
      <c r="E113" s="3227">
        <v>0.1</v>
      </c>
      <c r="F113" s="3226">
        <v>15</v>
      </c>
    </row>
    <row r="114" spans="1:6" s="801" customFormat="1" ht="13.5">
      <c r="A114" s="3226">
        <v>42</v>
      </c>
      <c r="B114" s="3703"/>
      <c r="C114" s="3226" t="s">
        <v>3115</v>
      </c>
      <c r="D114" s="3206" t="s">
        <v>3116</v>
      </c>
      <c r="E114" s="3227">
        <v>0.1</v>
      </c>
      <c r="F114" s="3226">
        <v>15</v>
      </c>
    </row>
    <row r="115" spans="1:6" s="801" customFormat="1" ht="24">
      <c r="A115" s="3226">
        <v>43</v>
      </c>
      <c r="B115" s="3703"/>
      <c r="C115" s="3226" t="s">
        <v>3117</v>
      </c>
      <c r="D115" s="3206" t="s">
        <v>3118</v>
      </c>
      <c r="E115" s="3227">
        <v>0.1</v>
      </c>
      <c r="F115" s="3226">
        <v>15</v>
      </c>
    </row>
    <row r="116" spans="1:6" s="801" customFormat="1" ht="24">
      <c r="A116" s="3226">
        <v>44</v>
      </c>
      <c r="B116" s="3698" t="s">
        <v>3119</v>
      </c>
      <c r="C116" s="3226" t="s">
        <v>3120</v>
      </c>
      <c r="D116" s="3206" t="s">
        <v>3121</v>
      </c>
      <c r="E116" s="3227">
        <v>0.1</v>
      </c>
      <c r="F116" s="3226">
        <v>15</v>
      </c>
    </row>
    <row r="117" spans="1:6" s="801" customFormat="1" ht="24">
      <c r="A117" s="3226">
        <v>45</v>
      </c>
      <c r="B117" s="3702"/>
      <c r="C117" s="3206" t="s">
        <v>3122</v>
      </c>
      <c r="D117" s="3206" t="s">
        <v>3123</v>
      </c>
      <c r="E117" s="3227">
        <v>0.1</v>
      </c>
      <c r="F117" s="3226">
        <v>15</v>
      </c>
    </row>
    <row r="118" spans="1:6" s="801" customFormat="1" ht="24">
      <c r="A118" s="3226">
        <v>46</v>
      </c>
      <c r="B118" s="3698" t="s">
        <v>3124</v>
      </c>
      <c r="C118" s="3226" t="s">
        <v>3125</v>
      </c>
      <c r="D118" s="3206" t="s">
        <v>3126</v>
      </c>
      <c r="E118" s="3227">
        <v>0.1</v>
      </c>
      <c r="F118" s="3226">
        <v>15</v>
      </c>
    </row>
    <row r="119" spans="1:6" s="801" customFormat="1" ht="24">
      <c r="A119" s="3226">
        <v>47</v>
      </c>
      <c r="B119" s="3702"/>
      <c r="C119" s="3226" t="s">
        <v>3127</v>
      </c>
      <c r="D119" s="3206" t="s">
        <v>3128</v>
      </c>
      <c r="E119" s="3227">
        <v>0.1</v>
      </c>
      <c r="F119" s="3226">
        <v>15</v>
      </c>
    </row>
    <row r="120" spans="1:6" s="801" customFormat="1" ht="24">
      <c r="A120" s="3226">
        <v>48</v>
      </c>
      <c r="B120" s="3698" t="s">
        <v>3129</v>
      </c>
      <c r="C120" s="3226" t="s">
        <v>3130</v>
      </c>
      <c r="D120" s="3206" t="s">
        <v>3131</v>
      </c>
      <c r="E120" s="3227">
        <v>0.1</v>
      </c>
      <c r="F120" s="3226">
        <v>15</v>
      </c>
    </row>
    <row r="121" spans="1:6" s="801" customFormat="1" ht="13.5">
      <c r="A121" s="3226">
        <v>49</v>
      </c>
      <c r="B121" s="3702"/>
      <c r="C121" s="3226" t="s">
        <v>3132</v>
      </c>
      <c r="D121" s="3206" t="s">
        <v>3133</v>
      </c>
      <c r="E121" s="3227">
        <v>0.1</v>
      </c>
      <c r="F121" s="3226">
        <v>15</v>
      </c>
    </row>
    <row r="122" spans="1:6" s="801" customFormat="1" ht="24">
      <c r="A122" s="3226">
        <v>50</v>
      </c>
      <c r="B122" s="3703" t="s">
        <v>3134</v>
      </c>
      <c r="C122" s="3226" t="s">
        <v>3135</v>
      </c>
      <c r="D122" s="3206" t="s">
        <v>3136</v>
      </c>
      <c r="E122" s="3227">
        <v>0.1</v>
      </c>
      <c r="F122" s="3226">
        <v>15</v>
      </c>
    </row>
    <row r="123" spans="1:6" s="801" customFormat="1" ht="24">
      <c r="A123" s="3226">
        <v>51</v>
      </c>
      <c r="B123" s="3703"/>
      <c r="C123" s="3226" t="s">
        <v>3137</v>
      </c>
      <c r="D123" s="3206" t="s">
        <v>3138</v>
      </c>
      <c r="E123" s="3227">
        <v>0.1</v>
      </c>
      <c r="F123" s="3226">
        <v>15</v>
      </c>
    </row>
    <row r="124" spans="1:6" s="801" customFormat="1" ht="24">
      <c r="A124" s="3226">
        <v>52</v>
      </c>
      <c r="B124" s="3703" t="s">
        <v>3139</v>
      </c>
      <c r="C124" s="3226" t="s">
        <v>3140</v>
      </c>
      <c r="D124" s="3206" t="s">
        <v>3141</v>
      </c>
      <c r="E124" s="3227">
        <v>0.1</v>
      </c>
      <c r="F124" s="3226">
        <v>15</v>
      </c>
    </row>
    <row r="125" spans="1:6" s="801" customFormat="1" ht="24">
      <c r="A125" s="3226">
        <v>53</v>
      </c>
      <c r="B125" s="3703"/>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703" t="s">
        <v>3147</v>
      </c>
      <c r="C127" s="3226" t="s">
        <v>3148</v>
      </c>
      <c r="D127" s="3206" t="s">
        <v>3149</v>
      </c>
      <c r="E127" s="3227">
        <v>0.1</v>
      </c>
      <c r="F127" s="3226">
        <v>15</v>
      </c>
    </row>
    <row r="128" spans="1:6" ht="13.5">
      <c r="A128" s="3226">
        <v>56</v>
      </c>
      <c r="B128" s="3703"/>
      <c r="C128" s="3226" t="s">
        <v>3150</v>
      </c>
      <c r="D128" s="3206" t="s">
        <v>3151</v>
      </c>
      <c r="E128" s="3227">
        <v>0.1</v>
      </c>
      <c r="F128" s="3226">
        <v>15</v>
      </c>
    </row>
    <row r="129" spans="1:6" ht="24">
      <c r="A129" s="3226">
        <v>57</v>
      </c>
      <c r="B129" s="3703"/>
      <c r="C129" s="3226" t="s">
        <v>3152</v>
      </c>
      <c r="D129" s="3206" t="s">
        <v>3153</v>
      </c>
      <c r="E129" s="3227">
        <v>0.1</v>
      </c>
      <c r="F129" s="3226">
        <v>15</v>
      </c>
    </row>
    <row r="130" spans="1:6" ht="24">
      <c r="A130" s="3226">
        <v>58</v>
      </c>
      <c r="B130" s="3703" t="s">
        <v>3154</v>
      </c>
      <c r="C130" s="3226" t="s">
        <v>3155</v>
      </c>
      <c r="D130" s="3206" t="s">
        <v>3156</v>
      </c>
      <c r="E130" s="3227">
        <v>0.1</v>
      </c>
      <c r="F130" s="3226">
        <v>15</v>
      </c>
    </row>
    <row r="131" spans="1:6" ht="24">
      <c r="A131" s="3226">
        <v>59</v>
      </c>
      <c r="B131" s="3703"/>
      <c r="C131" s="3226" t="s">
        <v>3157</v>
      </c>
      <c r="D131" s="3206" t="s">
        <v>3158</v>
      </c>
      <c r="E131" s="3227">
        <v>0.1</v>
      </c>
      <c r="F131" s="3226">
        <v>15</v>
      </c>
    </row>
    <row r="132" spans="1:6" ht="24">
      <c r="A132" s="3226">
        <v>60</v>
      </c>
      <c r="B132" s="3698" t="s">
        <v>3159</v>
      </c>
      <c r="C132" s="3226" t="s">
        <v>3160</v>
      </c>
      <c r="D132" s="3206" t="s">
        <v>3161</v>
      </c>
      <c r="E132" s="3227">
        <v>0.1</v>
      </c>
      <c r="F132" s="3226">
        <v>15</v>
      </c>
    </row>
    <row r="133" spans="1:6" ht="24">
      <c r="A133" s="3226">
        <v>61</v>
      </c>
      <c r="B133" s="3702"/>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703" t="s">
        <v>3167</v>
      </c>
      <c r="C135" s="3226" t="s">
        <v>3168</v>
      </c>
      <c r="D135" s="3206" t="s">
        <v>3169</v>
      </c>
      <c r="E135" s="3227">
        <v>0.1</v>
      </c>
      <c r="F135" s="3226">
        <v>15</v>
      </c>
    </row>
    <row r="136" spans="1:6" ht="13.5">
      <c r="A136" s="3226">
        <v>64</v>
      </c>
      <c r="B136" s="3703"/>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709" t="s">
        <v>877</v>
      </c>
      <c r="C1" s="3709"/>
      <c r="D1" s="3709"/>
      <c r="E1" s="3709"/>
      <c r="F1" s="3709"/>
      <c r="G1" s="3705" t="s">
        <v>878</v>
      </c>
      <c r="H1" s="3705"/>
      <c r="I1" s="3705"/>
      <c r="J1" s="3705"/>
      <c r="K1" s="3705"/>
      <c r="L1" s="3705"/>
      <c r="N1" s="3705" t="s">
        <v>879</v>
      </c>
      <c r="O1" s="3705"/>
      <c r="P1" s="3705"/>
      <c r="Q1" s="3705"/>
      <c r="S1" s="3705" t="s">
        <v>880</v>
      </c>
      <c r="T1" s="3705"/>
      <c r="U1" s="3705"/>
      <c r="V1" s="3705"/>
      <c r="X1" s="3704" t="s">
        <v>881</v>
      </c>
      <c r="Y1" s="3705"/>
      <c r="Z1" s="3705"/>
      <c r="AA1" s="3705"/>
      <c r="AB1" s="3705"/>
      <c r="AD1" s="3704" t="s">
        <v>882</v>
      </c>
      <c r="AE1" s="3705"/>
      <c r="AF1" s="3705"/>
      <c r="AG1" s="3705"/>
      <c r="AH1" s="370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70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70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70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71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71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70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70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71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71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70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70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70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70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70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70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70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70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70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70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70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71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71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71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71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70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70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70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70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70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70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70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70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70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70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70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70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70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70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70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70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70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70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70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70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70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70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70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70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70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70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70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70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70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70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70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70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70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70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70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70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70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70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70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70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70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70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70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70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8">
      <c r="A3" s="3367" t="str">
        <f>IF(项目基本情况!B9="房地产市场价值","估价结果一览表（市场价值不需“结果表-1”）","估价结果一览表")</f>
        <v>估价结果一览表</v>
      </c>
      <c r="B3" s="3367"/>
      <c r="C3" s="3367"/>
      <c r="D3" s="3367"/>
      <c r="E3" s="3367"/>
    </row>
    <row r="4" spans="1:5" ht="19.5" thickBot="1">
      <c r="A4" s="1629"/>
      <c r="B4" s="3365" t="s">
        <v>1354</v>
      </c>
      <c r="C4" s="3365"/>
      <c r="D4" s="3365"/>
      <c r="E4" s="1629"/>
    </row>
    <row r="5" spans="1:5" ht="16.5" thickTop="1">
      <c r="A5" s="1627"/>
      <c r="B5" s="3363" t="s">
        <v>1346</v>
      </c>
      <c r="C5" s="1630" t="s">
        <v>1347</v>
      </c>
      <c r="D5" s="940">
        <f ca="1">结果表!H101</f>
        <v>122733</v>
      </c>
      <c r="E5" s="1627"/>
    </row>
    <row r="6" spans="1:5" ht="15.75">
      <c r="A6" s="1627"/>
      <c r="B6" s="3363"/>
      <c r="C6" s="1630" t="s">
        <v>1348</v>
      </c>
      <c r="D6" s="940" t="str">
        <f ca="1">NUMBERSTRING(INT(D5*10000),2)&amp;"元整"</f>
        <v>壹拾贰亿贰仟柒佰叁拾叁万元整</v>
      </c>
      <c r="E6" s="1627"/>
    </row>
    <row r="7" spans="1:5" ht="15.75">
      <c r="A7" s="1627"/>
      <c r="B7" s="3368"/>
      <c r="C7" s="1631" t="s">
        <v>1349</v>
      </c>
      <c r="D7" s="941">
        <f ca="1">结果表!H102</f>
        <v>35617</v>
      </c>
      <c r="E7" s="1627"/>
    </row>
    <row r="8" spans="1:5" ht="15.75">
      <c r="A8" s="1627"/>
      <c r="B8" s="3369" t="str">
        <f>结果表!E103</f>
        <v>2.估价师知悉的法定优先受偿款</v>
      </c>
      <c r="C8" s="1632" t="s">
        <v>1350</v>
      </c>
      <c r="D8" s="941">
        <f>结果表!H103</f>
        <v>0</v>
      </c>
      <c r="E8" s="1627"/>
    </row>
    <row r="9" spans="1:5" ht="15.75">
      <c r="A9" s="1627"/>
      <c r="B9" s="337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362" t="str">
        <f>结果表!E107</f>
        <v>3.房地产抵押价值</v>
      </c>
      <c r="C13" s="1635" t="s">
        <v>1347</v>
      </c>
      <c r="D13" s="943">
        <f ca="1">结果表!H107</f>
        <v>122733</v>
      </c>
      <c r="E13" s="1627"/>
    </row>
    <row r="14" spans="1:5" ht="15.75">
      <c r="A14" s="1627"/>
      <c r="B14" s="3363"/>
      <c r="C14" s="1630" t="s">
        <v>1348</v>
      </c>
      <c r="D14" s="940" t="str">
        <f ca="1">NUMBERSTRING(INT(D13*10000),2)&amp;"元整"</f>
        <v>壹拾贰亿贰仟柒佰叁拾叁万元整</v>
      </c>
      <c r="E14" s="1627"/>
    </row>
    <row r="15" spans="1:5" ht="15">
      <c r="A15" s="1627"/>
      <c r="B15" s="3368"/>
      <c r="C15" s="1631" t="s">
        <v>1358</v>
      </c>
      <c r="D15" s="949">
        <f ca="1">结果表!H108</f>
        <v>35617</v>
      </c>
      <c r="E15" s="1627"/>
    </row>
    <row r="16" spans="1:5" ht="15">
      <c r="A16" s="1627"/>
      <c r="B16" s="3369" t="str">
        <f>结果表!E109</f>
        <v>——</v>
      </c>
      <c r="C16" s="1635" t="s">
        <v>1359</v>
      </c>
      <c r="D16" s="1636" t="str">
        <f>结果表!H109</f>
        <v>——</v>
      </c>
      <c r="E16" s="1627"/>
    </row>
    <row r="17" spans="1:5" ht="15.75">
      <c r="A17" s="1627"/>
      <c r="B17" s="3370"/>
      <c r="C17" s="1630" t="s">
        <v>1360</v>
      </c>
      <c r="D17" s="940" t="e">
        <f>NUMBERSTRING(INT(D16*10000),2)&amp;"元整"</f>
        <v>#VALUE!</v>
      </c>
      <c r="E17" s="1627"/>
    </row>
    <row r="18" spans="1:5" ht="15">
      <c r="A18" s="1627"/>
      <c r="B18" s="3371"/>
      <c r="C18" s="1631" t="s">
        <v>1349</v>
      </c>
      <c r="D18" s="949" t="str">
        <f>结果表!H110</f>
        <v>——</v>
      </c>
      <c r="E18" s="1627"/>
    </row>
    <row r="19" spans="1:5" ht="15.75">
      <c r="A19" s="1627"/>
      <c r="B19" s="3362" t="str">
        <f>结果表!E111</f>
        <v>——</v>
      </c>
      <c r="C19" s="1635" t="s">
        <v>1347</v>
      </c>
      <c r="D19" s="941" t="str">
        <f>结果表!H111</f>
        <v>——</v>
      </c>
      <c r="E19" s="1627"/>
    </row>
    <row r="20" spans="1:5" ht="15.75">
      <c r="A20" s="1627"/>
      <c r="B20" s="3363"/>
      <c r="C20" s="1630" t="s">
        <v>1360</v>
      </c>
      <c r="D20" s="940" t="e">
        <f>NUMBERSTRING(INT(D19*10000),2)&amp;"元整"</f>
        <v>#VALUE!</v>
      </c>
      <c r="E20" s="1627"/>
    </row>
    <row r="21" spans="1:5" ht="15.75" thickBot="1">
      <c r="A21" s="1627"/>
      <c r="B21" s="336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718" t="s">
        <v>2584</v>
      </c>
      <c r="D1" s="3719"/>
      <c r="E1" s="3719"/>
      <c r="F1" s="3719"/>
      <c r="G1" s="3719"/>
      <c r="H1" s="3719"/>
      <c r="I1" s="3719"/>
      <c r="J1" s="3719"/>
      <c r="K1" s="3719"/>
      <c r="L1" s="3719"/>
      <c r="M1" s="3719"/>
      <c r="N1" s="3719"/>
      <c r="O1" s="3719"/>
      <c r="P1" s="3719"/>
      <c r="Q1" s="3719"/>
      <c r="R1" s="3719"/>
      <c r="S1" s="3720"/>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715" t="s">
        <v>33</v>
      </c>
      <c r="D22" s="3716"/>
      <c r="E22" s="3716"/>
      <c r="F22" s="3716"/>
      <c r="G22" s="3716"/>
      <c r="H22" s="3716"/>
      <c r="I22" s="3716"/>
      <c r="J22" s="3716"/>
      <c r="K22" s="3716"/>
      <c r="L22" s="3716"/>
      <c r="M22" s="3716"/>
      <c r="N22" s="3716"/>
      <c r="O22" s="3716"/>
      <c r="P22" s="3716"/>
      <c r="Q22" s="3717"/>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47471</v>
      </c>
      <c r="C2" s="2" t="s">
        <v>133</v>
      </c>
      <c r="D2" s="205"/>
      <c r="E2" s="205"/>
      <c r="F2" s="205"/>
      <c r="G2" s="205"/>
    </row>
    <row r="3" spans="1:7" s="206" customFormat="1" ht="18" customHeight="1" thickBot="1">
      <c r="A3" s="209" t="s">
        <v>85</v>
      </c>
      <c r="B3" s="210">
        <f ca="1">ROUND(B2*10000/'数据-汇总表'!E3,0)</f>
        <v>13776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689</v>
      </c>
      <c r="D10" s="935">
        <f>'数据-汇总表'!E6</f>
        <v>34459.17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689</v>
      </c>
      <c r="D19" s="939">
        <f>'数据-汇总表'!E3</f>
        <v>34459.17</v>
      </c>
      <c r="E19" s="217">
        <f>'数据-取费表'!B31</f>
        <v>200</v>
      </c>
      <c r="F19" s="237"/>
      <c r="G19" s="1" t="s">
        <v>861</v>
      </c>
    </row>
    <row r="20" spans="1:7" s="220" customFormat="1" ht="13.5" customHeight="1">
      <c r="A20" s="866" t="s">
        <v>844</v>
      </c>
      <c r="B20" s="216" t="s">
        <v>104</v>
      </c>
      <c r="C20" s="238">
        <f>ROUND((C5+C19)*F20,0)</f>
        <v>426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1845</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5431</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5431</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31493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13292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12060</v>
      </c>
      <c r="D34" s="223"/>
      <c r="E34" s="226"/>
      <c r="F34" s="263">
        <f>IF('数据-取费表'!B24=0,1,'数据-取费表'!N16)</f>
        <v>1</v>
      </c>
      <c r="G34" s="225" t="s">
        <v>116</v>
      </c>
    </row>
    <row r="35" spans="1:7" ht="13.5" customHeight="1">
      <c r="A35" s="869" t="s">
        <v>615</v>
      </c>
      <c r="B35" s="221" t="s">
        <v>60</v>
      </c>
      <c r="C35" s="226">
        <f>ROUND(C34*F35,0)</f>
        <v>362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689</v>
      </c>
      <c r="D37" s="223">
        <f>'数据-汇总表'!E3</f>
        <v>34459.17</v>
      </c>
      <c r="E37" s="255">
        <f>'数据-取费表'!B35</f>
        <v>200</v>
      </c>
      <c r="F37" s="265"/>
      <c r="G37" s="267" t="s">
        <v>119</v>
      </c>
    </row>
    <row r="38" spans="1:7" ht="13.5" customHeight="1">
      <c r="A38" s="869" t="s">
        <v>618</v>
      </c>
      <c r="B38" s="221" t="s">
        <v>63</v>
      </c>
      <c r="C38" s="226">
        <f>ROUND(C34*F38,0)</f>
        <v>181</v>
      </c>
      <c r="D38" s="226"/>
      <c r="E38" s="226"/>
      <c r="F38" s="265">
        <f>'数据-取费表'!B36</f>
        <v>1.4999999999999999E-2</v>
      </c>
      <c r="G38" s="225" t="s">
        <v>117</v>
      </c>
    </row>
    <row r="39" spans="1:7" s="220" customFormat="1" ht="13.5" customHeight="1">
      <c r="A39" s="866" t="s">
        <v>602</v>
      </c>
      <c r="B39" s="216" t="s">
        <v>104</v>
      </c>
      <c r="C39" s="238">
        <f>ROUND(C33*F20,0)</f>
        <v>266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569</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558</v>
      </c>
      <c r="D42" s="244"/>
      <c r="E42" s="244"/>
      <c r="F42" s="245"/>
      <c r="G42" s="3567" t="s">
        <v>121</v>
      </c>
    </row>
    <row r="43" spans="1:7" ht="13.5" customHeight="1">
      <c r="A43" s="869" t="s">
        <v>611</v>
      </c>
      <c r="B43" s="221" t="s">
        <v>851</v>
      </c>
      <c r="C43" s="244">
        <f ca="1">ROUND(IF('数据-取费表'!B22&lt;=1,C39*F22*'数据-取费表'!B21/2,C39*(POWER((1+F22),'数据-取费表'!B21/2)-1)),0)</f>
        <v>11</v>
      </c>
      <c r="D43" s="244"/>
      <c r="E43" s="244"/>
      <c r="F43" s="245"/>
      <c r="G43" s="3568"/>
    </row>
    <row r="44" spans="1:7" ht="13.5" customHeight="1">
      <c r="A44" s="869" t="s">
        <v>612</v>
      </c>
      <c r="B44" s="221" t="s">
        <v>853</v>
      </c>
      <c r="C44" s="244">
        <f ca="1">ROUND(IF('数据-取费表'!B22&lt;=1,C40*F22*'数据-取费表'!B21/2,C40*(POWER((1+F22),'数据-取费表'!B21/2)-1)),4)</f>
        <v>8.0000000000000004E-4</v>
      </c>
      <c r="D44" s="244"/>
      <c r="E44" s="244"/>
      <c r="F44" s="245"/>
      <c r="G44" s="3569"/>
    </row>
    <row r="45" spans="1:7" s="220" customFormat="1" ht="13.5" customHeight="1">
      <c r="A45" s="866" t="s">
        <v>605</v>
      </c>
      <c r="B45" s="250" t="s">
        <v>112</v>
      </c>
      <c r="C45" s="251">
        <f>C46</f>
        <v>3390</v>
      </c>
      <c r="D45" s="241">
        <f>C47</f>
        <v>5.0000000000000001E-3</v>
      </c>
      <c r="E45" s="242" t="s">
        <v>129</v>
      </c>
      <c r="F45" s="252"/>
      <c r="G45" s="253" t="s">
        <v>859</v>
      </c>
    </row>
    <row r="46" spans="1:7" s="220" customFormat="1" ht="13.5" customHeight="1">
      <c r="A46" s="869" t="s">
        <v>613</v>
      </c>
      <c r="B46" s="254" t="s">
        <v>852</v>
      </c>
      <c r="C46" s="255">
        <f>ROUND((C33+C39)*F27,0)</f>
        <v>3390</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19022</v>
      </c>
      <c r="D49" s="238"/>
      <c r="E49" s="238"/>
      <c r="F49" s="270"/>
      <c r="G49" s="240" t="s">
        <v>860</v>
      </c>
    </row>
    <row r="50" spans="1:7" s="264" customFormat="1" ht="24">
      <c r="A50" s="866" t="s">
        <v>608</v>
      </c>
      <c r="B50" s="216" t="s">
        <v>124</v>
      </c>
      <c r="C50" s="238"/>
      <c r="D50" s="238"/>
      <c r="E50" s="238"/>
      <c r="F50" s="270">
        <f>IF('数据-取费表'!B24=0,'数据-取费表'!N16,1)</f>
        <v>0.84</v>
      </c>
      <c r="G50" s="253" t="s">
        <v>125</v>
      </c>
    </row>
    <row r="51" spans="1:7" ht="16.5" customHeight="1">
      <c r="A51" s="866" t="s">
        <v>609</v>
      </c>
      <c r="B51" s="216" t="s">
        <v>132</v>
      </c>
      <c r="C51" s="238">
        <f ca="1">ROUND(C49*F50,0)</f>
        <v>15978</v>
      </c>
      <c r="D51" s="238"/>
      <c r="E51" s="238"/>
      <c r="F51" s="270"/>
      <c r="G51" s="240" t="s">
        <v>64</v>
      </c>
    </row>
    <row r="52" spans="1:7" s="214" customFormat="1" ht="16.5" thickBot="1">
      <c r="A52" s="271" t="s">
        <v>65</v>
      </c>
      <c r="B52" s="272"/>
      <c r="C52" s="273">
        <f ca="1">C31+C51</f>
        <v>47471</v>
      </c>
      <c r="D52" s="272"/>
      <c r="E52" s="272"/>
      <c r="F52" s="272"/>
      <c r="G52" s="274"/>
    </row>
    <row r="55" spans="1:7" ht="15">
      <c r="B55" s="276" t="s">
        <v>66</v>
      </c>
      <c r="C55" s="277"/>
    </row>
    <row r="56" spans="1:7">
      <c r="B56" s="279" t="s">
        <v>67</v>
      </c>
      <c r="C56" s="280">
        <f ca="1">ROUND(C51/C52,3)</f>
        <v>0.33700000000000002</v>
      </c>
    </row>
    <row r="57" spans="1:7">
      <c r="B57" s="279" t="s">
        <v>68</v>
      </c>
      <c r="C57" s="281">
        <f ca="1">1-C56</f>
        <v>0.66300000000000003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721" t="s">
        <v>156</v>
      </c>
      <c r="B1" s="3721"/>
      <c r="C1" s="3721"/>
      <c r="D1" s="3721"/>
      <c r="E1" s="3721"/>
      <c r="F1" s="372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722" t="s">
        <v>169</v>
      </c>
      <c r="B2" s="3722"/>
      <c r="C2" s="3722"/>
      <c r="D2" s="3722"/>
      <c r="E2" s="3722"/>
      <c r="F2" s="372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72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72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721" t="s">
        <v>658</v>
      </c>
      <c r="B1" s="372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13" sqref="F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44783</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0"/>
  <sheetViews>
    <sheetView workbookViewId="0">
      <selection activeCell="C39" sqref="C39"/>
    </sheetView>
  </sheetViews>
  <sheetFormatPr defaultRowHeight="13.5"/>
  <sheetData>
    <row r="3" spans="1:3">
      <c r="B3" s="3233" t="s">
        <v>3185</v>
      </c>
      <c r="C3" s="3233" t="s">
        <v>3186</v>
      </c>
    </row>
    <row r="4" spans="1:3">
      <c r="A4" s="3233" t="s">
        <v>3182</v>
      </c>
      <c r="B4">
        <v>90</v>
      </c>
      <c r="C4">
        <v>7.22</v>
      </c>
    </row>
    <row r="5" spans="1:3">
      <c r="B5">
        <v>656.68</v>
      </c>
      <c r="C5">
        <v>7.3</v>
      </c>
    </row>
    <row r="6" spans="1:3">
      <c r="B6">
        <v>3245</v>
      </c>
      <c r="C6">
        <v>6.03</v>
      </c>
    </row>
    <row r="7" spans="1:3">
      <c r="B7">
        <v>360</v>
      </c>
      <c r="C7">
        <v>7.87</v>
      </c>
    </row>
    <row r="8" spans="1:3">
      <c r="B8">
        <v>308</v>
      </c>
      <c r="C8">
        <v>7.3</v>
      </c>
    </row>
    <row r="9" spans="1:3">
      <c r="A9" s="3233" t="s">
        <v>3183</v>
      </c>
      <c r="B9">
        <v>240</v>
      </c>
      <c r="C9">
        <v>9</v>
      </c>
    </row>
    <row r="10" spans="1:3">
      <c r="B10">
        <v>162</v>
      </c>
      <c r="C10">
        <v>11.93</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5"/>
  <sheetViews>
    <sheetView zoomScaleNormal="100" workbookViewId="0">
      <selection activeCell="J50" sqref="J50"/>
    </sheetView>
  </sheetViews>
  <sheetFormatPr defaultColWidth="9" defaultRowHeight="12"/>
  <cols>
    <col min="1" max="1" width="5" style="3283" customWidth="1"/>
    <col min="2" max="2" width="9" style="3283"/>
    <col min="3" max="3" width="10.625" style="3283" customWidth="1"/>
    <col min="4" max="4" width="30.375" style="3287" customWidth="1"/>
    <col min="5" max="5" width="30.75" style="3283" customWidth="1"/>
    <col min="6" max="7" width="13.375" style="3283" customWidth="1"/>
    <col min="8" max="8" width="13.25" style="3283" customWidth="1"/>
    <col min="9" max="9" width="16.625" style="3283" customWidth="1"/>
    <col min="10" max="10" width="14.25" style="3283" customWidth="1"/>
    <col min="11" max="11" width="11.5" style="3283" customWidth="1"/>
    <col min="12" max="12" width="10.625" style="3288" customWidth="1"/>
    <col min="13" max="13" width="17.625" style="3288" customWidth="1"/>
    <col min="14" max="14" width="12.125" style="3283" customWidth="1"/>
    <col min="15" max="15" width="7.75" style="3283" customWidth="1"/>
    <col min="16" max="16" width="6.875" style="3283" hidden="1" customWidth="1"/>
    <col min="17" max="18" width="0" style="3283" hidden="1" customWidth="1"/>
    <col min="19" max="16384" width="9" style="3283"/>
  </cols>
  <sheetData>
    <row r="1" spans="1:18" s="3264" customFormat="1" ht="24">
      <c r="A1" s="3257" t="s">
        <v>3318</v>
      </c>
      <c r="B1" s="3258" t="s">
        <v>3319</v>
      </c>
      <c r="C1" s="3259" t="s">
        <v>3320</v>
      </c>
      <c r="D1" s="3258" t="s">
        <v>3321</v>
      </c>
      <c r="E1" s="3258" t="s">
        <v>3322</v>
      </c>
      <c r="F1" s="3260" t="s">
        <v>3323</v>
      </c>
      <c r="G1" s="3261" t="s">
        <v>3184</v>
      </c>
      <c r="H1" s="3261" t="s">
        <v>3324</v>
      </c>
      <c r="I1" s="3261" t="s">
        <v>3325</v>
      </c>
      <c r="J1" s="3260" t="s">
        <v>3326</v>
      </c>
      <c r="K1" s="3260" t="s">
        <v>3327</v>
      </c>
      <c r="L1" s="3262" t="s">
        <v>3328</v>
      </c>
      <c r="M1" s="3263" t="s">
        <v>3329</v>
      </c>
      <c r="N1" s="3257" t="s">
        <v>3330</v>
      </c>
      <c r="O1" s="3264" t="s">
        <v>3331</v>
      </c>
      <c r="P1" s="3264" t="s">
        <v>3332</v>
      </c>
      <c r="Q1" s="3264" t="s">
        <v>3333</v>
      </c>
      <c r="R1" s="3264" t="s">
        <v>3334</v>
      </c>
    </row>
    <row r="2" spans="1:18">
      <c r="A2" s="3282">
        <v>1</v>
      </c>
      <c r="B2" s="3265">
        <v>6</v>
      </c>
      <c r="C2" s="3259" t="s">
        <v>3335</v>
      </c>
      <c r="D2" s="3266" t="s">
        <v>3336</v>
      </c>
      <c r="E2" s="3266" t="s">
        <v>3337</v>
      </c>
      <c r="F2" s="3267">
        <v>43585</v>
      </c>
      <c r="G2" s="3268">
        <v>176.94197473093121</v>
      </c>
      <c r="H2" s="3269">
        <v>151.25</v>
      </c>
      <c r="I2" s="3269">
        <v>1698696.32</v>
      </c>
      <c r="J2" s="3267">
        <v>43640</v>
      </c>
      <c r="K2" s="3267">
        <v>44735</v>
      </c>
      <c r="L2" s="3270">
        <v>3</v>
      </c>
      <c r="M2" s="3271">
        <f t="shared" ref="M2:M44" si="0">I2/L2</f>
        <v>566232.10666666669</v>
      </c>
      <c r="N2" s="3282" t="s">
        <v>3338</v>
      </c>
      <c r="O2" s="3283">
        <f>ROUND(M2/365/G2,2)</f>
        <v>8.77</v>
      </c>
    </row>
    <row r="3" spans="1:18">
      <c r="A3" s="3282">
        <v>2</v>
      </c>
      <c r="B3" s="3265">
        <v>6</v>
      </c>
      <c r="C3" s="3259" t="s">
        <v>3339</v>
      </c>
      <c r="D3" s="3266" t="s">
        <v>3340</v>
      </c>
      <c r="E3" s="3266" t="s">
        <v>3341</v>
      </c>
      <c r="F3" s="3267">
        <v>43584</v>
      </c>
      <c r="G3" s="3268">
        <v>383.30603649976598</v>
      </c>
      <c r="H3" s="3269">
        <v>327.64999999999998</v>
      </c>
      <c r="I3" s="3269">
        <v>3475350.8</v>
      </c>
      <c r="J3" s="3267">
        <v>43647</v>
      </c>
      <c r="K3" s="3267">
        <v>44742</v>
      </c>
      <c r="L3" s="3270">
        <v>3</v>
      </c>
      <c r="M3" s="3271">
        <f t="shared" si="0"/>
        <v>1158450.2666666666</v>
      </c>
      <c r="N3" s="3282" t="s">
        <v>3338</v>
      </c>
      <c r="O3" s="3283">
        <f t="shared" ref="O3:O44" si="1">ROUND(M3/365/G3,2)</f>
        <v>8.2799999999999994</v>
      </c>
    </row>
    <row r="4" spans="1:18">
      <c r="A4" s="3282">
        <v>3</v>
      </c>
      <c r="B4" s="3265">
        <v>6</v>
      </c>
      <c r="C4" s="3259" t="s">
        <v>3342</v>
      </c>
      <c r="D4" s="3266" t="s">
        <v>3341</v>
      </c>
      <c r="E4" s="3266" t="s">
        <v>3341</v>
      </c>
      <c r="F4" s="3267">
        <v>43584</v>
      </c>
      <c r="G4" s="3268">
        <v>300.42115114646703</v>
      </c>
      <c r="H4" s="3269">
        <v>256.8</v>
      </c>
      <c r="I4" s="3269">
        <v>2723851.92</v>
      </c>
      <c r="J4" s="3267">
        <v>43647</v>
      </c>
      <c r="K4" s="3267">
        <v>44742</v>
      </c>
      <c r="L4" s="3270">
        <v>3</v>
      </c>
      <c r="M4" s="3271">
        <f t="shared" si="0"/>
        <v>907950.64</v>
      </c>
      <c r="N4" s="3282" t="s">
        <v>3343</v>
      </c>
      <c r="O4" s="3283">
        <f t="shared" si="1"/>
        <v>8.2799999999999994</v>
      </c>
    </row>
    <row r="5" spans="1:18">
      <c r="A5" s="3282">
        <v>4</v>
      </c>
      <c r="B5" s="3265">
        <v>6</v>
      </c>
      <c r="C5" s="3259" t="s">
        <v>3344</v>
      </c>
      <c r="D5" s="3266" t="s">
        <v>3341</v>
      </c>
      <c r="E5" s="3266" t="s">
        <v>3345</v>
      </c>
      <c r="F5" s="3267">
        <v>43586</v>
      </c>
      <c r="G5" s="3269">
        <v>95.975666822648577</v>
      </c>
      <c r="H5" s="3269">
        <v>82.04</v>
      </c>
      <c r="I5" s="3269">
        <v>870190.08000000007</v>
      </c>
      <c r="J5" s="3267">
        <v>43647</v>
      </c>
      <c r="K5" s="3267">
        <v>44742</v>
      </c>
      <c r="L5" s="3270">
        <v>3</v>
      </c>
      <c r="M5" s="3271">
        <f t="shared" si="0"/>
        <v>290063.36000000004</v>
      </c>
      <c r="N5" s="3282" t="s">
        <v>3343</v>
      </c>
      <c r="O5" s="3283">
        <f t="shared" si="1"/>
        <v>8.2799999999999994</v>
      </c>
    </row>
    <row r="6" spans="1:18">
      <c r="A6" s="3282">
        <v>5</v>
      </c>
      <c r="B6" s="3265">
        <v>6</v>
      </c>
      <c r="C6" s="3259" t="s">
        <v>3346</v>
      </c>
      <c r="D6" s="3266" t="s">
        <v>3347</v>
      </c>
      <c r="E6" s="3266" t="s">
        <v>3347</v>
      </c>
      <c r="F6" s="3267">
        <v>43639</v>
      </c>
      <c r="G6" s="3269">
        <v>360.49368273280294</v>
      </c>
      <c r="H6" s="3269">
        <v>308.14999999999998</v>
      </c>
      <c r="I6" s="3269">
        <v>3212278.88</v>
      </c>
      <c r="J6" s="3267">
        <v>43693</v>
      </c>
      <c r="K6" s="3267">
        <v>44788</v>
      </c>
      <c r="L6" s="3270">
        <v>3</v>
      </c>
      <c r="M6" s="3271">
        <f t="shared" si="0"/>
        <v>1070759.6266666667</v>
      </c>
      <c r="N6" s="3282"/>
      <c r="O6" s="3283">
        <f t="shared" si="1"/>
        <v>8.14</v>
      </c>
    </row>
    <row r="7" spans="1:18">
      <c r="A7" s="3282">
        <v>6</v>
      </c>
      <c r="B7" s="3265">
        <v>6</v>
      </c>
      <c r="C7" s="3259" t="s">
        <v>3348</v>
      </c>
      <c r="D7" s="3266" t="s">
        <v>3349</v>
      </c>
      <c r="E7" s="3266" t="s">
        <v>3350</v>
      </c>
      <c r="F7" s="3267">
        <v>43775</v>
      </c>
      <c r="G7" s="3268">
        <v>272.8</v>
      </c>
      <c r="H7" s="3269">
        <v>233.19</v>
      </c>
      <c r="I7" s="3269">
        <v>2459804.7199999997</v>
      </c>
      <c r="J7" s="3267">
        <v>43814</v>
      </c>
      <c r="K7" s="3267">
        <v>44909</v>
      </c>
      <c r="L7" s="3270">
        <v>3</v>
      </c>
      <c r="M7" s="3271">
        <f t="shared" si="0"/>
        <v>819934.90666666662</v>
      </c>
      <c r="N7" s="3282"/>
      <c r="O7" s="3283">
        <f t="shared" si="1"/>
        <v>8.23</v>
      </c>
    </row>
    <row r="8" spans="1:18">
      <c r="A8" s="3282">
        <v>7</v>
      </c>
      <c r="B8" s="3265">
        <v>6</v>
      </c>
      <c r="C8" s="3259" t="s">
        <v>3351</v>
      </c>
      <c r="D8" s="3266" t="s">
        <v>3349</v>
      </c>
      <c r="E8" s="3266" t="s">
        <v>3352</v>
      </c>
      <c r="F8" s="3267">
        <v>43775</v>
      </c>
      <c r="G8" s="3268">
        <v>325.47000000000003</v>
      </c>
      <c r="H8" s="3269">
        <v>279.20999999999998</v>
      </c>
      <c r="I8" s="3269">
        <v>2934698.16</v>
      </c>
      <c r="J8" s="3267">
        <v>43814</v>
      </c>
      <c r="K8" s="3267">
        <v>44909</v>
      </c>
      <c r="L8" s="3270">
        <v>3</v>
      </c>
      <c r="M8" s="3271">
        <f t="shared" si="0"/>
        <v>978232.72000000009</v>
      </c>
      <c r="N8" s="3282"/>
      <c r="O8" s="3283">
        <f t="shared" si="1"/>
        <v>8.23</v>
      </c>
    </row>
    <row r="9" spans="1:18">
      <c r="A9" s="3282">
        <v>8</v>
      </c>
      <c r="B9" s="3265">
        <v>6</v>
      </c>
      <c r="C9" s="3259" t="s">
        <v>3353</v>
      </c>
      <c r="D9" s="3266" t="s">
        <v>3354</v>
      </c>
      <c r="E9" s="3266" t="s">
        <v>3354</v>
      </c>
      <c r="F9" s="3267">
        <v>43958</v>
      </c>
      <c r="G9" s="3268">
        <v>319.12</v>
      </c>
      <c r="H9" s="3269">
        <v>272.77999999999997</v>
      </c>
      <c r="I9" s="3269">
        <v>2756946.5999999996</v>
      </c>
      <c r="J9" s="3267">
        <v>43936</v>
      </c>
      <c r="K9" s="3267">
        <v>45030</v>
      </c>
      <c r="L9" s="3270">
        <v>3</v>
      </c>
      <c r="M9" s="3271">
        <f t="shared" si="0"/>
        <v>918982.19999999984</v>
      </c>
      <c r="N9" s="3282"/>
      <c r="O9" s="3283">
        <f t="shared" si="1"/>
        <v>7.89</v>
      </c>
    </row>
    <row r="10" spans="1:18">
      <c r="A10" s="3282">
        <v>9</v>
      </c>
      <c r="B10" s="3265">
        <v>6</v>
      </c>
      <c r="C10" s="3259" t="s">
        <v>3355</v>
      </c>
      <c r="D10" s="3266" t="s">
        <v>3354</v>
      </c>
      <c r="E10" s="3266" t="s">
        <v>3354</v>
      </c>
      <c r="F10" s="3267">
        <v>43958</v>
      </c>
      <c r="G10" s="3268">
        <v>130.15</v>
      </c>
      <c r="H10" s="3269">
        <v>111.25</v>
      </c>
      <c r="I10" s="3269">
        <v>1124387.04</v>
      </c>
      <c r="J10" s="3267">
        <v>43936</v>
      </c>
      <c r="K10" s="3267">
        <v>45030</v>
      </c>
      <c r="L10" s="3270">
        <v>3</v>
      </c>
      <c r="M10" s="3271">
        <f t="shared" si="0"/>
        <v>374795.68</v>
      </c>
      <c r="N10" s="3282"/>
      <c r="O10" s="3283">
        <f t="shared" si="1"/>
        <v>7.89</v>
      </c>
    </row>
    <row r="11" spans="1:18">
      <c r="A11" s="3282">
        <v>10</v>
      </c>
      <c r="B11" s="3265">
        <v>6</v>
      </c>
      <c r="C11" s="3259">
        <v>52</v>
      </c>
      <c r="D11" s="3266" t="s">
        <v>3356</v>
      </c>
      <c r="E11" s="3266" t="s">
        <v>3356</v>
      </c>
      <c r="F11" s="3267">
        <v>44026</v>
      </c>
      <c r="G11" s="3268">
        <v>336.29</v>
      </c>
      <c r="H11" s="3269">
        <v>287.45999999999998</v>
      </c>
      <c r="I11" s="3269">
        <v>2943087.36</v>
      </c>
      <c r="J11" s="3267">
        <v>44105</v>
      </c>
      <c r="K11" s="3267">
        <v>45199</v>
      </c>
      <c r="L11" s="3270">
        <v>3</v>
      </c>
      <c r="M11" s="3271">
        <f t="shared" si="0"/>
        <v>981029.12</v>
      </c>
      <c r="N11" s="3282"/>
      <c r="O11" s="3283">
        <f t="shared" si="1"/>
        <v>7.99</v>
      </c>
    </row>
    <row r="12" spans="1:18">
      <c r="A12" s="3282">
        <v>11</v>
      </c>
      <c r="B12" s="3265">
        <v>6</v>
      </c>
      <c r="C12" s="3259" t="s">
        <v>3208</v>
      </c>
      <c r="D12" s="3272" t="s">
        <v>3357</v>
      </c>
      <c r="E12" s="3272" t="s">
        <v>3357</v>
      </c>
      <c r="F12" s="3267">
        <v>44029</v>
      </c>
      <c r="G12" s="3273">
        <v>312.91000000000003</v>
      </c>
      <c r="H12" s="3269">
        <v>267.48</v>
      </c>
      <c r="I12" s="3269">
        <v>1812992.8</v>
      </c>
      <c r="J12" s="3267">
        <v>44037</v>
      </c>
      <c r="K12" s="3267">
        <v>44766</v>
      </c>
      <c r="L12" s="3270">
        <v>2</v>
      </c>
      <c r="M12" s="3271">
        <f t="shared" si="0"/>
        <v>906496.4</v>
      </c>
      <c r="N12" s="3282" t="s">
        <v>3343</v>
      </c>
      <c r="O12" s="3283">
        <f t="shared" si="1"/>
        <v>7.94</v>
      </c>
    </row>
    <row r="13" spans="1:18">
      <c r="A13" s="3282">
        <v>12</v>
      </c>
      <c r="B13" s="3265">
        <v>6</v>
      </c>
      <c r="C13" s="3259" t="s">
        <v>3358</v>
      </c>
      <c r="D13" s="3272" t="s">
        <v>3357</v>
      </c>
      <c r="E13" s="3272" t="s">
        <v>3357</v>
      </c>
      <c r="F13" s="3267">
        <v>44029</v>
      </c>
      <c r="G13" s="3273">
        <v>256.01</v>
      </c>
      <c r="H13" s="3269">
        <v>218.84</v>
      </c>
      <c r="I13" s="3269">
        <v>1483308.48</v>
      </c>
      <c r="J13" s="3267">
        <v>44037</v>
      </c>
      <c r="K13" s="3267">
        <v>44766</v>
      </c>
      <c r="L13" s="3270">
        <v>2</v>
      </c>
      <c r="M13" s="3271">
        <f t="shared" si="0"/>
        <v>741654.24</v>
      </c>
      <c r="N13" s="3282" t="s">
        <v>3343</v>
      </c>
      <c r="O13" s="3283">
        <f t="shared" si="1"/>
        <v>7.94</v>
      </c>
    </row>
    <row r="14" spans="1:18">
      <c r="A14" s="3282">
        <v>13</v>
      </c>
      <c r="B14" s="3265">
        <v>6</v>
      </c>
      <c r="C14" s="3259" t="s">
        <v>3359</v>
      </c>
      <c r="D14" s="3266" t="s">
        <v>3360</v>
      </c>
      <c r="E14" s="3266" t="s">
        <v>3360</v>
      </c>
      <c r="F14" s="3267">
        <v>44074</v>
      </c>
      <c r="G14" s="3269">
        <v>516.91623771642492</v>
      </c>
      <c r="H14" s="3269">
        <v>441.86</v>
      </c>
      <c r="I14" s="3269">
        <v>4145942.89</v>
      </c>
      <c r="J14" s="3267">
        <v>44075</v>
      </c>
      <c r="K14" s="3267">
        <v>45169</v>
      </c>
      <c r="L14" s="3270">
        <v>3</v>
      </c>
      <c r="M14" s="3271">
        <f t="shared" si="0"/>
        <v>1381980.9633333334</v>
      </c>
      <c r="N14" s="3282"/>
      <c r="O14" s="3283">
        <f t="shared" si="1"/>
        <v>7.32</v>
      </c>
    </row>
    <row r="15" spans="1:18">
      <c r="A15" s="3282">
        <v>14</v>
      </c>
      <c r="B15" s="3265">
        <v>6</v>
      </c>
      <c r="C15" s="3259" t="s">
        <v>3361</v>
      </c>
      <c r="D15" s="3266" t="s">
        <v>3362</v>
      </c>
      <c r="E15" s="3266" t="s">
        <v>3362</v>
      </c>
      <c r="F15" s="3267">
        <v>44084</v>
      </c>
      <c r="G15" s="3269">
        <v>92.033224145999071</v>
      </c>
      <c r="H15" s="3269">
        <v>78.67</v>
      </c>
      <c r="I15" s="3269">
        <v>676897.6100000001</v>
      </c>
      <c r="J15" s="3267">
        <v>44090</v>
      </c>
      <c r="K15" s="3267">
        <v>45184</v>
      </c>
      <c r="L15" s="3270">
        <v>3</v>
      </c>
      <c r="M15" s="3271">
        <f t="shared" si="0"/>
        <v>225632.53666666671</v>
      </c>
      <c r="N15" s="3282"/>
      <c r="O15" s="3283">
        <f t="shared" si="1"/>
        <v>6.72</v>
      </c>
    </row>
    <row r="16" spans="1:18">
      <c r="A16" s="3282">
        <v>15</v>
      </c>
      <c r="B16" s="3265">
        <v>6</v>
      </c>
      <c r="C16" s="3259" t="s">
        <v>3363</v>
      </c>
      <c r="D16" s="3266" t="s">
        <v>3364</v>
      </c>
      <c r="E16" s="3266" t="s">
        <v>3364</v>
      </c>
      <c r="F16" s="3267">
        <v>44084</v>
      </c>
      <c r="G16" s="3269">
        <v>414.84557791296209</v>
      </c>
      <c r="H16" s="3269">
        <v>354.61</v>
      </c>
      <c r="I16" s="3269">
        <v>2438511.12</v>
      </c>
      <c r="J16" s="3267">
        <v>44089</v>
      </c>
      <c r="K16" s="3267">
        <v>44940</v>
      </c>
      <c r="L16" s="3270">
        <v>2.33</v>
      </c>
      <c r="M16" s="3271">
        <f t="shared" si="0"/>
        <v>1046571.2961373391</v>
      </c>
      <c r="N16" s="3282"/>
      <c r="O16" s="3283">
        <f t="shared" si="1"/>
        <v>6.91</v>
      </c>
    </row>
    <row r="17" spans="1:15">
      <c r="A17" s="3282">
        <v>16</v>
      </c>
      <c r="B17" s="3265">
        <v>6</v>
      </c>
      <c r="C17" s="3259" t="s">
        <v>3365</v>
      </c>
      <c r="D17" s="3266" t="s">
        <v>3366</v>
      </c>
      <c r="E17" s="3266" t="s">
        <v>3366</v>
      </c>
      <c r="F17" s="3267">
        <v>44114</v>
      </c>
      <c r="G17" s="3273">
        <v>68.788020589611605</v>
      </c>
      <c r="H17" s="3269">
        <v>58.8</v>
      </c>
      <c r="I17" s="3269">
        <v>412785.82</v>
      </c>
      <c r="J17" s="3267">
        <v>44119</v>
      </c>
      <c r="K17" s="3267">
        <v>44848</v>
      </c>
      <c r="L17" s="3270">
        <v>2</v>
      </c>
      <c r="M17" s="3271">
        <f t="shared" si="0"/>
        <v>206392.91</v>
      </c>
      <c r="N17" s="3282"/>
      <c r="O17" s="3283">
        <f t="shared" si="1"/>
        <v>8.2200000000000006</v>
      </c>
    </row>
    <row r="18" spans="1:15">
      <c r="A18" s="3282">
        <v>17</v>
      </c>
      <c r="B18" s="3265">
        <v>6</v>
      </c>
      <c r="C18" s="3259" t="s">
        <v>3367</v>
      </c>
      <c r="D18" s="3266" t="s">
        <v>3368</v>
      </c>
      <c r="E18" s="3266" t="s">
        <v>3368</v>
      </c>
      <c r="F18" s="3267">
        <v>44173</v>
      </c>
      <c r="G18" s="3269">
        <v>423.47</v>
      </c>
      <c r="H18" s="3269">
        <v>361.98</v>
      </c>
      <c r="I18" s="3269">
        <v>2367748.8800000004</v>
      </c>
      <c r="J18" s="3267">
        <v>44197</v>
      </c>
      <c r="K18" s="3267">
        <v>44957</v>
      </c>
      <c r="L18" s="3270">
        <v>2.08</v>
      </c>
      <c r="M18" s="3271">
        <f t="shared" si="0"/>
        <v>1138340.8076923077</v>
      </c>
      <c r="N18" s="3282"/>
      <c r="O18" s="3283">
        <f t="shared" si="1"/>
        <v>7.36</v>
      </c>
    </row>
    <row r="19" spans="1:15">
      <c r="A19" s="3282">
        <v>18</v>
      </c>
      <c r="B19" s="3265">
        <v>6</v>
      </c>
      <c r="C19" s="3259" t="s">
        <v>3369</v>
      </c>
      <c r="D19" s="3266" t="s">
        <v>3370</v>
      </c>
      <c r="E19" s="3266" t="s">
        <v>3371</v>
      </c>
      <c r="F19" s="3267">
        <v>44158</v>
      </c>
      <c r="G19" s="3269">
        <v>44.665418811417872</v>
      </c>
      <c r="H19" s="3269">
        <v>38.18</v>
      </c>
      <c r="I19" s="3269">
        <v>486750.74</v>
      </c>
      <c r="J19" s="3267">
        <v>44161</v>
      </c>
      <c r="K19" s="3267">
        <v>45285</v>
      </c>
      <c r="L19" s="3270">
        <v>3.08</v>
      </c>
      <c r="M19" s="3271">
        <f t="shared" si="0"/>
        <v>158035.95454545453</v>
      </c>
      <c r="N19" s="3282"/>
      <c r="O19" s="3283">
        <f t="shared" si="1"/>
        <v>9.69</v>
      </c>
    </row>
    <row r="20" spans="1:15">
      <c r="A20" s="3282">
        <v>19</v>
      </c>
      <c r="B20" s="3265">
        <v>6</v>
      </c>
      <c r="C20" s="3259" t="s">
        <v>3372</v>
      </c>
      <c r="D20" s="3266" t="s">
        <v>3373</v>
      </c>
      <c r="E20" s="3266" t="s">
        <v>3373</v>
      </c>
      <c r="F20" s="3267">
        <v>44200</v>
      </c>
      <c r="G20" s="3268">
        <v>565.25</v>
      </c>
      <c r="H20" s="3269">
        <v>483.19</v>
      </c>
      <c r="I20" s="3269">
        <v>4612221.7200000007</v>
      </c>
      <c r="J20" s="3267">
        <v>44378</v>
      </c>
      <c r="K20" s="3267">
        <v>45504</v>
      </c>
      <c r="L20" s="3270">
        <v>3.08</v>
      </c>
      <c r="M20" s="3271">
        <f t="shared" si="0"/>
        <v>1497474.5844155846</v>
      </c>
      <c r="N20" s="3282"/>
      <c r="O20" s="3283">
        <f t="shared" si="1"/>
        <v>7.26</v>
      </c>
    </row>
    <row r="21" spans="1:15">
      <c r="A21" s="3282">
        <v>20</v>
      </c>
      <c r="B21" s="3265">
        <v>6</v>
      </c>
      <c r="C21" s="3259" t="s">
        <v>3212</v>
      </c>
      <c r="D21" s="3266" t="s">
        <v>3373</v>
      </c>
      <c r="E21" s="3266" t="s">
        <v>3373</v>
      </c>
      <c r="F21" s="3267">
        <v>44200</v>
      </c>
      <c r="G21" s="3268">
        <v>244.33</v>
      </c>
      <c r="H21" s="3269">
        <v>208.85</v>
      </c>
      <c r="I21" s="3269">
        <v>1993548.07</v>
      </c>
      <c r="J21" s="3267">
        <v>44378</v>
      </c>
      <c r="K21" s="3267">
        <v>45504</v>
      </c>
      <c r="L21" s="3270">
        <v>3.08</v>
      </c>
      <c r="M21" s="3271">
        <f t="shared" si="0"/>
        <v>647255.86688311689</v>
      </c>
      <c r="N21" s="3282"/>
      <c r="O21" s="3283">
        <f t="shared" si="1"/>
        <v>7.26</v>
      </c>
    </row>
    <row r="22" spans="1:15">
      <c r="A22" s="3282">
        <v>21</v>
      </c>
      <c r="B22" s="3265">
        <v>6</v>
      </c>
      <c r="C22" s="3259" t="s">
        <v>3374</v>
      </c>
      <c r="D22" s="3266" t="s">
        <v>3375</v>
      </c>
      <c r="E22" s="3266" t="s">
        <v>3376</v>
      </c>
      <c r="F22" s="3267">
        <v>44207</v>
      </c>
      <c r="G22" s="3268">
        <v>121.78287318671033</v>
      </c>
      <c r="H22" s="3269">
        <v>104.1</v>
      </c>
      <c r="I22" s="3269">
        <v>1088694.71</v>
      </c>
      <c r="J22" s="3267">
        <v>44256</v>
      </c>
      <c r="K22" s="3267">
        <v>45351</v>
      </c>
      <c r="L22" s="3270">
        <v>3</v>
      </c>
      <c r="M22" s="3271">
        <f t="shared" si="0"/>
        <v>362898.23666666663</v>
      </c>
      <c r="N22" s="3282"/>
      <c r="O22" s="3283">
        <f t="shared" si="1"/>
        <v>8.16</v>
      </c>
    </row>
    <row r="23" spans="1:15">
      <c r="A23" s="3282">
        <v>22</v>
      </c>
      <c r="B23" s="3265">
        <v>6</v>
      </c>
      <c r="C23" s="3259" t="s">
        <v>3377</v>
      </c>
      <c r="D23" s="3266" t="s">
        <v>3378</v>
      </c>
      <c r="E23" s="3266" t="s">
        <v>3378</v>
      </c>
      <c r="F23" s="3267">
        <v>44235</v>
      </c>
      <c r="G23" s="3268">
        <v>25.900795507721107</v>
      </c>
      <c r="H23" s="3269">
        <v>22.14</v>
      </c>
      <c r="I23" s="3269">
        <v>201260.36</v>
      </c>
      <c r="J23" s="3267">
        <v>44256</v>
      </c>
      <c r="K23" s="3267">
        <v>44985</v>
      </c>
      <c r="L23" s="3270">
        <v>2</v>
      </c>
      <c r="M23" s="3271">
        <f t="shared" si="0"/>
        <v>100630.18</v>
      </c>
      <c r="N23" s="3282"/>
      <c r="O23" s="3283">
        <f t="shared" si="1"/>
        <v>10.64</v>
      </c>
    </row>
    <row r="24" spans="1:15">
      <c r="A24" s="3282">
        <v>23</v>
      </c>
      <c r="B24" s="3265">
        <v>6</v>
      </c>
      <c r="C24" s="3259" t="s">
        <v>3379</v>
      </c>
      <c r="D24" s="3266" t="s">
        <v>3380</v>
      </c>
      <c r="E24" s="3266" t="s">
        <v>3381</v>
      </c>
      <c r="F24" s="3267">
        <v>44273</v>
      </c>
      <c r="G24" s="3268">
        <v>104.78474496958351</v>
      </c>
      <c r="H24" s="3269">
        <v>89.57</v>
      </c>
      <c r="I24" s="3269">
        <v>890558.65</v>
      </c>
      <c r="J24" s="3267">
        <v>44273</v>
      </c>
      <c r="K24" s="3267">
        <v>45368</v>
      </c>
      <c r="L24" s="3270">
        <v>3</v>
      </c>
      <c r="M24" s="3271">
        <f t="shared" si="0"/>
        <v>296852.88333333336</v>
      </c>
      <c r="N24" s="3282"/>
      <c r="O24" s="3283">
        <f t="shared" si="1"/>
        <v>7.76</v>
      </c>
    </row>
    <row r="25" spans="1:15">
      <c r="A25" s="3282">
        <v>24</v>
      </c>
      <c r="B25" s="3265">
        <v>6</v>
      </c>
      <c r="C25" s="3259" t="s">
        <v>3382</v>
      </c>
      <c r="D25" s="3266" t="s">
        <v>3383</v>
      </c>
      <c r="E25" s="3266" t="s">
        <v>3383</v>
      </c>
      <c r="F25" s="3267">
        <v>44301</v>
      </c>
      <c r="G25" s="3268">
        <v>2328.7435657463734</v>
      </c>
      <c r="H25" s="3269">
        <v>1990.61</v>
      </c>
      <c r="I25" s="3269">
        <v>60210470.060000002</v>
      </c>
      <c r="J25" s="3267">
        <v>44301</v>
      </c>
      <c r="K25" s="3274">
        <v>48013</v>
      </c>
      <c r="L25" s="3270">
        <v>10.17</v>
      </c>
      <c r="M25" s="3271">
        <f t="shared" si="0"/>
        <v>5920400.2025565393</v>
      </c>
      <c r="N25" s="3282"/>
      <c r="O25" s="3283">
        <f t="shared" si="1"/>
        <v>6.97</v>
      </c>
    </row>
    <row r="26" spans="1:15">
      <c r="A26" s="3282">
        <v>25</v>
      </c>
      <c r="B26" s="3265">
        <v>6</v>
      </c>
      <c r="C26" s="3259" t="s">
        <v>3384</v>
      </c>
      <c r="D26" s="3266" t="s">
        <v>3385</v>
      </c>
      <c r="E26" s="3266" t="s">
        <v>3386</v>
      </c>
      <c r="F26" s="3267">
        <v>44295</v>
      </c>
      <c r="G26" s="3268">
        <v>317.46607393542348</v>
      </c>
      <c r="H26" s="3269">
        <v>271.37</v>
      </c>
      <c r="I26" s="3269">
        <v>2711495.14</v>
      </c>
      <c r="J26" s="3267">
        <v>44311</v>
      </c>
      <c r="K26" s="3267">
        <v>45421</v>
      </c>
      <c r="L26" s="3270">
        <v>3.04</v>
      </c>
      <c r="M26" s="3271">
        <f t="shared" si="0"/>
        <v>891939.19078947371</v>
      </c>
      <c r="N26" s="3282"/>
      <c r="O26" s="3283">
        <f t="shared" si="1"/>
        <v>7.7</v>
      </c>
    </row>
    <row r="27" spans="1:15">
      <c r="A27" s="3282">
        <v>26</v>
      </c>
      <c r="B27" s="3265">
        <v>6</v>
      </c>
      <c r="C27" s="3259" t="s">
        <v>3387</v>
      </c>
      <c r="D27" s="3266" t="s">
        <v>3388</v>
      </c>
      <c r="E27" s="3266" t="s">
        <v>3389</v>
      </c>
      <c r="F27" s="3267">
        <v>44298</v>
      </c>
      <c r="G27" s="3268">
        <v>1380.6738418343473</v>
      </c>
      <c r="H27" s="3269">
        <v>1180.2</v>
      </c>
      <c r="I27" s="3269">
        <v>17335741.460000001</v>
      </c>
      <c r="J27" s="3267">
        <v>44317</v>
      </c>
      <c r="K27" s="3267">
        <v>46173</v>
      </c>
      <c r="L27" s="3270">
        <v>5.08</v>
      </c>
      <c r="M27" s="3271">
        <f t="shared" si="0"/>
        <v>3412547.5314960633</v>
      </c>
      <c r="N27" s="3282"/>
      <c r="O27" s="3283">
        <f t="shared" si="1"/>
        <v>6.77</v>
      </c>
    </row>
    <row r="28" spans="1:15">
      <c r="A28" s="3282">
        <v>27</v>
      </c>
      <c r="B28" s="3265">
        <v>6</v>
      </c>
      <c r="C28" s="3259" t="s">
        <v>3390</v>
      </c>
      <c r="D28" s="3266" t="s">
        <v>3388</v>
      </c>
      <c r="E28" s="3266" t="s">
        <v>3389</v>
      </c>
      <c r="F28" s="3267">
        <v>44298</v>
      </c>
      <c r="G28" s="3268">
        <v>1074.4267664950864</v>
      </c>
      <c r="H28" s="3269">
        <v>918.42</v>
      </c>
      <c r="I28" s="3269">
        <v>13490502.99</v>
      </c>
      <c r="J28" s="3267">
        <v>44317</v>
      </c>
      <c r="K28" s="3267">
        <v>46173</v>
      </c>
      <c r="L28" s="3270">
        <v>5.08</v>
      </c>
      <c r="M28" s="3271">
        <f t="shared" si="0"/>
        <v>2655610.8248031498</v>
      </c>
      <c r="N28" s="3282"/>
      <c r="O28" s="3283">
        <f t="shared" si="1"/>
        <v>6.77</v>
      </c>
    </row>
    <row r="29" spans="1:15">
      <c r="A29" s="3282">
        <v>28</v>
      </c>
      <c r="B29" s="3265">
        <v>6</v>
      </c>
      <c r="C29" s="3259" t="s">
        <v>3391</v>
      </c>
      <c r="D29" s="3266" t="s">
        <v>3392</v>
      </c>
      <c r="E29" s="3266" t="s">
        <v>3393</v>
      </c>
      <c r="F29" s="3267">
        <v>44326</v>
      </c>
      <c r="G29" s="3269">
        <v>155.48666354702854</v>
      </c>
      <c r="H29" s="3269">
        <v>132.91</v>
      </c>
      <c r="I29" s="3269">
        <v>1303198.04</v>
      </c>
      <c r="J29" s="3267">
        <v>44306</v>
      </c>
      <c r="K29" s="3267">
        <v>45401</v>
      </c>
      <c r="L29" s="3270">
        <v>3</v>
      </c>
      <c r="M29" s="3271">
        <f t="shared" si="0"/>
        <v>434399.34666666668</v>
      </c>
      <c r="N29" s="3282"/>
      <c r="O29" s="3283">
        <f t="shared" si="1"/>
        <v>7.65</v>
      </c>
    </row>
    <row r="30" spans="1:15">
      <c r="A30" s="3282">
        <v>29</v>
      </c>
      <c r="B30" s="3265">
        <v>6</v>
      </c>
      <c r="C30" s="3259" t="s">
        <v>3394</v>
      </c>
      <c r="D30" s="3266" t="s">
        <v>3395</v>
      </c>
      <c r="E30" s="3266" t="s">
        <v>3395</v>
      </c>
      <c r="F30" s="3267">
        <v>44326</v>
      </c>
      <c r="G30" s="3269">
        <v>194.48993916705663</v>
      </c>
      <c r="H30" s="3269">
        <v>166.25</v>
      </c>
      <c r="I30" s="3269">
        <v>1653078.62</v>
      </c>
      <c r="J30" s="3267">
        <v>44336</v>
      </c>
      <c r="K30" s="3267">
        <v>45431</v>
      </c>
      <c r="L30" s="3270">
        <v>3</v>
      </c>
      <c r="M30" s="3271">
        <f t="shared" si="0"/>
        <v>551026.20666666667</v>
      </c>
      <c r="N30" s="3282"/>
      <c r="O30" s="3283">
        <f t="shared" si="1"/>
        <v>7.76</v>
      </c>
    </row>
    <row r="31" spans="1:15">
      <c r="A31" s="3282">
        <v>30</v>
      </c>
      <c r="B31" s="3265">
        <v>6</v>
      </c>
      <c r="C31" s="3259" t="s">
        <v>3396</v>
      </c>
      <c r="D31" s="3266" t="s">
        <v>3397</v>
      </c>
      <c r="E31" s="3266" t="s">
        <v>3397</v>
      </c>
      <c r="F31" s="3267">
        <v>44348</v>
      </c>
      <c r="G31" s="3269">
        <v>416.05</v>
      </c>
      <c r="H31" s="3269">
        <v>355.64</v>
      </c>
      <c r="I31" s="3269">
        <v>2308815.77</v>
      </c>
      <c r="J31" s="3267">
        <v>44367</v>
      </c>
      <c r="K31" s="3267">
        <v>45053</v>
      </c>
      <c r="L31" s="3270">
        <v>1.88</v>
      </c>
      <c r="M31" s="3271">
        <f t="shared" si="0"/>
        <v>1228093.4946808512</v>
      </c>
      <c r="N31" s="3282"/>
      <c r="O31" s="3283">
        <f t="shared" si="1"/>
        <v>8.09</v>
      </c>
    </row>
    <row r="32" spans="1:15">
      <c r="A32" s="3282">
        <v>31</v>
      </c>
      <c r="B32" s="3265">
        <v>6</v>
      </c>
      <c r="C32" s="3259" t="s">
        <v>3398</v>
      </c>
      <c r="D32" s="3266" t="s">
        <v>3399</v>
      </c>
      <c r="E32" s="3266" t="s">
        <v>3397</v>
      </c>
      <c r="F32" s="3267">
        <v>44348</v>
      </c>
      <c r="G32" s="3268">
        <v>378.53299017313992</v>
      </c>
      <c r="H32" s="3269">
        <v>323.57</v>
      </c>
      <c r="I32" s="3269">
        <v>2108926.79</v>
      </c>
      <c r="J32" s="3267">
        <v>44324</v>
      </c>
      <c r="K32" s="3267">
        <v>45053</v>
      </c>
      <c r="L32" s="3270">
        <v>2</v>
      </c>
      <c r="M32" s="3271">
        <f t="shared" si="0"/>
        <v>1054463.395</v>
      </c>
      <c r="N32" s="3282"/>
      <c r="O32" s="3283">
        <f t="shared" si="1"/>
        <v>7.63</v>
      </c>
    </row>
    <row r="33" spans="1:18">
      <c r="A33" s="3282">
        <v>32</v>
      </c>
      <c r="B33" s="3265">
        <v>6</v>
      </c>
      <c r="C33" s="3259" t="s">
        <v>3400</v>
      </c>
      <c r="D33" s="3275" t="s">
        <v>3401</v>
      </c>
      <c r="E33" s="3275" t="s">
        <v>3402</v>
      </c>
      <c r="F33" s="3267">
        <v>44385</v>
      </c>
      <c r="G33" s="3268">
        <v>333.81</v>
      </c>
      <c r="H33" s="3269">
        <v>285.33999999999997</v>
      </c>
      <c r="I33" s="3269">
        <v>2911054.15</v>
      </c>
      <c r="J33" s="3267">
        <v>44355</v>
      </c>
      <c r="K33" s="3267">
        <v>45480</v>
      </c>
      <c r="L33" s="3270">
        <v>3.08</v>
      </c>
      <c r="M33" s="3271">
        <f t="shared" si="0"/>
        <v>945147.45129870123</v>
      </c>
      <c r="N33" s="3282"/>
      <c r="O33" s="3283">
        <f t="shared" si="1"/>
        <v>7.76</v>
      </c>
    </row>
    <row r="34" spans="1:18">
      <c r="A34" s="3282">
        <v>33</v>
      </c>
      <c r="B34" s="3265">
        <v>6</v>
      </c>
      <c r="C34" s="3259" t="s">
        <v>3403</v>
      </c>
      <c r="D34" s="3266" t="s">
        <v>3404</v>
      </c>
      <c r="E34" s="3266" t="s">
        <v>3405</v>
      </c>
      <c r="F34" s="3267">
        <v>44385</v>
      </c>
      <c r="G34" s="3268">
        <v>292.33999999999997</v>
      </c>
      <c r="H34" s="3269">
        <v>249.89</v>
      </c>
      <c r="I34" s="3269">
        <v>2549391.34</v>
      </c>
      <c r="J34" s="3267">
        <v>44355</v>
      </c>
      <c r="K34" s="3267">
        <v>45480</v>
      </c>
      <c r="L34" s="3270">
        <v>3.08</v>
      </c>
      <c r="M34" s="3271">
        <f t="shared" si="0"/>
        <v>827724.46103896096</v>
      </c>
      <c r="N34" s="3282"/>
      <c r="O34" s="3283">
        <f t="shared" si="1"/>
        <v>7.76</v>
      </c>
    </row>
    <row r="35" spans="1:18">
      <c r="A35" s="3282">
        <v>34</v>
      </c>
      <c r="B35" s="3265">
        <v>6</v>
      </c>
      <c r="C35" s="3259" t="s">
        <v>3406</v>
      </c>
      <c r="D35" s="3266" t="s">
        <v>3407</v>
      </c>
      <c r="E35" s="3266" t="s">
        <v>3408</v>
      </c>
      <c r="F35" s="3267">
        <v>44400</v>
      </c>
      <c r="G35" s="3268">
        <v>232.65091249415067</v>
      </c>
      <c r="H35" s="3269">
        <v>198.87</v>
      </c>
      <c r="I35" s="3269">
        <v>1949943.56</v>
      </c>
      <c r="J35" s="3267">
        <v>44409</v>
      </c>
      <c r="K35" s="3267">
        <v>45504</v>
      </c>
      <c r="L35" s="3270">
        <v>3</v>
      </c>
      <c r="M35" s="3271">
        <f t="shared" si="0"/>
        <v>649981.18666666665</v>
      </c>
      <c r="N35" s="3282"/>
      <c r="O35" s="3283">
        <f t="shared" si="1"/>
        <v>7.65</v>
      </c>
    </row>
    <row r="36" spans="1:18">
      <c r="A36" s="3282">
        <v>35</v>
      </c>
      <c r="B36" s="3265">
        <v>6</v>
      </c>
      <c r="C36" s="3259" t="s">
        <v>3409</v>
      </c>
      <c r="D36" s="3266" t="s">
        <v>3410</v>
      </c>
      <c r="E36" s="3266" t="s">
        <v>3411</v>
      </c>
      <c r="F36" s="3267">
        <v>44400</v>
      </c>
      <c r="G36" s="3268">
        <v>268.6008423022929</v>
      </c>
      <c r="H36" s="3269">
        <v>229.6</v>
      </c>
      <c r="I36" s="3269">
        <v>2251254.7800000003</v>
      </c>
      <c r="J36" s="3267">
        <v>44409</v>
      </c>
      <c r="K36" s="3267">
        <v>45504</v>
      </c>
      <c r="L36" s="3270">
        <v>3</v>
      </c>
      <c r="M36" s="3271">
        <f t="shared" si="0"/>
        <v>750418.26000000013</v>
      </c>
      <c r="N36" s="3282"/>
      <c r="O36" s="3283">
        <f t="shared" si="1"/>
        <v>7.65</v>
      </c>
    </row>
    <row r="37" spans="1:18">
      <c r="A37" s="3282">
        <v>36</v>
      </c>
      <c r="B37" s="3265">
        <v>6</v>
      </c>
      <c r="C37" s="3259" t="s">
        <v>3412</v>
      </c>
      <c r="D37" s="3272" t="s">
        <v>3413</v>
      </c>
      <c r="E37" s="3272" t="s">
        <v>3413</v>
      </c>
      <c r="F37" s="3267">
        <v>44455</v>
      </c>
      <c r="G37" s="3273">
        <v>78.790360318203085</v>
      </c>
      <c r="H37" s="3269">
        <v>67.349999999999994</v>
      </c>
      <c r="I37" s="3269">
        <v>537665.73</v>
      </c>
      <c r="J37" s="3267">
        <v>44469</v>
      </c>
      <c r="K37" s="3267">
        <v>45198</v>
      </c>
      <c r="L37" s="3270">
        <v>2</v>
      </c>
      <c r="M37" s="3271">
        <f t="shared" si="0"/>
        <v>268832.86499999999</v>
      </c>
      <c r="N37" s="3282"/>
      <c r="O37" s="3283">
        <f t="shared" si="1"/>
        <v>9.35</v>
      </c>
    </row>
    <row r="38" spans="1:18">
      <c r="A38" s="3282">
        <v>37</v>
      </c>
      <c r="B38" s="3265">
        <v>6</v>
      </c>
      <c r="C38" s="3259" t="s">
        <v>3414</v>
      </c>
      <c r="D38" s="3266" t="s">
        <v>3415</v>
      </c>
      <c r="E38" s="3266" t="s">
        <v>3415</v>
      </c>
      <c r="F38" s="3267">
        <v>44466</v>
      </c>
      <c r="G38" s="3269">
        <v>25.64</v>
      </c>
      <c r="H38" s="3269">
        <v>21.92</v>
      </c>
      <c r="I38" s="3269">
        <v>350435.04000000004</v>
      </c>
      <c r="J38" s="3267">
        <v>44469</v>
      </c>
      <c r="K38" s="3276">
        <v>46294</v>
      </c>
      <c r="L38" s="3270">
        <v>5</v>
      </c>
      <c r="M38" s="3271">
        <f t="shared" si="0"/>
        <v>70087.008000000002</v>
      </c>
      <c r="N38" s="3282"/>
      <c r="O38" s="3283">
        <f t="shared" si="1"/>
        <v>7.49</v>
      </c>
    </row>
    <row r="39" spans="1:18">
      <c r="A39" s="3282">
        <v>38</v>
      </c>
      <c r="B39" s="3265">
        <v>6</v>
      </c>
      <c r="C39" s="3259" t="s">
        <v>3416</v>
      </c>
      <c r="D39" s="3266" t="s">
        <v>3417</v>
      </c>
      <c r="E39" s="3266" t="s">
        <v>3417</v>
      </c>
      <c r="F39" s="3267">
        <v>44494</v>
      </c>
      <c r="G39" s="3268">
        <v>298.38558727187649</v>
      </c>
      <c r="H39" s="3269">
        <v>255.06</v>
      </c>
      <c r="I39" s="3269">
        <v>1764962.0499999998</v>
      </c>
      <c r="J39" s="3267">
        <v>44501</v>
      </c>
      <c r="K39" s="3267">
        <v>45230</v>
      </c>
      <c r="L39" s="3270">
        <v>2</v>
      </c>
      <c r="M39" s="3271">
        <f t="shared" si="0"/>
        <v>882481.02499999991</v>
      </c>
      <c r="N39" s="3282"/>
      <c r="O39" s="3283">
        <f t="shared" si="1"/>
        <v>8.1</v>
      </c>
    </row>
    <row r="40" spans="1:18">
      <c r="A40" s="3282">
        <v>39</v>
      </c>
      <c r="B40" s="3265">
        <v>6</v>
      </c>
      <c r="C40" s="3259" t="s">
        <v>3418</v>
      </c>
      <c r="D40" s="3266" t="s">
        <v>3419</v>
      </c>
      <c r="E40" s="3266" t="s">
        <v>3420</v>
      </c>
      <c r="F40" s="3267">
        <v>44510</v>
      </c>
      <c r="G40" s="3268">
        <v>212.79831539541414</v>
      </c>
      <c r="H40" s="3269">
        <v>181.9</v>
      </c>
      <c r="I40" s="3269">
        <v>1052834.95</v>
      </c>
      <c r="J40" s="3267">
        <v>44522</v>
      </c>
      <c r="K40" s="3267">
        <v>45251</v>
      </c>
      <c r="L40" s="3270">
        <v>2</v>
      </c>
      <c r="M40" s="3271">
        <f t="shared" si="0"/>
        <v>526417.47499999998</v>
      </c>
      <c r="N40" s="3282"/>
      <c r="O40" s="3283">
        <f t="shared" si="1"/>
        <v>6.78</v>
      </c>
    </row>
    <row r="41" spans="1:18">
      <c r="A41" s="3282">
        <v>40</v>
      </c>
      <c r="B41" s="3265">
        <v>6</v>
      </c>
      <c r="C41" s="3259" t="s">
        <v>3421</v>
      </c>
      <c r="D41" s="3272" t="s">
        <v>3422</v>
      </c>
      <c r="E41" s="3272" t="s">
        <v>3423</v>
      </c>
      <c r="F41" s="3267">
        <v>44601</v>
      </c>
      <c r="G41" s="3273">
        <v>223.12821712681327</v>
      </c>
      <c r="H41" s="3273">
        <v>190.73</v>
      </c>
      <c r="I41" s="3273">
        <v>1590387.83</v>
      </c>
      <c r="J41" s="3267">
        <v>44621</v>
      </c>
      <c r="K41" s="3267">
        <v>45716</v>
      </c>
      <c r="L41" s="3265">
        <v>3</v>
      </c>
      <c r="M41" s="3271">
        <f t="shared" si="0"/>
        <v>530129.27666666673</v>
      </c>
      <c r="N41" s="3282"/>
      <c r="O41" s="3283">
        <f t="shared" si="1"/>
        <v>6.51</v>
      </c>
    </row>
    <row r="42" spans="1:18">
      <c r="A42" s="3282">
        <v>41</v>
      </c>
      <c r="B42" s="3265">
        <v>6</v>
      </c>
      <c r="C42" s="3259" t="s">
        <v>3424</v>
      </c>
      <c r="D42" s="3272" t="s">
        <v>3422</v>
      </c>
      <c r="E42" s="3272" t="s">
        <v>3423</v>
      </c>
      <c r="F42" s="3267">
        <v>44601</v>
      </c>
      <c r="G42" s="3273">
        <v>254.05942910622366</v>
      </c>
      <c r="H42" s="3273">
        <v>217.17</v>
      </c>
      <c r="I42" s="3273">
        <v>1810855.77</v>
      </c>
      <c r="J42" s="3267">
        <v>44621</v>
      </c>
      <c r="K42" s="3267">
        <v>45716</v>
      </c>
      <c r="L42" s="3265">
        <v>3</v>
      </c>
      <c r="M42" s="3271">
        <f t="shared" si="0"/>
        <v>603618.59</v>
      </c>
      <c r="N42" s="3282"/>
      <c r="O42" s="3283">
        <f t="shared" si="1"/>
        <v>6.51</v>
      </c>
    </row>
    <row r="43" spans="1:18">
      <c r="A43" s="3282">
        <v>42</v>
      </c>
      <c r="B43" s="3265">
        <v>6</v>
      </c>
      <c r="C43" s="3259" t="s">
        <v>3425</v>
      </c>
      <c r="D43" s="3266" t="s">
        <v>3388</v>
      </c>
      <c r="E43" s="3266" t="s">
        <v>3388</v>
      </c>
      <c r="F43" s="3267">
        <v>44727</v>
      </c>
      <c r="G43" s="3269">
        <v>337.2</v>
      </c>
      <c r="H43" s="3269">
        <v>288.24</v>
      </c>
      <c r="I43" s="3269">
        <v>3720035.5</v>
      </c>
      <c r="J43" s="3267">
        <v>44727</v>
      </c>
      <c r="K43" s="3267">
        <v>46173</v>
      </c>
      <c r="L43" s="3270">
        <v>3.96</v>
      </c>
      <c r="M43" s="3271">
        <f t="shared" si="0"/>
        <v>939402.90404040401</v>
      </c>
      <c r="N43" s="3282"/>
      <c r="O43" s="3283">
        <f t="shared" si="1"/>
        <v>7.63</v>
      </c>
    </row>
    <row r="44" spans="1:18">
      <c r="A44" s="3282">
        <v>43</v>
      </c>
      <c r="B44" s="3265">
        <v>6</v>
      </c>
      <c r="C44" s="3259" t="s">
        <v>3426</v>
      </c>
      <c r="D44" s="3266" t="s">
        <v>3427</v>
      </c>
      <c r="E44" s="3266" t="s">
        <v>3427</v>
      </c>
      <c r="F44" s="3267">
        <v>44679</v>
      </c>
      <c r="G44" s="3269">
        <v>326.27999999999997</v>
      </c>
      <c r="H44" s="3269">
        <v>278.89999999999998</v>
      </c>
      <c r="I44" s="3269">
        <v>2833391.6</v>
      </c>
      <c r="J44" s="3267">
        <v>44696</v>
      </c>
      <c r="K44" s="3267">
        <v>45791</v>
      </c>
      <c r="L44" s="3270">
        <v>3</v>
      </c>
      <c r="M44" s="3271">
        <f t="shared" si="0"/>
        <v>944463.8666666667</v>
      </c>
      <c r="N44" s="3282"/>
      <c r="O44" s="3283">
        <f t="shared" si="1"/>
        <v>7.93</v>
      </c>
    </row>
    <row r="45" spans="1:18">
      <c r="A45" s="3282"/>
      <c r="B45" s="3282"/>
      <c r="C45" s="3282"/>
      <c r="D45" s="3284" t="s">
        <v>3428</v>
      </c>
      <c r="E45" s="3282"/>
      <c r="F45" s="3282"/>
      <c r="G45" s="3285">
        <f>SUM(G2:G44)</f>
        <v>15022.208909686477</v>
      </c>
      <c r="H45" s="3285">
        <f>SUM(H2:H44)</f>
        <v>12841.99</v>
      </c>
      <c r="I45" s="3285">
        <f>SUM(I2:I44)</f>
        <v>171254954.90000001</v>
      </c>
      <c r="J45" s="3282"/>
      <c r="K45" s="3282"/>
      <c r="L45" s="3286"/>
      <c r="M45" s="3286">
        <f>SUM(M2:M44)</f>
        <v>40863832.048377946</v>
      </c>
      <c r="N45" s="3282"/>
      <c r="R45" s="3283">
        <v>6.5</v>
      </c>
    </row>
  </sheetData>
  <phoneticPr fontId="140" type="noConversion"/>
  <pageMargins left="0.7" right="0.7" top="0.75" bottom="0.75" header="0.3" footer="0.3"/>
  <pageSetup paperSize="9" orientation="portrait" verticalDpi="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Y88"/>
  <sheetViews>
    <sheetView topLeftCell="K1" zoomScale="70" zoomScaleNormal="70" workbookViewId="0">
      <selection activeCell="W47" sqref="W47:W48"/>
    </sheetView>
  </sheetViews>
  <sheetFormatPr defaultRowHeight="13.5"/>
  <cols>
    <col min="1" max="1" width="5" customWidth="1"/>
    <col min="3" max="3" width="17" customWidth="1"/>
    <col min="4" max="4" width="30.375" style="3" customWidth="1"/>
    <col min="5" max="5" width="30.875" customWidth="1"/>
    <col min="6" max="6" width="13.375" customWidth="1"/>
    <col min="7" max="7" width="18.125" customWidth="1"/>
    <col min="8" max="8" width="17.875" customWidth="1"/>
    <col min="9" max="9" width="19.625" customWidth="1"/>
    <col min="10" max="10" width="14.125" customWidth="1"/>
    <col min="11" max="11" width="11.5" customWidth="1"/>
    <col min="12" max="12" width="10.625" style="3297" customWidth="1"/>
    <col min="13" max="13" width="17.625" style="3297" customWidth="1"/>
    <col min="14" max="14" width="12.125" customWidth="1"/>
    <col min="15" max="15" width="14.375" customWidth="1"/>
    <col min="16" max="16" width="16.625" customWidth="1"/>
  </cols>
  <sheetData>
    <row r="1" spans="1:20" s="3264" customFormat="1" ht="24">
      <c r="A1" s="3257" t="s">
        <v>3446</v>
      </c>
      <c r="B1" s="3258" t="s">
        <v>3319</v>
      </c>
      <c r="C1" s="3259" t="s">
        <v>3320</v>
      </c>
      <c r="D1" s="3258" t="s">
        <v>3321</v>
      </c>
      <c r="E1" s="3258" t="s">
        <v>3322</v>
      </c>
      <c r="F1" s="3260" t="s">
        <v>3323</v>
      </c>
      <c r="G1" s="3261" t="s">
        <v>3184</v>
      </c>
      <c r="H1" s="3261" t="s">
        <v>3324</v>
      </c>
      <c r="I1" s="3261" t="s">
        <v>3325</v>
      </c>
      <c r="J1" s="3260" t="s">
        <v>3326</v>
      </c>
      <c r="K1" s="3260" t="s">
        <v>3327</v>
      </c>
      <c r="L1" s="3262" t="s">
        <v>3328</v>
      </c>
      <c r="M1" s="3263" t="s">
        <v>3447</v>
      </c>
      <c r="N1" s="3257" t="s">
        <v>3448</v>
      </c>
      <c r="O1" s="3289" t="s">
        <v>3449</v>
      </c>
      <c r="R1" s="3264" t="s">
        <v>3571</v>
      </c>
      <c r="S1" s="3264" t="s">
        <v>3572</v>
      </c>
      <c r="T1" s="3264" t="s">
        <v>3573</v>
      </c>
    </row>
    <row r="2" spans="1:20" s="3350" customFormat="1">
      <c r="A2" s="3341">
        <v>1</v>
      </c>
      <c r="B2" s="3342">
        <v>6</v>
      </c>
      <c r="C2" s="3343" t="s">
        <v>3335</v>
      </c>
      <c r="D2" s="3344" t="s">
        <v>3336</v>
      </c>
      <c r="E2" s="3344" t="s">
        <v>3337</v>
      </c>
      <c r="F2" s="3345">
        <v>43585</v>
      </c>
      <c r="G2" s="3352">
        <v>176.94197473093121</v>
      </c>
      <c r="H2" s="3346">
        <v>151.25</v>
      </c>
      <c r="I2" s="3346">
        <v>1698696.32</v>
      </c>
      <c r="J2" s="3345">
        <v>43640</v>
      </c>
      <c r="K2" s="3345">
        <v>44735</v>
      </c>
      <c r="L2" s="3347">
        <v>3</v>
      </c>
      <c r="M2" s="3348">
        <f t="shared" ref="M2:M44" si="0">I2/L2</f>
        <v>566232.10666666669</v>
      </c>
      <c r="N2" s="3341" t="s">
        <v>3450</v>
      </c>
      <c r="O2" s="3349">
        <v>9</v>
      </c>
      <c r="R2" s="3351">
        <f>M2/G2/365</f>
        <v>8.7673987053760527</v>
      </c>
      <c r="S2" s="3350">
        <v>0.8</v>
      </c>
      <c r="T2" s="3351">
        <f>R2-S2</f>
        <v>7.9673987053760529</v>
      </c>
    </row>
    <row r="3" spans="1:20" s="3337" customFormat="1">
      <c r="A3" s="3327">
        <v>2</v>
      </c>
      <c r="B3" s="3328">
        <v>6</v>
      </c>
      <c r="C3" s="3329" t="s">
        <v>3339</v>
      </c>
      <c r="D3" s="3339" t="s">
        <v>3340</v>
      </c>
      <c r="E3" s="3339" t="s">
        <v>3341</v>
      </c>
      <c r="F3" s="3331">
        <v>43584</v>
      </c>
      <c r="G3" s="3340">
        <v>383.30603649976598</v>
      </c>
      <c r="H3" s="3333">
        <v>327.64999999999998</v>
      </c>
      <c r="I3" s="3333">
        <v>3475350.8</v>
      </c>
      <c r="J3" s="3331">
        <v>43647</v>
      </c>
      <c r="K3" s="3331">
        <v>44742</v>
      </c>
      <c r="L3" s="3334">
        <v>3</v>
      </c>
      <c r="M3" s="3335">
        <f t="shared" si="0"/>
        <v>1158450.2666666666</v>
      </c>
      <c r="N3" s="3327" t="s">
        <v>3450</v>
      </c>
      <c r="O3" s="3336">
        <v>8.4600000000000009</v>
      </c>
      <c r="R3" s="3338">
        <f t="shared" ref="R3:R66" si="1">M3/G3/365</f>
        <v>8.2801627024047679</v>
      </c>
      <c r="S3" s="3337">
        <v>0.8</v>
      </c>
      <c r="T3" s="3338">
        <f t="shared" ref="T3:T44" si="2">R3-S3</f>
        <v>7.4801627024047681</v>
      </c>
    </row>
    <row r="4" spans="1:20" s="3337" customFormat="1">
      <c r="A4" s="3327">
        <v>3</v>
      </c>
      <c r="B4" s="3328">
        <v>6</v>
      </c>
      <c r="C4" s="3329" t="s">
        <v>3342</v>
      </c>
      <c r="D4" s="3339" t="s">
        <v>3341</v>
      </c>
      <c r="E4" s="3339" t="s">
        <v>3341</v>
      </c>
      <c r="F4" s="3331">
        <v>43584</v>
      </c>
      <c r="G4" s="3340">
        <v>300.42115114646703</v>
      </c>
      <c r="H4" s="3333">
        <v>256.8</v>
      </c>
      <c r="I4" s="3333">
        <v>2723851.92</v>
      </c>
      <c r="J4" s="3331">
        <v>43647</v>
      </c>
      <c r="K4" s="3331">
        <v>44742</v>
      </c>
      <c r="L4" s="3334">
        <v>3</v>
      </c>
      <c r="M4" s="3335">
        <f t="shared" si="0"/>
        <v>907950.64</v>
      </c>
      <c r="N4" s="3327" t="s">
        <v>3450</v>
      </c>
      <c r="O4" s="3336">
        <v>8.4600000000000009</v>
      </c>
      <c r="R4" s="3338">
        <f t="shared" si="1"/>
        <v>8.2801626666666674</v>
      </c>
      <c r="S4" s="3337">
        <v>0.8</v>
      </c>
      <c r="T4" s="3338">
        <f t="shared" si="2"/>
        <v>7.4801626666666676</v>
      </c>
    </row>
    <row r="5" spans="1:20" s="3350" customFormat="1">
      <c r="A5" s="3341">
        <v>4</v>
      </c>
      <c r="B5" s="3342">
        <v>6</v>
      </c>
      <c r="C5" s="3343" t="s">
        <v>3344</v>
      </c>
      <c r="D5" s="3344" t="s">
        <v>3341</v>
      </c>
      <c r="E5" s="3344" t="s">
        <v>3345</v>
      </c>
      <c r="F5" s="3345">
        <v>43586</v>
      </c>
      <c r="G5" s="3346">
        <v>95.975666822648577</v>
      </c>
      <c r="H5" s="3346">
        <v>82.04</v>
      </c>
      <c r="I5" s="3346">
        <v>870190.08000000007</v>
      </c>
      <c r="J5" s="3345">
        <v>43647</v>
      </c>
      <c r="K5" s="3345">
        <v>44742</v>
      </c>
      <c r="L5" s="3347">
        <v>3</v>
      </c>
      <c r="M5" s="3348">
        <f t="shared" si="0"/>
        <v>290063.36000000004</v>
      </c>
      <c r="N5" s="3341" t="s">
        <v>3450</v>
      </c>
      <c r="O5" s="3349">
        <v>8.4600000000000009</v>
      </c>
      <c r="R5" s="3351">
        <f t="shared" si="1"/>
        <v>8.280162704728065</v>
      </c>
      <c r="S5" s="3350">
        <v>0.8</v>
      </c>
      <c r="T5" s="3351">
        <f t="shared" si="2"/>
        <v>7.4801627047280652</v>
      </c>
    </row>
    <row r="6" spans="1:20" s="3337" customFormat="1">
      <c r="A6" s="3327">
        <v>5</v>
      </c>
      <c r="B6" s="3328">
        <v>6</v>
      </c>
      <c r="C6" s="3329" t="s">
        <v>3346</v>
      </c>
      <c r="D6" s="3339" t="s">
        <v>3347</v>
      </c>
      <c r="E6" s="3339" t="s">
        <v>3347</v>
      </c>
      <c r="F6" s="3331">
        <v>43639</v>
      </c>
      <c r="G6" s="3333">
        <v>360.49368273280294</v>
      </c>
      <c r="H6" s="3333">
        <v>308.14999999999998</v>
      </c>
      <c r="I6" s="3333">
        <v>3212278.88</v>
      </c>
      <c r="J6" s="3331">
        <v>43693</v>
      </c>
      <c r="K6" s="3331">
        <v>44788</v>
      </c>
      <c r="L6" s="3334">
        <v>3</v>
      </c>
      <c r="M6" s="3335">
        <f t="shared" si="0"/>
        <v>1070759.6266666667</v>
      </c>
      <c r="N6" s="3327"/>
      <c r="O6" s="3336">
        <v>8.26</v>
      </c>
      <c r="R6" s="3338">
        <f t="shared" si="1"/>
        <v>8.1376960506661877</v>
      </c>
      <c r="S6" s="3337">
        <v>0.8</v>
      </c>
      <c r="T6" s="3338">
        <f t="shared" si="2"/>
        <v>7.3376960506661879</v>
      </c>
    </row>
    <row r="7" spans="1:20" s="3337" customFormat="1">
      <c r="A7" s="3327">
        <v>6</v>
      </c>
      <c r="B7" s="3328">
        <v>6</v>
      </c>
      <c r="C7" s="3329" t="s">
        <v>3348</v>
      </c>
      <c r="D7" s="3339" t="s">
        <v>3349</v>
      </c>
      <c r="E7" s="3339" t="s">
        <v>3350</v>
      </c>
      <c r="F7" s="3331">
        <v>43775</v>
      </c>
      <c r="G7" s="3340">
        <v>272.8</v>
      </c>
      <c r="H7" s="3333">
        <v>233.19</v>
      </c>
      <c r="I7" s="3333">
        <v>2459804.7199999997</v>
      </c>
      <c r="J7" s="3331">
        <v>43814</v>
      </c>
      <c r="K7" s="3331">
        <v>44909</v>
      </c>
      <c r="L7" s="3334">
        <v>3</v>
      </c>
      <c r="M7" s="3335">
        <f t="shared" si="0"/>
        <v>819934.90666666662</v>
      </c>
      <c r="N7" s="3327"/>
      <c r="O7" s="3336">
        <v>8.49</v>
      </c>
      <c r="R7" s="3338">
        <f t="shared" si="1"/>
        <v>8.2345931252427054</v>
      </c>
      <c r="S7" s="3337">
        <v>0.8</v>
      </c>
      <c r="T7" s="3338">
        <f t="shared" si="2"/>
        <v>7.4345931252427055</v>
      </c>
    </row>
    <row r="8" spans="1:20" s="3337" customFormat="1">
      <c r="A8" s="3327">
        <v>7</v>
      </c>
      <c r="B8" s="3328">
        <v>6</v>
      </c>
      <c r="C8" s="3329" t="s">
        <v>3351</v>
      </c>
      <c r="D8" s="3339" t="s">
        <v>3349</v>
      </c>
      <c r="E8" s="3339" t="s">
        <v>3352</v>
      </c>
      <c r="F8" s="3331">
        <v>43775</v>
      </c>
      <c r="G8" s="3340">
        <v>325.47000000000003</v>
      </c>
      <c r="H8" s="3333">
        <v>279.20999999999998</v>
      </c>
      <c r="I8" s="3333">
        <v>2934698.16</v>
      </c>
      <c r="J8" s="3331">
        <v>43814</v>
      </c>
      <c r="K8" s="3331">
        <v>44909</v>
      </c>
      <c r="L8" s="3334">
        <v>3</v>
      </c>
      <c r="M8" s="3335">
        <f t="shared" si="0"/>
        <v>978232.72000000009</v>
      </c>
      <c r="N8" s="3327"/>
      <c r="O8" s="3336">
        <v>8.49</v>
      </c>
      <c r="R8" s="3338">
        <f t="shared" si="1"/>
        <v>8.2345212887074588</v>
      </c>
      <c r="S8" s="3337">
        <v>0.8</v>
      </c>
      <c r="T8" s="3338">
        <f t="shared" si="2"/>
        <v>7.434521288707459</v>
      </c>
    </row>
    <row r="9" spans="1:20" s="3337" customFormat="1">
      <c r="A9" s="3327">
        <v>8</v>
      </c>
      <c r="B9" s="3328">
        <v>6</v>
      </c>
      <c r="C9" s="3329" t="s">
        <v>3353</v>
      </c>
      <c r="D9" s="3339" t="s">
        <v>3354</v>
      </c>
      <c r="E9" s="3339" t="s">
        <v>3354</v>
      </c>
      <c r="F9" s="3331">
        <v>43958</v>
      </c>
      <c r="G9" s="3340">
        <v>319.12</v>
      </c>
      <c r="H9" s="3333">
        <v>272.77999999999997</v>
      </c>
      <c r="I9" s="3333">
        <v>2756946.5999999996</v>
      </c>
      <c r="J9" s="3331">
        <v>43936</v>
      </c>
      <c r="K9" s="3331">
        <v>45030</v>
      </c>
      <c r="L9" s="3334">
        <v>3</v>
      </c>
      <c r="M9" s="3335">
        <f t="shared" si="0"/>
        <v>918982.19999999984</v>
      </c>
      <c r="N9" s="3327"/>
      <c r="O9" s="3336">
        <v>8.43</v>
      </c>
      <c r="R9" s="3338">
        <f t="shared" si="1"/>
        <v>7.8896949487803774</v>
      </c>
      <c r="S9" s="3337">
        <v>0.8</v>
      </c>
      <c r="T9" s="3338">
        <f t="shared" si="2"/>
        <v>7.0896949487803775</v>
      </c>
    </row>
    <row r="10" spans="1:20" s="3350" customFormat="1">
      <c r="A10" s="3341">
        <v>9</v>
      </c>
      <c r="B10" s="3342">
        <v>6</v>
      </c>
      <c r="C10" s="3343" t="s">
        <v>3355</v>
      </c>
      <c r="D10" s="3344" t="s">
        <v>3354</v>
      </c>
      <c r="E10" s="3344" t="s">
        <v>3354</v>
      </c>
      <c r="F10" s="3345">
        <v>43958</v>
      </c>
      <c r="G10" s="3346">
        <v>130.15</v>
      </c>
      <c r="H10" s="3346">
        <v>111.25</v>
      </c>
      <c r="I10" s="3346">
        <v>1124387.04</v>
      </c>
      <c r="J10" s="3345">
        <v>43936</v>
      </c>
      <c r="K10" s="3345">
        <v>45030</v>
      </c>
      <c r="L10" s="3347">
        <v>3</v>
      </c>
      <c r="M10" s="3348">
        <f t="shared" si="0"/>
        <v>374795.68</v>
      </c>
      <c r="N10" s="3341"/>
      <c r="O10" s="3349">
        <v>8.43</v>
      </c>
      <c r="R10" s="3351">
        <f t="shared" si="1"/>
        <v>7.8896464037806737</v>
      </c>
      <c r="S10" s="3350">
        <v>0.8</v>
      </c>
      <c r="T10" s="3351">
        <f t="shared" si="2"/>
        <v>7.0896464037806739</v>
      </c>
    </row>
    <row r="11" spans="1:20" s="3337" customFormat="1">
      <c r="A11" s="3327">
        <v>10</v>
      </c>
      <c r="B11" s="3328">
        <v>6</v>
      </c>
      <c r="C11" s="3329">
        <v>52</v>
      </c>
      <c r="D11" s="3339" t="s">
        <v>3356</v>
      </c>
      <c r="E11" s="3339" t="s">
        <v>3356</v>
      </c>
      <c r="F11" s="3331">
        <v>44026</v>
      </c>
      <c r="G11" s="3340">
        <v>336.29</v>
      </c>
      <c r="H11" s="3333">
        <v>287.45999999999998</v>
      </c>
      <c r="I11" s="3333">
        <v>2943087.36</v>
      </c>
      <c r="J11" s="3331">
        <v>44105</v>
      </c>
      <c r="K11" s="3331">
        <v>45199</v>
      </c>
      <c r="L11" s="3334">
        <v>3</v>
      </c>
      <c r="M11" s="3335">
        <f t="shared" si="0"/>
        <v>981029.12</v>
      </c>
      <c r="N11" s="3327"/>
      <c r="O11" s="3336">
        <v>8.5500000000000007</v>
      </c>
      <c r="R11" s="3338">
        <f t="shared" si="1"/>
        <v>7.9923608007928575</v>
      </c>
      <c r="S11" s="3337">
        <v>0.8</v>
      </c>
      <c r="T11" s="3338">
        <f t="shared" si="2"/>
        <v>7.1923608007928577</v>
      </c>
    </row>
    <row r="12" spans="1:20" s="3337" customFormat="1">
      <c r="A12" s="3327">
        <v>11</v>
      </c>
      <c r="B12" s="3328">
        <v>6</v>
      </c>
      <c r="C12" s="3329" t="s">
        <v>3208</v>
      </c>
      <c r="D12" s="3330" t="s">
        <v>3357</v>
      </c>
      <c r="E12" s="3330" t="s">
        <v>3357</v>
      </c>
      <c r="F12" s="3331">
        <v>44029</v>
      </c>
      <c r="G12" s="3332">
        <v>312.91000000000003</v>
      </c>
      <c r="H12" s="3333">
        <v>267.48</v>
      </c>
      <c r="I12" s="3333">
        <v>1812992.8</v>
      </c>
      <c r="J12" s="3331">
        <v>44037</v>
      </c>
      <c r="K12" s="3331">
        <v>44766</v>
      </c>
      <c r="L12" s="3334">
        <v>2</v>
      </c>
      <c r="M12" s="3335">
        <f t="shared" si="0"/>
        <v>906496.4</v>
      </c>
      <c r="N12" s="3327" t="s">
        <v>3450</v>
      </c>
      <c r="O12" s="3336">
        <v>8.4</v>
      </c>
      <c r="R12" s="3338">
        <f t="shared" si="1"/>
        <v>7.9369524170589552</v>
      </c>
      <c r="S12" s="3337">
        <v>0.8</v>
      </c>
      <c r="T12" s="3338">
        <f t="shared" si="2"/>
        <v>7.1369524170589553</v>
      </c>
    </row>
    <row r="13" spans="1:20" s="3337" customFormat="1">
      <c r="A13" s="3327">
        <v>12</v>
      </c>
      <c r="B13" s="3328">
        <v>6</v>
      </c>
      <c r="C13" s="3329" t="s">
        <v>3358</v>
      </c>
      <c r="D13" s="3330" t="s">
        <v>3357</v>
      </c>
      <c r="E13" s="3330" t="s">
        <v>3357</v>
      </c>
      <c r="F13" s="3331">
        <v>44029</v>
      </c>
      <c r="G13" s="3332">
        <v>256.01</v>
      </c>
      <c r="H13" s="3333">
        <v>218.84</v>
      </c>
      <c r="I13" s="3333">
        <v>1483308.48</v>
      </c>
      <c r="J13" s="3331">
        <v>44037</v>
      </c>
      <c r="K13" s="3331">
        <v>44766</v>
      </c>
      <c r="L13" s="3334">
        <v>2</v>
      </c>
      <c r="M13" s="3335">
        <f t="shared" si="0"/>
        <v>741654.24</v>
      </c>
      <c r="N13" s="3327" t="s">
        <v>3450</v>
      </c>
      <c r="O13" s="3336">
        <v>8.4</v>
      </c>
      <c r="R13" s="3338">
        <f t="shared" si="1"/>
        <v>7.9369142793544558</v>
      </c>
      <c r="S13" s="3337">
        <v>0.8</v>
      </c>
      <c r="T13" s="3338">
        <f t="shared" si="2"/>
        <v>7.136914279354456</v>
      </c>
    </row>
    <row r="14" spans="1:20">
      <c r="A14" s="3256">
        <v>13</v>
      </c>
      <c r="B14" s="3265">
        <v>6</v>
      </c>
      <c r="C14" s="3259" t="s">
        <v>3359</v>
      </c>
      <c r="D14" s="3266" t="s">
        <v>3360</v>
      </c>
      <c r="E14" s="3266" t="s">
        <v>3360</v>
      </c>
      <c r="F14" s="3267">
        <v>44074</v>
      </c>
      <c r="G14" s="3269">
        <v>516.91623771642492</v>
      </c>
      <c r="H14" s="3269">
        <v>441.86</v>
      </c>
      <c r="I14" s="3269">
        <v>4145942.89</v>
      </c>
      <c r="J14" s="3267">
        <v>44075</v>
      </c>
      <c r="K14" s="3267">
        <v>45169</v>
      </c>
      <c r="L14" s="3270">
        <v>3</v>
      </c>
      <c r="M14" s="3271">
        <f t="shared" si="0"/>
        <v>1381980.9633333334</v>
      </c>
      <c r="N14" s="3256"/>
      <c r="O14" s="3290">
        <v>8.4</v>
      </c>
      <c r="R14" s="3310">
        <f t="shared" si="1"/>
        <v>7.3246861645096368</v>
      </c>
      <c r="S14">
        <v>0.8</v>
      </c>
      <c r="T14" s="3310">
        <f t="shared" si="2"/>
        <v>6.524686164509637</v>
      </c>
    </row>
    <row r="15" spans="1:20" s="3320" customFormat="1">
      <c r="A15" s="3312">
        <v>14</v>
      </c>
      <c r="B15" s="3313">
        <v>6</v>
      </c>
      <c r="C15" s="3314" t="s">
        <v>3361</v>
      </c>
      <c r="D15" s="3322" t="s">
        <v>3362</v>
      </c>
      <c r="E15" s="3322" t="s">
        <v>3362</v>
      </c>
      <c r="F15" s="3316">
        <v>44084</v>
      </c>
      <c r="G15" s="3324">
        <v>92.033224145999071</v>
      </c>
      <c r="H15" s="3324">
        <v>78.67</v>
      </c>
      <c r="I15" s="3324">
        <v>676897.6100000001</v>
      </c>
      <c r="J15" s="3316">
        <v>44090</v>
      </c>
      <c r="K15" s="3316">
        <v>45184</v>
      </c>
      <c r="L15" s="3325">
        <v>3</v>
      </c>
      <c r="M15" s="3318">
        <f t="shared" si="0"/>
        <v>225632.53666666671</v>
      </c>
      <c r="N15" s="3312"/>
      <c r="O15" s="3326">
        <v>7.52</v>
      </c>
      <c r="R15" s="3321">
        <f t="shared" si="1"/>
        <v>6.7168279615270556</v>
      </c>
      <c r="S15" s="3320">
        <v>0.8</v>
      </c>
      <c r="T15" s="3321">
        <f t="shared" si="2"/>
        <v>5.9168279615270558</v>
      </c>
    </row>
    <row r="16" spans="1:20">
      <c r="A16" s="3256">
        <v>15</v>
      </c>
      <c r="B16" s="3265">
        <v>6</v>
      </c>
      <c r="C16" s="3259" t="s">
        <v>3363</v>
      </c>
      <c r="D16" s="3266" t="s">
        <v>3364</v>
      </c>
      <c r="E16" s="3266" t="s">
        <v>3364</v>
      </c>
      <c r="F16" s="3267">
        <v>44084</v>
      </c>
      <c r="G16" s="3269">
        <v>414.84557791296209</v>
      </c>
      <c r="H16" s="3269">
        <v>354.61</v>
      </c>
      <c r="I16" s="3269">
        <v>2438511.12</v>
      </c>
      <c r="J16" s="3267">
        <v>44089</v>
      </c>
      <c r="K16" s="3267">
        <v>44940</v>
      </c>
      <c r="L16" s="3270">
        <v>2.33</v>
      </c>
      <c r="M16" s="3271">
        <f t="shared" si="0"/>
        <v>1046571.2961373391</v>
      </c>
      <c r="N16" s="3256"/>
      <c r="O16" s="3290">
        <v>8.4499999999999993</v>
      </c>
      <c r="R16" s="3310">
        <f t="shared" si="1"/>
        <v>6.9117733735513989</v>
      </c>
      <c r="S16">
        <v>0.8</v>
      </c>
      <c r="T16" s="3310">
        <f t="shared" si="2"/>
        <v>6.111773373551399</v>
      </c>
    </row>
    <row r="17" spans="1:20" s="3350" customFormat="1">
      <c r="A17" s="3341">
        <v>16</v>
      </c>
      <c r="B17" s="3342">
        <v>6</v>
      </c>
      <c r="C17" s="3343" t="s">
        <v>3365</v>
      </c>
      <c r="D17" s="3344" t="s">
        <v>3366</v>
      </c>
      <c r="E17" s="3344" t="s">
        <v>3366</v>
      </c>
      <c r="F17" s="3345">
        <v>44114</v>
      </c>
      <c r="G17" s="3346">
        <v>68.788020589611605</v>
      </c>
      <c r="H17" s="3346">
        <v>58.8</v>
      </c>
      <c r="I17" s="3346">
        <v>412785.82</v>
      </c>
      <c r="J17" s="3345">
        <v>44119</v>
      </c>
      <c r="K17" s="3345">
        <v>44848</v>
      </c>
      <c r="L17" s="3347">
        <v>2</v>
      </c>
      <c r="M17" s="3348">
        <f t="shared" si="0"/>
        <v>206392.91</v>
      </c>
      <c r="N17" s="3341"/>
      <c r="O17" s="3349">
        <v>9</v>
      </c>
      <c r="R17" s="3351">
        <f t="shared" si="1"/>
        <v>8.2203270649520093</v>
      </c>
      <c r="S17" s="3350">
        <v>0.8</v>
      </c>
      <c r="T17" s="3351">
        <f t="shared" si="2"/>
        <v>7.4203270649520094</v>
      </c>
    </row>
    <row r="18" spans="1:20">
      <c r="A18" s="3256">
        <v>17</v>
      </c>
      <c r="B18" s="3265">
        <v>6</v>
      </c>
      <c r="C18" s="3259" t="s">
        <v>3367</v>
      </c>
      <c r="D18" s="3266" t="s">
        <v>3368</v>
      </c>
      <c r="E18" s="3266" t="s">
        <v>3368</v>
      </c>
      <c r="F18" s="3267">
        <v>44173</v>
      </c>
      <c r="G18" s="3269">
        <v>423.47</v>
      </c>
      <c r="H18" s="3269">
        <v>361.98</v>
      </c>
      <c r="I18" s="3269">
        <v>2367748.8800000004</v>
      </c>
      <c r="J18" s="3267">
        <v>44197</v>
      </c>
      <c r="K18" s="3267">
        <v>44957</v>
      </c>
      <c r="L18" s="3270">
        <v>2.08</v>
      </c>
      <c r="M18" s="3271">
        <f t="shared" si="0"/>
        <v>1138340.8076923077</v>
      </c>
      <c r="N18" s="3256"/>
      <c r="O18" s="3290">
        <v>8.5500000000000007</v>
      </c>
      <c r="R18" s="3310">
        <f t="shared" si="1"/>
        <v>7.3647293524524402</v>
      </c>
      <c r="S18">
        <v>0.8</v>
      </c>
      <c r="T18" s="3310">
        <f t="shared" si="2"/>
        <v>6.5647293524524404</v>
      </c>
    </row>
    <row r="19" spans="1:20" s="3350" customFormat="1">
      <c r="A19" s="3341">
        <v>18</v>
      </c>
      <c r="B19" s="3342">
        <v>6</v>
      </c>
      <c r="C19" s="3343" t="s">
        <v>3369</v>
      </c>
      <c r="D19" s="3344" t="s">
        <v>3370</v>
      </c>
      <c r="E19" s="3344" t="s">
        <v>3371</v>
      </c>
      <c r="F19" s="3345">
        <v>44158</v>
      </c>
      <c r="G19" s="3346">
        <v>44.665418811417872</v>
      </c>
      <c r="H19" s="3346">
        <v>38.18</v>
      </c>
      <c r="I19" s="3346">
        <v>486750.74</v>
      </c>
      <c r="J19" s="3345">
        <v>44161</v>
      </c>
      <c r="K19" s="3345">
        <v>45285</v>
      </c>
      <c r="L19" s="3347">
        <v>3.08</v>
      </c>
      <c r="M19" s="3348">
        <f t="shared" si="0"/>
        <v>158035.95454545453</v>
      </c>
      <c r="N19" s="3341"/>
      <c r="O19" s="3349">
        <v>10.62</v>
      </c>
      <c r="R19" s="3351">
        <f t="shared" si="1"/>
        <v>9.6937458430831995</v>
      </c>
      <c r="S19" s="3350">
        <v>0.8</v>
      </c>
      <c r="T19" s="3351">
        <f t="shared" si="2"/>
        <v>8.8937458430831988</v>
      </c>
    </row>
    <row r="20" spans="1:20" s="3337" customFormat="1">
      <c r="A20" s="3327">
        <v>19</v>
      </c>
      <c r="B20" s="3328">
        <v>6</v>
      </c>
      <c r="C20" s="3329" t="s">
        <v>3372</v>
      </c>
      <c r="D20" s="3339" t="s">
        <v>3373</v>
      </c>
      <c r="E20" s="3339" t="s">
        <v>3373</v>
      </c>
      <c r="F20" s="3331">
        <v>44200</v>
      </c>
      <c r="G20" s="3340">
        <v>565.25</v>
      </c>
      <c r="H20" s="3333">
        <v>483.19</v>
      </c>
      <c r="I20" s="3333">
        <v>4612221.7200000007</v>
      </c>
      <c r="J20" s="3331">
        <v>44378</v>
      </c>
      <c r="K20" s="3331">
        <v>45504</v>
      </c>
      <c r="L20" s="3334">
        <v>3.08</v>
      </c>
      <c r="M20" s="3335">
        <f t="shared" si="0"/>
        <v>1497474.5844155846</v>
      </c>
      <c r="N20" s="3327"/>
      <c r="O20" s="3336">
        <v>8.43</v>
      </c>
      <c r="R20" s="3338">
        <f t="shared" si="1"/>
        <v>7.2581514273140613</v>
      </c>
      <c r="S20" s="3337">
        <v>0.8</v>
      </c>
      <c r="T20" s="3338">
        <f t="shared" si="2"/>
        <v>6.4581514273140614</v>
      </c>
    </row>
    <row r="21" spans="1:20" s="3337" customFormat="1">
      <c r="A21" s="3327">
        <v>20</v>
      </c>
      <c r="B21" s="3328">
        <v>6</v>
      </c>
      <c r="C21" s="3329" t="s">
        <v>3212</v>
      </c>
      <c r="D21" s="3339" t="s">
        <v>3373</v>
      </c>
      <c r="E21" s="3339" t="s">
        <v>3373</v>
      </c>
      <c r="F21" s="3331">
        <v>44200</v>
      </c>
      <c r="G21" s="3340">
        <v>244.33</v>
      </c>
      <c r="H21" s="3333">
        <v>208.85</v>
      </c>
      <c r="I21" s="3333">
        <v>1993548.07</v>
      </c>
      <c r="J21" s="3331">
        <v>44378</v>
      </c>
      <c r="K21" s="3331">
        <v>45504</v>
      </c>
      <c r="L21" s="3334">
        <v>3.08</v>
      </c>
      <c r="M21" s="3335">
        <f t="shared" si="0"/>
        <v>647255.86688311689</v>
      </c>
      <c r="N21" s="3327"/>
      <c r="O21" s="3336">
        <v>8.43</v>
      </c>
      <c r="R21" s="3338">
        <f t="shared" si="1"/>
        <v>7.2578223913774469</v>
      </c>
      <c r="S21" s="3337">
        <v>0.8</v>
      </c>
      <c r="T21" s="3338">
        <f t="shared" si="2"/>
        <v>6.4578223913774471</v>
      </c>
    </row>
    <row r="22" spans="1:20" s="3350" customFormat="1">
      <c r="A22" s="3341">
        <v>21</v>
      </c>
      <c r="B22" s="3342">
        <v>6</v>
      </c>
      <c r="C22" s="3343" t="s">
        <v>3374</v>
      </c>
      <c r="D22" s="3344" t="s">
        <v>3375</v>
      </c>
      <c r="E22" s="3344" t="s">
        <v>3376</v>
      </c>
      <c r="F22" s="3345">
        <v>44207</v>
      </c>
      <c r="G22" s="3346">
        <v>121.78287318671033</v>
      </c>
      <c r="H22" s="3346">
        <v>104.1</v>
      </c>
      <c r="I22" s="3346">
        <v>1088694.71</v>
      </c>
      <c r="J22" s="3345">
        <v>44256</v>
      </c>
      <c r="K22" s="3345">
        <v>45351</v>
      </c>
      <c r="L22" s="3347">
        <v>3</v>
      </c>
      <c r="M22" s="3348">
        <f t="shared" si="0"/>
        <v>362898.23666666663</v>
      </c>
      <c r="N22" s="3341"/>
      <c r="O22" s="3349">
        <v>8.6999999999999993</v>
      </c>
      <c r="R22" s="3351">
        <f t="shared" si="1"/>
        <v>8.1640522864649814</v>
      </c>
      <c r="S22" s="3350">
        <v>0.8</v>
      </c>
      <c r="T22" s="3351">
        <f t="shared" si="2"/>
        <v>7.3640522864649816</v>
      </c>
    </row>
    <row r="23" spans="1:20" s="3350" customFormat="1">
      <c r="A23" s="3341">
        <v>22</v>
      </c>
      <c r="B23" s="3342">
        <v>6</v>
      </c>
      <c r="C23" s="3343" t="s">
        <v>3377</v>
      </c>
      <c r="D23" s="3344" t="s">
        <v>3378</v>
      </c>
      <c r="E23" s="3344" t="s">
        <v>3378</v>
      </c>
      <c r="F23" s="3345">
        <v>44235</v>
      </c>
      <c r="G23" s="3352">
        <v>25.900795507721107</v>
      </c>
      <c r="H23" s="3346">
        <v>22.14</v>
      </c>
      <c r="I23" s="3346">
        <v>201260.36</v>
      </c>
      <c r="J23" s="3345">
        <v>44256</v>
      </c>
      <c r="K23" s="3345">
        <v>44985</v>
      </c>
      <c r="L23" s="3347">
        <v>2</v>
      </c>
      <c r="M23" s="3348">
        <f t="shared" si="0"/>
        <v>100630.18</v>
      </c>
      <c r="N23" s="3341"/>
      <c r="O23" s="3349">
        <v>11.7</v>
      </c>
      <c r="R23" s="3351">
        <f t="shared" si="1"/>
        <v>10.644426855749835</v>
      </c>
      <c r="S23" s="3350">
        <v>0.8</v>
      </c>
      <c r="T23" s="3351">
        <f t="shared" si="2"/>
        <v>9.844426855749834</v>
      </c>
    </row>
    <row r="24" spans="1:20">
      <c r="A24" s="3256">
        <v>23</v>
      </c>
      <c r="B24" s="3265">
        <v>6</v>
      </c>
      <c r="C24" s="3259" t="s">
        <v>3379</v>
      </c>
      <c r="D24" s="3266" t="s">
        <v>3380</v>
      </c>
      <c r="E24" s="3266" t="s">
        <v>3381</v>
      </c>
      <c r="F24" s="3267">
        <v>44273</v>
      </c>
      <c r="G24" s="3268">
        <v>104.78474496958351</v>
      </c>
      <c r="H24" s="3269">
        <v>89.57</v>
      </c>
      <c r="I24" s="3269">
        <v>890558.65</v>
      </c>
      <c r="J24" s="3267">
        <v>44273</v>
      </c>
      <c r="K24" s="3267">
        <v>45368</v>
      </c>
      <c r="L24" s="3270">
        <v>3</v>
      </c>
      <c r="M24" s="3271">
        <f t="shared" si="0"/>
        <v>296852.88333333336</v>
      </c>
      <c r="N24" s="3256"/>
      <c r="O24" s="3290">
        <v>8.24</v>
      </c>
      <c r="R24" s="3310">
        <f t="shared" si="1"/>
        <v>7.7615837211068834</v>
      </c>
      <c r="S24">
        <v>0.8</v>
      </c>
      <c r="T24" s="3310">
        <f t="shared" si="2"/>
        <v>6.9615837211068836</v>
      </c>
    </row>
    <row r="25" spans="1:20">
      <c r="A25" s="3256">
        <v>24</v>
      </c>
      <c r="B25" s="3265">
        <v>6</v>
      </c>
      <c r="C25" s="3259" t="s">
        <v>3451</v>
      </c>
      <c r="D25" s="3266" t="s">
        <v>3383</v>
      </c>
      <c r="E25" s="3266" t="s">
        <v>3383</v>
      </c>
      <c r="F25" s="3267">
        <v>44301</v>
      </c>
      <c r="G25" s="3268">
        <v>2328.7435657463734</v>
      </c>
      <c r="H25" s="3269">
        <v>1990.61</v>
      </c>
      <c r="I25" s="3269">
        <v>60210470.060000002</v>
      </c>
      <c r="J25" s="3267">
        <v>44301</v>
      </c>
      <c r="K25" s="3267">
        <v>48013</v>
      </c>
      <c r="L25" s="3270">
        <v>10.17</v>
      </c>
      <c r="M25" s="3271">
        <f t="shared" si="0"/>
        <v>5920400.2025565393</v>
      </c>
      <c r="N25" s="3256"/>
      <c r="O25" s="3290">
        <v>6.81</v>
      </c>
      <c r="R25" s="3310">
        <f t="shared" si="1"/>
        <v>6.9652471685320529</v>
      </c>
      <c r="S25">
        <v>0.8</v>
      </c>
      <c r="T25" s="3310">
        <f t="shared" si="2"/>
        <v>6.1652471685320531</v>
      </c>
    </row>
    <row r="26" spans="1:20">
      <c r="A26" s="3256">
        <v>25</v>
      </c>
      <c r="B26" s="3265">
        <v>6</v>
      </c>
      <c r="C26" s="3259" t="s">
        <v>3384</v>
      </c>
      <c r="D26" s="3266" t="s">
        <v>3385</v>
      </c>
      <c r="E26" s="3266" t="s">
        <v>3386</v>
      </c>
      <c r="F26" s="3267">
        <v>44295</v>
      </c>
      <c r="G26" s="3268">
        <v>317.46607393542348</v>
      </c>
      <c r="H26" s="3269">
        <v>271.37</v>
      </c>
      <c r="I26" s="3269">
        <v>2711495.14</v>
      </c>
      <c r="J26" s="3267">
        <v>44311</v>
      </c>
      <c r="K26" s="3267">
        <v>45421</v>
      </c>
      <c r="L26" s="3270">
        <v>3.04</v>
      </c>
      <c r="M26" s="3271">
        <f t="shared" si="0"/>
        <v>891939.19078947371</v>
      </c>
      <c r="N26" s="3256"/>
      <c r="O26" s="3290">
        <v>8.41</v>
      </c>
      <c r="R26" s="3310">
        <f t="shared" si="1"/>
        <v>7.6974178234825947</v>
      </c>
      <c r="S26">
        <v>0.8</v>
      </c>
      <c r="T26" s="3310">
        <f t="shared" si="2"/>
        <v>6.8974178234825949</v>
      </c>
    </row>
    <row r="27" spans="1:20">
      <c r="A27" s="3256">
        <v>26</v>
      </c>
      <c r="B27" s="3265">
        <v>6</v>
      </c>
      <c r="C27" s="3259" t="s">
        <v>3387</v>
      </c>
      <c r="D27" s="3266" t="s">
        <v>3388</v>
      </c>
      <c r="E27" s="3266" t="s">
        <v>3389</v>
      </c>
      <c r="F27" s="3267">
        <v>44298</v>
      </c>
      <c r="G27" s="3268">
        <v>1380.6738418343473</v>
      </c>
      <c r="H27" s="3269">
        <v>1180.2</v>
      </c>
      <c r="I27" s="3269">
        <v>17335741.460000001</v>
      </c>
      <c r="J27" s="3267">
        <v>44317</v>
      </c>
      <c r="K27" s="3267">
        <v>46173</v>
      </c>
      <c r="L27" s="3270">
        <v>5.08</v>
      </c>
      <c r="M27" s="3271">
        <f t="shared" si="0"/>
        <v>3412547.5314960633</v>
      </c>
      <c r="N27" s="3256"/>
      <c r="O27" s="3290">
        <v>7.29</v>
      </c>
      <c r="R27" s="3310">
        <f t="shared" si="1"/>
        <v>6.7716538174928207</v>
      </c>
      <c r="S27">
        <v>0.8</v>
      </c>
      <c r="T27" s="3310">
        <f t="shared" si="2"/>
        <v>5.9716538174928209</v>
      </c>
    </row>
    <row r="28" spans="1:20">
      <c r="A28" s="3256">
        <v>27</v>
      </c>
      <c r="B28" s="3265">
        <v>6</v>
      </c>
      <c r="C28" s="3259" t="s">
        <v>3390</v>
      </c>
      <c r="D28" s="3266" t="s">
        <v>3388</v>
      </c>
      <c r="E28" s="3266" t="s">
        <v>3389</v>
      </c>
      <c r="F28" s="3267">
        <v>44298</v>
      </c>
      <c r="G28" s="3268">
        <v>1074.4267664950864</v>
      </c>
      <c r="H28" s="3269">
        <v>918.42</v>
      </c>
      <c r="I28" s="3269">
        <v>13490502.99</v>
      </c>
      <c r="J28" s="3267">
        <v>44317</v>
      </c>
      <c r="K28" s="3267">
        <v>46173</v>
      </c>
      <c r="L28" s="3270">
        <v>5.08</v>
      </c>
      <c r="M28" s="3271">
        <f t="shared" si="0"/>
        <v>2655610.8248031498</v>
      </c>
      <c r="N28" s="3256"/>
      <c r="O28" s="3290">
        <v>7.29</v>
      </c>
      <c r="R28" s="3310">
        <f t="shared" si="1"/>
        <v>6.7716537992488366</v>
      </c>
      <c r="S28">
        <v>0.8</v>
      </c>
      <c r="T28" s="3310">
        <f t="shared" si="2"/>
        <v>5.9716537992488368</v>
      </c>
    </row>
    <row r="29" spans="1:20">
      <c r="A29" s="3256">
        <v>28</v>
      </c>
      <c r="B29" s="3265">
        <v>6</v>
      </c>
      <c r="C29" s="3259" t="s">
        <v>3391</v>
      </c>
      <c r="D29" s="3266" t="s">
        <v>3392</v>
      </c>
      <c r="E29" s="3266" t="s">
        <v>3393</v>
      </c>
      <c r="F29" s="3267">
        <v>44326</v>
      </c>
      <c r="G29" s="3269">
        <v>155.48666354702854</v>
      </c>
      <c r="H29" s="3269">
        <v>132.91</v>
      </c>
      <c r="I29" s="3269">
        <v>1303198.04</v>
      </c>
      <c r="J29" s="3267">
        <v>44306</v>
      </c>
      <c r="K29" s="3267">
        <v>45401</v>
      </c>
      <c r="L29" s="3270">
        <v>3</v>
      </c>
      <c r="M29" s="3271">
        <f t="shared" si="0"/>
        <v>434399.34666666668</v>
      </c>
      <c r="N29" s="3256"/>
      <c r="O29" s="3290">
        <v>8.24</v>
      </c>
      <c r="R29" s="3310">
        <f t="shared" si="1"/>
        <v>7.6542590161571216</v>
      </c>
      <c r="S29">
        <v>0.8</v>
      </c>
      <c r="T29" s="3310">
        <f t="shared" si="2"/>
        <v>6.8542590161571217</v>
      </c>
    </row>
    <row r="30" spans="1:20" s="3350" customFormat="1">
      <c r="A30" s="3341">
        <v>29</v>
      </c>
      <c r="B30" s="3342">
        <v>6</v>
      </c>
      <c r="C30" s="3343" t="s">
        <v>3394</v>
      </c>
      <c r="D30" s="3344" t="s">
        <v>3395</v>
      </c>
      <c r="E30" s="3344" t="s">
        <v>3395</v>
      </c>
      <c r="F30" s="3345">
        <v>44326</v>
      </c>
      <c r="G30" s="3346">
        <v>194.48993916705663</v>
      </c>
      <c r="H30" s="3346">
        <v>166.25</v>
      </c>
      <c r="I30" s="3346">
        <v>1653078.62</v>
      </c>
      <c r="J30" s="3345">
        <v>44336</v>
      </c>
      <c r="K30" s="3345">
        <v>45431</v>
      </c>
      <c r="L30" s="3347">
        <v>3</v>
      </c>
      <c r="M30" s="3348">
        <f t="shared" si="0"/>
        <v>551026.20666666667</v>
      </c>
      <c r="N30" s="3341"/>
      <c r="O30" s="3349">
        <v>8.24</v>
      </c>
      <c r="R30" s="3351">
        <f t="shared" si="1"/>
        <v>7.762153901883476</v>
      </c>
      <c r="S30" s="3350">
        <v>0.8</v>
      </c>
      <c r="T30" s="3351">
        <f t="shared" si="2"/>
        <v>6.9621539018834762</v>
      </c>
    </row>
    <row r="31" spans="1:20">
      <c r="A31" s="3256">
        <v>30</v>
      </c>
      <c r="B31" s="3265">
        <v>6</v>
      </c>
      <c r="C31" s="3259" t="s">
        <v>3396</v>
      </c>
      <c r="D31" s="3266" t="s">
        <v>3397</v>
      </c>
      <c r="E31" s="3266" t="s">
        <v>3397</v>
      </c>
      <c r="F31" s="3267">
        <v>44348</v>
      </c>
      <c r="G31" s="3269">
        <v>416.05</v>
      </c>
      <c r="H31" s="3269">
        <v>355.64</v>
      </c>
      <c r="I31" s="3269">
        <v>2308815.77</v>
      </c>
      <c r="J31" s="3267">
        <v>44367</v>
      </c>
      <c r="K31" s="3267">
        <v>45053</v>
      </c>
      <c r="L31" s="3270">
        <v>1.88</v>
      </c>
      <c r="M31" s="3271">
        <f t="shared" si="0"/>
        <v>1228093.4946808512</v>
      </c>
      <c r="N31" s="3256"/>
      <c r="O31" s="3290">
        <v>8.43</v>
      </c>
      <c r="R31" s="3310">
        <f t="shared" si="1"/>
        <v>8.0871042217387021</v>
      </c>
      <c r="S31">
        <v>0.8</v>
      </c>
      <c r="T31" s="3310">
        <f t="shared" si="2"/>
        <v>7.2871042217387023</v>
      </c>
    </row>
    <row r="32" spans="1:20">
      <c r="A32" s="3256">
        <v>31</v>
      </c>
      <c r="B32" s="3265">
        <v>6</v>
      </c>
      <c r="C32" s="3259" t="s">
        <v>3398</v>
      </c>
      <c r="D32" s="3266" t="s">
        <v>3399</v>
      </c>
      <c r="E32" s="3266" t="s">
        <v>3397</v>
      </c>
      <c r="F32" s="3267">
        <v>44348</v>
      </c>
      <c r="G32" s="3268">
        <v>378.53299017313992</v>
      </c>
      <c r="H32" s="3269">
        <v>323.57</v>
      </c>
      <c r="I32" s="3269">
        <v>2108926.79</v>
      </c>
      <c r="J32" s="3267">
        <v>44324</v>
      </c>
      <c r="K32" s="3267">
        <v>45053</v>
      </c>
      <c r="L32" s="3270">
        <v>2</v>
      </c>
      <c r="M32" s="3271">
        <f t="shared" si="0"/>
        <v>1054463.395</v>
      </c>
      <c r="N32" s="3256"/>
      <c r="O32" s="3290">
        <v>8.6999999999999993</v>
      </c>
      <c r="R32" s="3310">
        <f t="shared" si="1"/>
        <v>7.6319393110169464</v>
      </c>
      <c r="S32">
        <v>0.8</v>
      </c>
      <c r="T32" s="3310">
        <f t="shared" si="2"/>
        <v>6.8319393110169466</v>
      </c>
    </row>
    <row r="33" spans="1:25">
      <c r="A33" s="3256">
        <v>32</v>
      </c>
      <c r="B33" s="3265">
        <v>6</v>
      </c>
      <c r="C33" s="3259" t="s">
        <v>3400</v>
      </c>
      <c r="D33" s="3275" t="s">
        <v>3401</v>
      </c>
      <c r="E33" s="3275" t="s">
        <v>3402</v>
      </c>
      <c r="F33" s="3267">
        <v>44385</v>
      </c>
      <c r="G33" s="3268">
        <v>333.81</v>
      </c>
      <c r="H33" s="3269">
        <v>285.33999999999997</v>
      </c>
      <c r="I33" s="3269">
        <v>2911054.15</v>
      </c>
      <c r="J33" s="3267">
        <v>44355</v>
      </c>
      <c r="K33" s="3267">
        <v>45480</v>
      </c>
      <c r="L33" s="3270">
        <v>3.08</v>
      </c>
      <c r="M33" s="3271">
        <f t="shared" si="0"/>
        <v>945147.45129870123</v>
      </c>
      <c r="N33" s="3256"/>
      <c r="O33" s="3290">
        <v>8.43</v>
      </c>
      <c r="R33" s="3310">
        <f t="shared" si="1"/>
        <v>7.757242359579509</v>
      </c>
      <c r="S33">
        <v>0.8</v>
      </c>
      <c r="T33" s="3310">
        <f t="shared" si="2"/>
        <v>6.9572423595795092</v>
      </c>
    </row>
    <row r="34" spans="1:25">
      <c r="A34" s="3256">
        <v>33</v>
      </c>
      <c r="B34" s="3265">
        <v>6</v>
      </c>
      <c r="C34" s="3259" t="s">
        <v>3403</v>
      </c>
      <c r="D34" s="3266" t="s">
        <v>3404</v>
      </c>
      <c r="E34" s="3266" t="s">
        <v>3405</v>
      </c>
      <c r="F34" s="3267">
        <v>44385</v>
      </c>
      <c r="G34" s="3268">
        <v>292.33999999999997</v>
      </c>
      <c r="H34" s="3269">
        <v>249.89</v>
      </c>
      <c r="I34" s="3269">
        <v>2549391.34</v>
      </c>
      <c r="J34" s="3267">
        <v>44355</v>
      </c>
      <c r="K34" s="3267">
        <v>45480</v>
      </c>
      <c r="L34" s="3270">
        <v>3.08</v>
      </c>
      <c r="M34" s="3271">
        <f t="shared" si="0"/>
        <v>827724.46103896096</v>
      </c>
      <c r="N34" s="3256"/>
      <c r="O34" s="3290">
        <v>8.43</v>
      </c>
      <c r="R34" s="3310">
        <f t="shared" si="1"/>
        <v>7.7571945317842621</v>
      </c>
      <c r="S34">
        <v>0.8</v>
      </c>
      <c r="T34" s="3310">
        <f t="shared" si="2"/>
        <v>6.9571945317842623</v>
      </c>
    </row>
    <row r="35" spans="1:25" s="3350" customFormat="1">
      <c r="A35" s="3341">
        <v>34</v>
      </c>
      <c r="B35" s="3342">
        <v>6</v>
      </c>
      <c r="C35" s="3343" t="s">
        <v>3406</v>
      </c>
      <c r="D35" s="3344" t="s">
        <v>3407</v>
      </c>
      <c r="E35" s="3344" t="s">
        <v>3408</v>
      </c>
      <c r="F35" s="3345">
        <v>44400</v>
      </c>
      <c r="G35" s="3352">
        <v>232.65091249415067</v>
      </c>
      <c r="H35" s="3346">
        <v>198.87</v>
      </c>
      <c r="I35" s="3346">
        <v>1949943.56</v>
      </c>
      <c r="J35" s="3345">
        <v>44409</v>
      </c>
      <c r="K35" s="3345">
        <v>45504</v>
      </c>
      <c r="L35" s="3347">
        <v>3</v>
      </c>
      <c r="M35" s="3348">
        <f t="shared" si="0"/>
        <v>649981.18666666665</v>
      </c>
      <c r="N35" s="3341"/>
      <c r="O35" s="3349">
        <v>8.24</v>
      </c>
      <c r="R35" s="3351">
        <f t="shared" si="1"/>
        <v>7.6542591444767956</v>
      </c>
      <c r="S35" s="3350">
        <v>0.8</v>
      </c>
      <c r="T35" s="3351">
        <f t="shared" si="2"/>
        <v>6.8542591444767957</v>
      </c>
    </row>
    <row r="36" spans="1:25" s="3320" customFormat="1">
      <c r="A36" s="3312">
        <v>35</v>
      </c>
      <c r="B36" s="3313">
        <v>6</v>
      </c>
      <c r="C36" s="3314" t="s">
        <v>3409</v>
      </c>
      <c r="D36" s="3322" t="s">
        <v>3410</v>
      </c>
      <c r="E36" s="3322" t="s">
        <v>3411</v>
      </c>
      <c r="F36" s="3316">
        <v>44400</v>
      </c>
      <c r="G36" s="3323">
        <v>268.6008423022929</v>
      </c>
      <c r="H36" s="3324">
        <v>229.6</v>
      </c>
      <c r="I36" s="3324">
        <v>2251254.7800000003</v>
      </c>
      <c r="J36" s="3316">
        <v>44409</v>
      </c>
      <c r="K36" s="3316">
        <v>45504</v>
      </c>
      <c r="L36" s="3325">
        <v>3</v>
      </c>
      <c r="M36" s="3318">
        <f t="shared" si="0"/>
        <v>750418.26000000013</v>
      </c>
      <c r="N36" s="3312"/>
      <c r="O36" s="3326">
        <v>8.24</v>
      </c>
      <c r="R36" s="3321">
        <f t="shared" si="1"/>
        <v>7.6542590884444683</v>
      </c>
      <c r="S36" s="3320">
        <v>0.8</v>
      </c>
      <c r="T36" s="3321">
        <f t="shared" si="2"/>
        <v>6.8542590884444685</v>
      </c>
    </row>
    <row r="37" spans="1:25" s="3350" customFormat="1">
      <c r="A37" s="3341">
        <v>36</v>
      </c>
      <c r="B37" s="3342">
        <v>6</v>
      </c>
      <c r="C37" s="3343" t="s">
        <v>3412</v>
      </c>
      <c r="D37" s="3353" t="s">
        <v>3413</v>
      </c>
      <c r="E37" s="3353" t="s">
        <v>3413</v>
      </c>
      <c r="F37" s="3345">
        <v>44455</v>
      </c>
      <c r="G37" s="3354">
        <v>78.790360318203085</v>
      </c>
      <c r="H37" s="3346">
        <v>67.349999999999994</v>
      </c>
      <c r="I37" s="3346">
        <v>537665.73</v>
      </c>
      <c r="J37" s="3345">
        <v>44469</v>
      </c>
      <c r="K37" s="3345">
        <v>45198</v>
      </c>
      <c r="L37" s="3347">
        <v>2</v>
      </c>
      <c r="M37" s="3348">
        <f t="shared" si="0"/>
        <v>268832.86499999999</v>
      </c>
      <c r="N37" s="3341"/>
      <c r="O37" s="3349">
        <v>10.34</v>
      </c>
      <c r="R37" s="3351">
        <f t="shared" si="1"/>
        <v>9.3479506158586823</v>
      </c>
      <c r="S37" s="3350">
        <v>0.8</v>
      </c>
      <c r="T37" s="3351">
        <f t="shared" si="2"/>
        <v>8.5479506158586815</v>
      </c>
    </row>
    <row r="38" spans="1:25" s="3350" customFormat="1">
      <c r="A38" s="3341">
        <v>37</v>
      </c>
      <c r="B38" s="3342">
        <v>6</v>
      </c>
      <c r="C38" s="3343" t="s">
        <v>3414</v>
      </c>
      <c r="D38" s="3344" t="s">
        <v>3415</v>
      </c>
      <c r="E38" s="3344" t="s">
        <v>3415</v>
      </c>
      <c r="F38" s="3345">
        <v>44466</v>
      </c>
      <c r="G38" s="3346">
        <v>25.64</v>
      </c>
      <c r="H38" s="3346">
        <v>21.92</v>
      </c>
      <c r="I38" s="3346">
        <v>350435.04000000004</v>
      </c>
      <c r="J38" s="3345">
        <v>44469</v>
      </c>
      <c r="K38" s="3345">
        <v>46294</v>
      </c>
      <c r="L38" s="3347">
        <v>5</v>
      </c>
      <c r="M38" s="3348">
        <f t="shared" si="0"/>
        <v>70087.008000000002</v>
      </c>
      <c r="N38" s="3341"/>
      <c r="O38" s="3349">
        <v>7.2</v>
      </c>
      <c r="R38" s="3351">
        <f t="shared" si="1"/>
        <v>7.4890483619344765</v>
      </c>
      <c r="S38" s="3350">
        <v>0.8</v>
      </c>
      <c r="T38" s="3351">
        <f t="shared" si="2"/>
        <v>6.6890483619344767</v>
      </c>
    </row>
    <row r="39" spans="1:25">
      <c r="A39" s="3256">
        <v>38</v>
      </c>
      <c r="B39" s="3265">
        <v>6</v>
      </c>
      <c r="C39" s="3259" t="s">
        <v>3416</v>
      </c>
      <c r="D39" s="3266" t="s">
        <v>3417</v>
      </c>
      <c r="E39" s="3266" t="s">
        <v>3417</v>
      </c>
      <c r="F39" s="3267">
        <v>44494</v>
      </c>
      <c r="G39" s="3268">
        <v>298.38558727187649</v>
      </c>
      <c r="H39" s="3269">
        <v>255.06</v>
      </c>
      <c r="I39" s="3269">
        <v>1764962.0499999998</v>
      </c>
      <c r="J39" s="3267">
        <v>44501</v>
      </c>
      <c r="K39" s="3267">
        <v>45230</v>
      </c>
      <c r="L39" s="3270">
        <v>2</v>
      </c>
      <c r="M39" s="3271">
        <f t="shared" si="0"/>
        <v>882481.02499999991</v>
      </c>
      <c r="N39" s="3256"/>
      <c r="O39" s="3290">
        <v>9.2899999999999991</v>
      </c>
      <c r="R39" s="3310">
        <f t="shared" si="1"/>
        <v>8.1027916092802208</v>
      </c>
      <c r="S39">
        <v>0.8</v>
      </c>
      <c r="T39" s="3310">
        <f t="shared" si="2"/>
        <v>7.302791609280221</v>
      </c>
    </row>
    <row r="40" spans="1:25" s="3320" customFormat="1">
      <c r="A40" s="3312">
        <v>39</v>
      </c>
      <c r="B40" s="3313">
        <v>6</v>
      </c>
      <c r="C40" s="3314" t="s">
        <v>3418</v>
      </c>
      <c r="D40" s="3322" t="s">
        <v>3419</v>
      </c>
      <c r="E40" s="3322" t="s">
        <v>3420</v>
      </c>
      <c r="F40" s="3316">
        <v>44510</v>
      </c>
      <c r="G40" s="3323">
        <v>212.79831539541414</v>
      </c>
      <c r="H40" s="3324">
        <v>181.9</v>
      </c>
      <c r="I40" s="3324">
        <v>1052834.95</v>
      </c>
      <c r="J40" s="3316">
        <v>44522</v>
      </c>
      <c r="K40" s="3316">
        <v>45251</v>
      </c>
      <c r="L40" s="3325">
        <v>2</v>
      </c>
      <c r="M40" s="3318">
        <f t="shared" si="0"/>
        <v>526417.47499999998</v>
      </c>
      <c r="N40" s="3312"/>
      <c r="O40" s="3326">
        <v>7.46</v>
      </c>
      <c r="R40" s="3321">
        <f t="shared" si="1"/>
        <v>6.7774956528877066</v>
      </c>
      <c r="S40" s="3320">
        <v>0.8</v>
      </c>
      <c r="T40" s="3321">
        <f t="shared" si="2"/>
        <v>5.9774956528877068</v>
      </c>
    </row>
    <row r="41" spans="1:25" s="3320" customFormat="1">
      <c r="A41" s="3312">
        <v>40</v>
      </c>
      <c r="B41" s="3313">
        <v>6</v>
      </c>
      <c r="C41" s="3314" t="s">
        <v>3421</v>
      </c>
      <c r="D41" s="3315" t="s">
        <v>3422</v>
      </c>
      <c r="E41" s="3315" t="s">
        <v>3423</v>
      </c>
      <c r="F41" s="3316">
        <v>44601</v>
      </c>
      <c r="G41" s="3317">
        <v>223.12821712681327</v>
      </c>
      <c r="H41" s="3317">
        <v>190.73</v>
      </c>
      <c r="I41" s="3317">
        <v>1590387.83</v>
      </c>
      <c r="J41" s="3316">
        <v>44621</v>
      </c>
      <c r="K41" s="3316">
        <v>45716</v>
      </c>
      <c r="L41" s="3313">
        <v>3</v>
      </c>
      <c r="M41" s="3318">
        <f t="shared" si="0"/>
        <v>530129.27666666673</v>
      </c>
      <c r="N41" s="3312"/>
      <c r="O41" s="3319">
        <v>7</v>
      </c>
      <c r="R41" s="3321">
        <f t="shared" si="1"/>
        <v>6.5093021217638469</v>
      </c>
      <c r="S41" s="3320">
        <v>0.8</v>
      </c>
      <c r="T41" s="3321">
        <f t="shared" si="2"/>
        <v>5.7093021217638471</v>
      </c>
    </row>
    <row r="42" spans="1:25" s="3320" customFormat="1">
      <c r="A42" s="3312">
        <v>41</v>
      </c>
      <c r="B42" s="3313">
        <v>6</v>
      </c>
      <c r="C42" s="3314" t="s">
        <v>3424</v>
      </c>
      <c r="D42" s="3315" t="s">
        <v>3422</v>
      </c>
      <c r="E42" s="3315" t="s">
        <v>3423</v>
      </c>
      <c r="F42" s="3316">
        <v>44601</v>
      </c>
      <c r="G42" s="3317">
        <v>254.05942910622366</v>
      </c>
      <c r="H42" s="3317">
        <v>217.17</v>
      </c>
      <c r="I42" s="3317">
        <v>1810855.77</v>
      </c>
      <c r="J42" s="3316">
        <v>44621</v>
      </c>
      <c r="K42" s="3316">
        <v>45716</v>
      </c>
      <c r="L42" s="3313">
        <v>3</v>
      </c>
      <c r="M42" s="3318">
        <f t="shared" si="0"/>
        <v>603618.59</v>
      </c>
      <c r="N42" s="3312"/>
      <c r="O42" s="3319">
        <v>7</v>
      </c>
      <c r="R42" s="3321">
        <f t="shared" si="1"/>
        <v>6.5093020458311486</v>
      </c>
      <c r="S42" s="3320">
        <v>0.8</v>
      </c>
      <c r="T42" s="3321">
        <f t="shared" si="2"/>
        <v>5.7093020458311488</v>
      </c>
    </row>
    <row r="43" spans="1:25">
      <c r="A43" s="3256">
        <v>42</v>
      </c>
      <c r="B43" s="3265">
        <v>6</v>
      </c>
      <c r="C43" s="3259" t="s">
        <v>3425</v>
      </c>
      <c r="D43" s="3266" t="s">
        <v>3388</v>
      </c>
      <c r="E43" s="3266" t="s">
        <v>3388</v>
      </c>
      <c r="F43" s="3267">
        <v>44727</v>
      </c>
      <c r="G43" s="3269">
        <v>337.2</v>
      </c>
      <c r="H43" s="3269">
        <v>288.24</v>
      </c>
      <c r="I43" s="3269">
        <v>3720035.5</v>
      </c>
      <c r="J43" s="3267">
        <v>44727</v>
      </c>
      <c r="K43" s="3267">
        <v>46173</v>
      </c>
      <c r="L43" s="3270">
        <v>3.96</v>
      </c>
      <c r="M43" s="3271">
        <f t="shared" si="0"/>
        <v>939402.90404040401</v>
      </c>
      <c r="N43" s="3256"/>
      <c r="O43" s="3290">
        <v>7.76</v>
      </c>
      <c r="R43" s="3310">
        <f t="shared" si="1"/>
        <v>7.6325818102374434</v>
      </c>
      <c r="S43">
        <v>0.8</v>
      </c>
      <c r="T43" s="3310">
        <f t="shared" si="2"/>
        <v>6.8325818102374436</v>
      </c>
      <c r="V43" s="3356" t="s">
        <v>3574</v>
      </c>
      <c r="W43" s="3357" t="s">
        <v>3575</v>
      </c>
      <c r="X43" s="3358" t="s">
        <v>3577</v>
      </c>
      <c r="Y43" s="3359" t="s">
        <v>3576</v>
      </c>
    </row>
    <row r="44" spans="1:25">
      <c r="A44" s="3256">
        <v>43</v>
      </c>
      <c r="B44" s="3265">
        <v>6</v>
      </c>
      <c r="C44" s="3259" t="s">
        <v>3426</v>
      </c>
      <c r="D44" s="3266" t="s">
        <v>3427</v>
      </c>
      <c r="E44" s="3266" t="s">
        <v>3427</v>
      </c>
      <c r="F44" s="3267">
        <v>44679</v>
      </c>
      <c r="G44" s="3269">
        <v>326.27999999999997</v>
      </c>
      <c r="H44" s="3269">
        <v>278.89999999999998</v>
      </c>
      <c r="I44" s="3269">
        <v>2833391.6</v>
      </c>
      <c r="J44" s="3267">
        <v>44696</v>
      </c>
      <c r="K44" s="3267">
        <v>45791</v>
      </c>
      <c r="L44" s="3270">
        <v>3</v>
      </c>
      <c r="M44" s="3271">
        <f t="shared" si="0"/>
        <v>944463.8666666667</v>
      </c>
      <c r="N44" s="3256"/>
      <c r="O44" s="3291">
        <v>8.24</v>
      </c>
      <c r="R44" s="3310">
        <f t="shared" si="1"/>
        <v>7.9305266563777206</v>
      </c>
      <c r="S44">
        <v>0.8</v>
      </c>
      <c r="T44" s="3310">
        <f t="shared" si="2"/>
        <v>7.1305266563777208</v>
      </c>
      <c r="V44" s="3359">
        <v>8.4700000000000006</v>
      </c>
      <c r="W44" s="3359">
        <v>6.83</v>
      </c>
      <c r="X44" s="3359">
        <v>7.69</v>
      </c>
      <c r="Y44" s="3360">
        <f>R88</f>
        <v>3.1171915963287473</v>
      </c>
    </row>
    <row r="45" spans="1:25" s="3296" customFormat="1">
      <c r="A45" s="3292"/>
      <c r="B45" s="3292"/>
      <c r="C45" s="3292"/>
      <c r="D45" s="3293" t="s">
        <v>3452</v>
      </c>
      <c r="E45" s="3292"/>
      <c r="F45" s="3292"/>
      <c r="G45" s="3294">
        <f>SUM(G2:G44)</f>
        <v>15022.208909686477</v>
      </c>
      <c r="H45" s="3294">
        <f>SUM(H2:H44)</f>
        <v>12841.99</v>
      </c>
      <c r="I45" s="3294">
        <f>SUM(I2:I44)</f>
        <v>171254954.90000001</v>
      </c>
      <c r="J45" s="3292"/>
      <c r="K45" s="3292"/>
      <c r="L45" s="3295"/>
      <c r="M45" s="3295">
        <f>SUM(M2:M44)</f>
        <v>40863832.048377946</v>
      </c>
      <c r="N45" s="3292"/>
      <c r="O45" s="3292"/>
      <c r="V45" s="3355"/>
      <c r="W45" s="3355"/>
      <c r="X45" s="3355"/>
      <c r="Y45" s="3355"/>
    </row>
    <row r="46" spans="1:25">
      <c r="P46" s="3298" t="s">
        <v>3453</v>
      </c>
    </row>
    <row r="47" spans="1:25" s="3304" customFormat="1">
      <c r="A47" s="3265">
        <v>1</v>
      </c>
      <c r="B47" s="3299" t="s">
        <v>3454</v>
      </c>
      <c r="C47" s="3300" t="s">
        <v>3455</v>
      </c>
      <c r="D47" s="3301" t="s">
        <v>3360</v>
      </c>
      <c r="E47" s="3266" t="s">
        <v>3360</v>
      </c>
      <c r="F47" s="3267">
        <v>43553</v>
      </c>
      <c r="G47" s="3268">
        <v>212.61842105263159</v>
      </c>
      <c r="H47" s="3268">
        <v>161.59</v>
      </c>
      <c r="I47" s="3269">
        <v>738433.96</v>
      </c>
      <c r="J47" s="3267">
        <v>43590</v>
      </c>
      <c r="K47" s="3267">
        <v>44685</v>
      </c>
      <c r="L47" s="3270">
        <v>3</v>
      </c>
      <c r="M47" s="3271">
        <f t="shared" ref="M47:M87" si="3">I47/L47</f>
        <v>246144.65333333332</v>
      </c>
      <c r="N47" s="3256" t="s">
        <v>3450</v>
      </c>
      <c r="O47" s="3302">
        <v>3.21</v>
      </c>
      <c r="P47" s="3303" t="s">
        <v>3456</v>
      </c>
      <c r="R47" s="3310">
        <f t="shared" si="1"/>
        <v>3.1717332388385846</v>
      </c>
      <c r="S47">
        <v>0.8</v>
      </c>
      <c r="T47" s="3310">
        <f t="shared" ref="T47:T87" si="4">R47-S47</f>
        <v>2.3717332388385843</v>
      </c>
    </row>
    <row r="48" spans="1:25" s="3304" customFormat="1">
      <c r="A48" s="3265">
        <v>2</v>
      </c>
      <c r="B48" s="3299" t="s">
        <v>3454</v>
      </c>
      <c r="C48" s="3300" t="s">
        <v>3457</v>
      </c>
      <c r="D48" s="3301" t="s">
        <v>3458</v>
      </c>
      <c r="E48" s="3266" t="s">
        <v>3459</v>
      </c>
      <c r="F48" s="3267">
        <v>43572</v>
      </c>
      <c r="G48" s="3268">
        <v>107.71052631578947</v>
      </c>
      <c r="H48" s="3268">
        <v>81.86</v>
      </c>
      <c r="I48" s="3269">
        <v>382748.72</v>
      </c>
      <c r="J48" s="3267">
        <v>43608</v>
      </c>
      <c r="K48" s="3267">
        <v>44703</v>
      </c>
      <c r="L48" s="3270">
        <v>3</v>
      </c>
      <c r="M48" s="3271">
        <f t="shared" si="3"/>
        <v>127582.90666666666</v>
      </c>
      <c r="N48" s="3256" t="s">
        <v>3450</v>
      </c>
      <c r="O48" s="3302">
        <v>3.3</v>
      </c>
      <c r="P48" s="3303" t="s">
        <v>3460</v>
      </c>
      <c r="R48" s="3310">
        <f t="shared" si="1"/>
        <v>3.2452000932653702</v>
      </c>
      <c r="S48">
        <v>0.8</v>
      </c>
      <c r="T48" s="3310">
        <f t="shared" si="4"/>
        <v>2.4452000932653704</v>
      </c>
    </row>
    <row r="49" spans="1:20" s="3304" customFormat="1" ht="17.25" customHeight="1">
      <c r="A49" s="3265">
        <v>3</v>
      </c>
      <c r="B49" s="3299" t="s">
        <v>3454</v>
      </c>
      <c r="C49" s="3300" t="s">
        <v>3461</v>
      </c>
      <c r="D49" s="3301" t="s">
        <v>3458</v>
      </c>
      <c r="E49" s="3266" t="s">
        <v>3459</v>
      </c>
      <c r="F49" s="3267">
        <v>43572</v>
      </c>
      <c r="G49" s="3268">
        <v>122.05263157894737</v>
      </c>
      <c r="H49" s="3268">
        <v>92.76</v>
      </c>
      <c r="I49" s="3269">
        <v>433713.28</v>
      </c>
      <c r="J49" s="3267">
        <v>43608</v>
      </c>
      <c r="K49" s="3267">
        <v>44703</v>
      </c>
      <c r="L49" s="3270">
        <v>3</v>
      </c>
      <c r="M49" s="3271">
        <f t="shared" si="3"/>
        <v>144571.09333333335</v>
      </c>
      <c r="N49" s="3256" t="s">
        <v>3450</v>
      </c>
      <c r="O49" s="3302">
        <v>3.3</v>
      </c>
      <c r="P49" s="3303" t="s">
        <v>3462</v>
      </c>
      <c r="R49" s="3310">
        <f t="shared" si="1"/>
        <v>3.2451998952469281</v>
      </c>
      <c r="S49">
        <v>0.8</v>
      </c>
      <c r="T49" s="3310">
        <f t="shared" si="4"/>
        <v>2.4451998952469278</v>
      </c>
    </row>
    <row r="50" spans="1:20" s="3304" customFormat="1" ht="17.25" customHeight="1">
      <c r="A50" s="3265">
        <v>4</v>
      </c>
      <c r="B50" s="3299" t="s">
        <v>3454</v>
      </c>
      <c r="C50" s="3300" t="s">
        <v>3463</v>
      </c>
      <c r="D50" s="3301" t="s">
        <v>3464</v>
      </c>
      <c r="E50" s="3266" t="s">
        <v>3464</v>
      </c>
      <c r="F50" s="3267">
        <v>43591</v>
      </c>
      <c r="G50" s="3268">
        <v>80.69736842105263</v>
      </c>
      <c r="H50" s="3268">
        <v>61.33</v>
      </c>
      <c r="I50" s="3269">
        <v>321902.8</v>
      </c>
      <c r="J50" s="3267">
        <v>43613</v>
      </c>
      <c r="K50" s="3267">
        <v>44708</v>
      </c>
      <c r="L50" s="3270">
        <v>3</v>
      </c>
      <c r="M50" s="3271">
        <f t="shared" si="3"/>
        <v>107300.93333333333</v>
      </c>
      <c r="N50" s="3256" t="s">
        <v>3450</v>
      </c>
      <c r="O50" s="3302">
        <v>3.8</v>
      </c>
      <c r="P50" s="3303" t="s">
        <v>3465</v>
      </c>
      <c r="R50" s="3310">
        <f t="shared" si="1"/>
        <v>3.6429336615227004</v>
      </c>
      <c r="S50">
        <v>0.8</v>
      </c>
      <c r="T50" s="3310">
        <f t="shared" si="4"/>
        <v>2.8429336615227001</v>
      </c>
    </row>
    <row r="51" spans="1:20" s="3304" customFormat="1" ht="17.25" customHeight="1">
      <c r="A51" s="3265">
        <v>5</v>
      </c>
      <c r="B51" s="3299" t="s">
        <v>3454</v>
      </c>
      <c r="C51" s="3300" t="s">
        <v>3466</v>
      </c>
      <c r="D51" s="3301" t="s">
        <v>3467</v>
      </c>
      <c r="E51" s="3266" t="s">
        <v>3468</v>
      </c>
      <c r="F51" s="3267">
        <v>43775</v>
      </c>
      <c r="G51" s="3268">
        <v>98.39</v>
      </c>
      <c r="H51" s="3268">
        <v>74.78</v>
      </c>
      <c r="I51" s="3269">
        <v>371207.95999999996</v>
      </c>
      <c r="J51" s="3267">
        <v>43824</v>
      </c>
      <c r="K51" s="3267">
        <v>44919</v>
      </c>
      <c r="L51" s="3270">
        <v>3</v>
      </c>
      <c r="M51" s="3271">
        <f t="shared" si="3"/>
        <v>123735.98666666665</v>
      </c>
      <c r="N51" s="3305"/>
      <c r="O51" s="3302">
        <v>3.55</v>
      </c>
      <c r="P51" s="3303" t="s">
        <v>3469</v>
      </c>
      <c r="R51" s="3310">
        <f t="shared" si="1"/>
        <v>3.4454995751229496</v>
      </c>
      <c r="S51">
        <v>0.8</v>
      </c>
      <c r="T51" s="3310">
        <f t="shared" si="4"/>
        <v>2.6454995751229493</v>
      </c>
    </row>
    <row r="52" spans="1:20" s="3304" customFormat="1" ht="17.25" customHeight="1">
      <c r="A52" s="3265">
        <v>6</v>
      </c>
      <c r="B52" s="3299" t="s">
        <v>3454</v>
      </c>
      <c r="C52" s="3300" t="s">
        <v>3470</v>
      </c>
      <c r="D52" s="3301" t="s">
        <v>3458</v>
      </c>
      <c r="E52" s="3266" t="s">
        <v>3459</v>
      </c>
      <c r="F52" s="3267">
        <v>43814</v>
      </c>
      <c r="G52" s="3268">
        <v>265.92105263157896</v>
      </c>
      <c r="H52" s="3268">
        <v>202.1</v>
      </c>
      <c r="I52" s="3269">
        <v>655046.52</v>
      </c>
      <c r="J52" s="3267">
        <v>43916</v>
      </c>
      <c r="K52" s="3267">
        <v>44645</v>
      </c>
      <c r="L52" s="3270">
        <v>2</v>
      </c>
      <c r="M52" s="3271">
        <f t="shared" si="3"/>
        <v>327523.26</v>
      </c>
      <c r="N52" s="3256" t="s">
        <v>3450</v>
      </c>
      <c r="O52" s="3302">
        <v>3.55</v>
      </c>
      <c r="P52" s="3303" t="s">
        <v>3471</v>
      </c>
      <c r="R52" s="3310">
        <f t="shared" si="1"/>
        <v>3.3744000000000001</v>
      </c>
      <c r="S52">
        <v>0.8</v>
      </c>
      <c r="T52" s="3310">
        <f t="shared" si="4"/>
        <v>2.5743999999999998</v>
      </c>
    </row>
    <row r="53" spans="1:20" s="3304" customFormat="1" ht="17.25" customHeight="1">
      <c r="A53" s="3265">
        <v>7</v>
      </c>
      <c r="B53" s="3299" t="s">
        <v>3454</v>
      </c>
      <c r="C53" s="3300" t="s">
        <v>3472</v>
      </c>
      <c r="D53" s="3301" t="s">
        <v>3473</v>
      </c>
      <c r="E53" s="3266" t="s">
        <v>3474</v>
      </c>
      <c r="F53" s="3267">
        <v>43941</v>
      </c>
      <c r="G53" s="3269">
        <v>163.40789473684211</v>
      </c>
      <c r="H53" s="3269">
        <v>124.19</v>
      </c>
      <c r="I53" s="3269">
        <v>380766.54</v>
      </c>
      <c r="J53" s="3267">
        <v>43990</v>
      </c>
      <c r="K53" s="3267">
        <v>45084</v>
      </c>
      <c r="L53" s="3270">
        <v>3</v>
      </c>
      <c r="M53" s="3271">
        <f t="shared" si="3"/>
        <v>126922.18</v>
      </c>
      <c r="N53" s="3272"/>
      <c r="O53" s="3302">
        <v>2</v>
      </c>
      <c r="P53" s="3303" t="s">
        <v>3475</v>
      </c>
      <c r="R53" s="3310">
        <f t="shared" si="1"/>
        <v>2.1279999999999997</v>
      </c>
      <c r="S53">
        <v>0.8</v>
      </c>
      <c r="T53" s="3310">
        <f t="shared" si="4"/>
        <v>1.3279999999999996</v>
      </c>
    </row>
    <row r="54" spans="1:20" s="3304" customFormat="1" ht="17.25" customHeight="1">
      <c r="A54" s="3265">
        <v>8</v>
      </c>
      <c r="B54" s="3299" t="s">
        <v>3454</v>
      </c>
      <c r="C54" s="3300" t="s">
        <v>3476</v>
      </c>
      <c r="D54" s="3301" t="s">
        <v>3477</v>
      </c>
      <c r="E54" s="3266" t="s">
        <v>3477</v>
      </c>
      <c r="F54" s="3267">
        <v>44007</v>
      </c>
      <c r="G54" s="3269">
        <v>207.63157894736844</v>
      </c>
      <c r="H54" s="3269">
        <v>157.80000000000001</v>
      </c>
      <c r="I54" s="3269">
        <v>484390.8</v>
      </c>
      <c r="J54" s="3267">
        <v>44068</v>
      </c>
      <c r="K54" s="3267">
        <v>44797</v>
      </c>
      <c r="L54" s="3270">
        <v>2</v>
      </c>
      <c r="M54" s="3271">
        <f t="shared" si="3"/>
        <v>242195.4</v>
      </c>
      <c r="N54" s="3272"/>
      <c r="O54" s="3302">
        <v>3.3</v>
      </c>
      <c r="P54" s="3303" t="s">
        <v>3478</v>
      </c>
      <c r="R54" s="3310">
        <f t="shared" si="1"/>
        <v>3.195800197926975</v>
      </c>
      <c r="S54">
        <v>0.8</v>
      </c>
      <c r="T54" s="3310">
        <f t="shared" si="4"/>
        <v>2.3958001979269747</v>
      </c>
    </row>
    <row r="55" spans="1:20" s="3304" customFormat="1" ht="17.25" customHeight="1">
      <c r="A55" s="3265">
        <v>9</v>
      </c>
      <c r="B55" s="3299" t="s">
        <v>3454</v>
      </c>
      <c r="C55" s="3300" t="s">
        <v>3479</v>
      </c>
      <c r="D55" s="3301" t="s">
        <v>3458</v>
      </c>
      <c r="E55" s="3266" t="s">
        <v>3458</v>
      </c>
      <c r="F55" s="3267">
        <v>44137</v>
      </c>
      <c r="G55" s="3269">
        <v>148.64473684210526</v>
      </c>
      <c r="H55" s="3269">
        <v>112.97</v>
      </c>
      <c r="I55" s="3269">
        <v>514119.9</v>
      </c>
      <c r="J55" s="3267">
        <v>44150</v>
      </c>
      <c r="K55" s="3267">
        <v>45274</v>
      </c>
      <c r="L55" s="3270">
        <v>3.08</v>
      </c>
      <c r="M55" s="3271">
        <f t="shared" si="3"/>
        <v>166922.04545454547</v>
      </c>
      <c r="N55" s="3272"/>
      <c r="O55" s="3302">
        <v>3.3</v>
      </c>
      <c r="P55" s="3303" t="s">
        <v>3480</v>
      </c>
      <c r="R55" s="3310">
        <f t="shared" si="1"/>
        <v>3.0766018507872634</v>
      </c>
      <c r="S55">
        <v>0.8</v>
      </c>
      <c r="T55" s="3310">
        <f t="shared" si="4"/>
        <v>2.2766018507872632</v>
      </c>
    </row>
    <row r="56" spans="1:20" s="3304" customFormat="1" ht="17.25" customHeight="1">
      <c r="A56" s="3265">
        <v>10</v>
      </c>
      <c r="B56" s="3299" t="s">
        <v>3454</v>
      </c>
      <c r="C56" s="3300" t="s">
        <v>3481</v>
      </c>
      <c r="D56" s="3301" t="s">
        <v>3482</v>
      </c>
      <c r="E56" s="3266" t="s">
        <v>3483</v>
      </c>
      <c r="F56" s="3267">
        <v>44175</v>
      </c>
      <c r="G56" s="3268">
        <v>393.42105263157896</v>
      </c>
      <c r="H56" s="3268">
        <v>299</v>
      </c>
      <c r="I56" s="3269">
        <v>2581952.23</v>
      </c>
      <c r="J56" s="3267">
        <v>44175</v>
      </c>
      <c r="K56" s="3267">
        <v>46000</v>
      </c>
      <c r="L56" s="3270">
        <v>5</v>
      </c>
      <c r="M56" s="3271">
        <f t="shared" si="3"/>
        <v>516390.446</v>
      </c>
      <c r="N56" s="3272"/>
      <c r="O56" s="3302">
        <v>3.77</v>
      </c>
      <c r="P56" s="3303" t="s">
        <v>3484</v>
      </c>
      <c r="R56" s="3310">
        <f t="shared" si="1"/>
        <v>3.5960666968433594</v>
      </c>
      <c r="S56">
        <v>0.8</v>
      </c>
      <c r="T56" s="3310">
        <f t="shared" si="4"/>
        <v>2.7960666968433596</v>
      </c>
    </row>
    <row r="57" spans="1:20" s="3304" customFormat="1" ht="17.25" customHeight="1">
      <c r="A57" s="3265">
        <v>11</v>
      </c>
      <c r="B57" s="3299" t="s">
        <v>3454</v>
      </c>
      <c r="C57" s="3300" t="s">
        <v>3485</v>
      </c>
      <c r="D57" s="3301" t="s">
        <v>3486</v>
      </c>
      <c r="E57" s="3266" t="s">
        <v>3486</v>
      </c>
      <c r="F57" s="3267">
        <v>44260</v>
      </c>
      <c r="G57" s="3268">
        <v>232.93421052631578</v>
      </c>
      <c r="H57" s="3268">
        <v>177.03</v>
      </c>
      <c r="I57" s="3269">
        <v>780452.98</v>
      </c>
      <c r="J57" s="3267">
        <v>44275</v>
      </c>
      <c r="K57" s="3267">
        <v>45385</v>
      </c>
      <c r="L57" s="3270">
        <v>3.04</v>
      </c>
      <c r="M57" s="3271">
        <f t="shared" si="3"/>
        <v>256727.9539473684</v>
      </c>
      <c r="N57" s="3272"/>
      <c r="O57" s="3302">
        <v>3.29</v>
      </c>
      <c r="P57" s="3303" t="s">
        <v>3487</v>
      </c>
      <c r="R57" s="3310">
        <f t="shared" si="1"/>
        <v>3.0195833226935451</v>
      </c>
      <c r="S57">
        <v>0.8</v>
      </c>
      <c r="T57" s="3310">
        <f t="shared" si="4"/>
        <v>2.2195833226935449</v>
      </c>
    </row>
    <row r="58" spans="1:20" s="3304" customFormat="1" ht="17.25" customHeight="1">
      <c r="A58" s="3265">
        <v>12</v>
      </c>
      <c r="B58" s="3299" t="s">
        <v>3454</v>
      </c>
      <c r="C58" s="3300" t="s">
        <v>3488</v>
      </c>
      <c r="D58" s="3301" t="s">
        <v>3489</v>
      </c>
      <c r="E58" s="3266" t="s">
        <v>3489</v>
      </c>
      <c r="F58" s="3267">
        <v>44272</v>
      </c>
      <c r="G58" s="3268">
        <v>102.81578947368421</v>
      </c>
      <c r="H58" s="3268">
        <v>78.14</v>
      </c>
      <c r="I58" s="3269">
        <v>346721.48</v>
      </c>
      <c r="J58" s="3267">
        <v>44275</v>
      </c>
      <c r="K58" s="3267">
        <v>45370</v>
      </c>
      <c r="L58" s="3270">
        <v>3</v>
      </c>
      <c r="M58" s="3271">
        <f t="shared" si="3"/>
        <v>115573.82666666666</v>
      </c>
      <c r="N58" s="3272"/>
      <c r="O58" s="3302">
        <v>3.2</v>
      </c>
      <c r="P58" s="3303" t="s">
        <v>3490</v>
      </c>
      <c r="R58" s="3310">
        <f t="shared" si="1"/>
        <v>3.0796886609095253</v>
      </c>
      <c r="S58">
        <v>0.8</v>
      </c>
      <c r="T58" s="3310">
        <f t="shared" si="4"/>
        <v>2.2796886609095255</v>
      </c>
    </row>
    <row r="59" spans="1:20" s="3304" customFormat="1" ht="17.25" customHeight="1">
      <c r="A59" s="3265">
        <v>13</v>
      </c>
      <c r="B59" s="3299" t="s">
        <v>3454</v>
      </c>
      <c r="C59" s="3300" t="s">
        <v>3491</v>
      </c>
      <c r="D59" s="3301" t="s">
        <v>3492</v>
      </c>
      <c r="E59" s="3266" t="s">
        <v>3492</v>
      </c>
      <c r="F59" s="3267">
        <v>44281</v>
      </c>
      <c r="G59" s="3268">
        <v>224.57894736842107</v>
      </c>
      <c r="H59" s="3268">
        <v>170.68</v>
      </c>
      <c r="I59" s="3269">
        <v>510533.75</v>
      </c>
      <c r="J59" s="3267">
        <v>44302</v>
      </c>
      <c r="K59" s="3267">
        <v>45031</v>
      </c>
      <c r="L59" s="3270">
        <v>2</v>
      </c>
      <c r="M59" s="3271">
        <f t="shared" si="3"/>
        <v>255266.875</v>
      </c>
      <c r="N59" s="3272"/>
      <c r="O59" s="3302">
        <v>3.48</v>
      </c>
      <c r="P59" s="3303" t="s">
        <v>3493</v>
      </c>
      <c r="R59" s="3310">
        <f t="shared" si="1"/>
        <v>3.1141000060996946</v>
      </c>
      <c r="S59">
        <v>0.8</v>
      </c>
      <c r="T59" s="3310">
        <f t="shared" si="4"/>
        <v>2.3141000060996948</v>
      </c>
    </row>
    <row r="60" spans="1:20" s="3304" customFormat="1" ht="17.25" customHeight="1">
      <c r="A60" s="3265">
        <v>14</v>
      </c>
      <c r="B60" s="3299" t="s">
        <v>3454</v>
      </c>
      <c r="C60" s="3300" t="s">
        <v>3494</v>
      </c>
      <c r="D60" s="3301" t="s">
        <v>3495</v>
      </c>
      <c r="E60" s="3266" t="s">
        <v>3495</v>
      </c>
      <c r="F60" s="3267">
        <v>44287</v>
      </c>
      <c r="G60" s="3268">
        <v>65.618421052631575</v>
      </c>
      <c r="H60" s="3268">
        <v>49.87</v>
      </c>
      <c r="I60" s="3269">
        <v>139431.53</v>
      </c>
      <c r="J60" s="3267">
        <v>44301</v>
      </c>
      <c r="K60" s="3267">
        <v>45030</v>
      </c>
      <c r="L60" s="3270">
        <v>2</v>
      </c>
      <c r="M60" s="3271">
        <f t="shared" si="3"/>
        <v>69715.764999999999</v>
      </c>
      <c r="N60" s="3272"/>
      <c r="O60" s="3302">
        <v>3.2</v>
      </c>
      <c r="P60" s="3303" t="s">
        <v>3496</v>
      </c>
      <c r="Q60" s="3306"/>
      <c r="R60" s="3310">
        <f t="shared" si="1"/>
        <v>2.9107999373714124</v>
      </c>
      <c r="S60">
        <v>0.8</v>
      </c>
      <c r="T60" s="3310">
        <f t="shared" si="4"/>
        <v>2.1107999373714126</v>
      </c>
    </row>
    <row r="61" spans="1:20" s="3304" customFormat="1" ht="17.25" customHeight="1">
      <c r="A61" s="3265">
        <v>15</v>
      </c>
      <c r="B61" s="3299" t="s">
        <v>3454</v>
      </c>
      <c r="C61" s="3300" t="s">
        <v>3497</v>
      </c>
      <c r="D61" s="3301" t="s">
        <v>3498</v>
      </c>
      <c r="E61" s="3266" t="s">
        <v>3498</v>
      </c>
      <c r="F61" s="3267">
        <v>44301</v>
      </c>
      <c r="G61" s="3268">
        <v>255.34</v>
      </c>
      <c r="H61" s="3268">
        <v>194.06</v>
      </c>
      <c r="I61" s="3269">
        <v>609862.68000000005</v>
      </c>
      <c r="J61" s="3267">
        <v>44322</v>
      </c>
      <c r="K61" s="3267">
        <v>45051</v>
      </c>
      <c r="L61" s="3270">
        <v>2</v>
      </c>
      <c r="M61" s="3271">
        <f t="shared" si="3"/>
        <v>304931.34000000003</v>
      </c>
      <c r="N61" s="3272"/>
      <c r="O61" s="3302">
        <v>3.4</v>
      </c>
      <c r="P61" s="3303" t="s">
        <v>3499</v>
      </c>
      <c r="R61" s="3310">
        <f t="shared" si="1"/>
        <v>3.2718270884590086</v>
      </c>
      <c r="S61">
        <v>0.8</v>
      </c>
      <c r="T61" s="3310">
        <f t="shared" si="4"/>
        <v>2.4718270884590083</v>
      </c>
    </row>
    <row r="62" spans="1:20" s="3304" customFormat="1" ht="17.25" customHeight="1">
      <c r="A62" s="3265">
        <v>16</v>
      </c>
      <c r="B62" s="3299" t="s">
        <v>3454</v>
      </c>
      <c r="C62" s="3300" t="s">
        <v>3500</v>
      </c>
      <c r="D62" s="3301" t="s">
        <v>3458</v>
      </c>
      <c r="E62" s="3266" t="s">
        <v>3459</v>
      </c>
      <c r="F62" s="3267">
        <v>44312</v>
      </c>
      <c r="G62" s="3268">
        <v>254.74</v>
      </c>
      <c r="H62" s="3268">
        <v>193.6</v>
      </c>
      <c r="I62" s="3269">
        <v>907325.76</v>
      </c>
      <c r="J62" s="3267">
        <v>44197</v>
      </c>
      <c r="K62" s="3267">
        <v>45382</v>
      </c>
      <c r="L62" s="3270">
        <v>3.25</v>
      </c>
      <c r="M62" s="3271">
        <f t="shared" si="3"/>
        <v>279177.15692307695</v>
      </c>
      <c r="N62" s="3272"/>
      <c r="O62" s="3302">
        <v>3.31</v>
      </c>
      <c r="P62" s="3303" t="s">
        <v>3501</v>
      </c>
      <c r="R62" s="3310">
        <f t="shared" si="1"/>
        <v>3.0025473937227098</v>
      </c>
      <c r="S62">
        <v>0.8</v>
      </c>
      <c r="T62" s="3310">
        <f t="shared" si="4"/>
        <v>2.2025473937227096</v>
      </c>
    </row>
    <row r="63" spans="1:20" s="3304" customFormat="1" ht="17.25" customHeight="1">
      <c r="A63" s="3265">
        <v>17</v>
      </c>
      <c r="B63" s="3299" t="s">
        <v>3454</v>
      </c>
      <c r="C63" s="3300" t="s">
        <v>3502</v>
      </c>
      <c r="D63" s="3301" t="s">
        <v>3458</v>
      </c>
      <c r="E63" s="3266" t="s">
        <v>3459</v>
      </c>
      <c r="F63" s="3267">
        <v>44312</v>
      </c>
      <c r="G63" s="3268">
        <v>458.58</v>
      </c>
      <c r="H63" s="3268">
        <v>348.52</v>
      </c>
      <c r="I63" s="3269">
        <v>1633373.84</v>
      </c>
      <c r="J63" s="3267">
        <v>44197</v>
      </c>
      <c r="K63" s="3267">
        <v>45382</v>
      </c>
      <c r="L63" s="3270">
        <v>3.25</v>
      </c>
      <c r="M63" s="3271">
        <f t="shared" si="3"/>
        <v>502576.56615384616</v>
      </c>
      <c r="N63" s="3272"/>
      <c r="O63" s="3302">
        <v>3.31</v>
      </c>
      <c r="P63" s="3307" t="s">
        <v>3503</v>
      </c>
      <c r="R63" s="3310">
        <f t="shared" si="1"/>
        <v>3.0025777379118876</v>
      </c>
      <c r="S63">
        <v>0.8</v>
      </c>
      <c r="T63" s="3310">
        <f t="shared" si="4"/>
        <v>2.2025777379118878</v>
      </c>
    </row>
    <row r="64" spans="1:20" s="3304" customFormat="1" ht="17.25" customHeight="1">
      <c r="A64" s="3265">
        <v>18</v>
      </c>
      <c r="B64" s="3299" t="s">
        <v>3454</v>
      </c>
      <c r="C64" s="3300" t="s">
        <v>3504</v>
      </c>
      <c r="D64" s="3301" t="s">
        <v>3505</v>
      </c>
      <c r="E64" s="3266" t="s">
        <v>3506</v>
      </c>
      <c r="F64" s="3267">
        <v>44307</v>
      </c>
      <c r="G64" s="3268">
        <v>215.86842105263159</v>
      </c>
      <c r="H64" s="3268">
        <v>164.06</v>
      </c>
      <c r="I64" s="3269">
        <v>717984.01</v>
      </c>
      <c r="J64" s="3267">
        <v>44324</v>
      </c>
      <c r="K64" s="3267">
        <v>45419</v>
      </c>
      <c r="L64" s="3270">
        <v>3</v>
      </c>
      <c r="M64" s="3271">
        <f t="shared" si="3"/>
        <v>239328.00333333333</v>
      </c>
      <c r="N64" s="3272"/>
      <c r="O64" s="3302">
        <v>3.2</v>
      </c>
      <c r="P64" s="3307" t="s">
        <v>3507</v>
      </c>
      <c r="R64" s="3310">
        <f t="shared" si="1"/>
        <v>3.0374667893525977</v>
      </c>
      <c r="S64">
        <v>0.8</v>
      </c>
      <c r="T64" s="3310">
        <f t="shared" si="4"/>
        <v>2.2374667893525979</v>
      </c>
    </row>
    <row r="65" spans="1:20" s="3304" customFormat="1">
      <c r="A65" s="3265">
        <v>19</v>
      </c>
      <c r="B65" s="3299" t="s">
        <v>3454</v>
      </c>
      <c r="C65" s="3300" t="s">
        <v>3508</v>
      </c>
      <c r="D65" s="3301" t="s">
        <v>3509</v>
      </c>
      <c r="E65" s="3266" t="s">
        <v>3509</v>
      </c>
      <c r="F65" s="3267">
        <v>44327</v>
      </c>
      <c r="G65" s="3269">
        <v>289.85526315789474</v>
      </c>
      <c r="H65" s="3269">
        <v>220.29</v>
      </c>
      <c r="I65" s="3269">
        <v>984871.15999999992</v>
      </c>
      <c r="J65" s="3267">
        <v>44337</v>
      </c>
      <c r="K65" s="3267">
        <v>45432</v>
      </c>
      <c r="L65" s="3270">
        <v>3</v>
      </c>
      <c r="M65" s="3271">
        <f t="shared" si="3"/>
        <v>328290.38666666666</v>
      </c>
      <c r="N65" s="3272"/>
      <c r="O65" s="3302">
        <v>3.29</v>
      </c>
      <c r="P65" s="3307" t="s">
        <v>3510</v>
      </c>
      <c r="R65" s="3310">
        <f t="shared" si="1"/>
        <v>3.1030166818293279</v>
      </c>
      <c r="S65">
        <v>0.8</v>
      </c>
      <c r="T65" s="3310">
        <f t="shared" si="4"/>
        <v>2.3030166818293276</v>
      </c>
    </row>
    <row r="66" spans="1:20" s="3304" customFormat="1">
      <c r="A66" s="3265">
        <v>20</v>
      </c>
      <c r="B66" s="3299" t="s">
        <v>3454</v>
      </c>
      <c r="C66" s="3300" t="s">
        <v>3511</v>
      </c>
      <c r="D66" s="3301" t="s">
        <v>3512</v>
      </c>
      <c r="E66" s="3266" t="s">
        <v>3512</v>
      </c>
      <c r="F66" s="3267">
        <v>44335</v>
      </c>
      <c r="G66" s="3269">
        <v>292.85526315789474</v>
      </c>
      <c r="H66" s="3269">
        <v>222.57</v>
      </c>
      <c r="I66" s="3269">
        <v>1757889.8900000001</v>
      </c>
      <c r="J66" s="3267">
        <v>44348</v>
      </c>
      <c r="K66" s="3267">
        <v>46173</v>
      </c>
      <c r="L66" s="3270">
        <v>5</v>
      </c>
      <c r="M66" s="3271">
        <f t="shared" si="3"/>
        <v>351577.978</v>
      </c>
      <c r="N66" s="3272"/>
      <c r="O66" s="3302">
        <v>3.29</v>
      </c>
      <c r="P66" s="3307" t="s">
        <v>3513</v>
      </c>
      <c r="R66" s="3310">
        <f t="shared" si="1"/>
        <v>3.2890900665390173</v>
      </c>
      <c r="S66">
        <v>0.8</v>
      </c>
      <c r="T66" s="3310">
        <f t="shared" si="4"/>
        <v>2.489090066539017</v>
      </c>
    </row>
    <row r="67" spans="1:20" s="3304" customFormat="1">
      <c r="A67" s="3265">
        <v>21</v>
      </c>
      <c r="B67" s="3299" t="s">
        <v>3454</v>
      </c>
      <c r="C67" s="3300" t="s">
        <v>3514</v>
      </c>
      <c r="D67" s="3301" t="s">
        <v>3515</v>
      </c>
      <c r="E67" s="3266" t="s">
        <v>3515</v>
      </c>
      <c r="F67" s="3267">
        <v>44355</v>
      </c>
      <c r="G67" s="3268">
        <v>139.71</v>
      </c>
      <c r="H67" s="3268">
        <v>106.18</v>
      </c>
      <c r="I67" s="3269">
        <v>329500.42000000004</v>
      </c>
      <c r="J67" s="3267">
        <v>44305</v>
      </c>
      <c r="K67" s="3267">
        <v>45034</v>
      </c>
      <c r="L67" s="3270">
        <v>2.0299999999999998</v>
      </c>
      <c r="M67" s="3271">
        <f t="shared" si="3"/>
        <v>162315.47783251235</v>
      </c>
      <c r="N67" s="3272"/>
      <c r="O67" s="3302">
        <v>3.3</v>
      </c>
      <c r="P67" s="3307" t="s">
        <v>3516</v>
      </c>
      <c r="R67" s="3310">
        <f t="shared" ref="R67:R87" si="5">M67/G67/365</f>
        <v>3.1830215393827008</v>
      </c>
      <c r="S67">
        <v>0.8</v>
      </c>
      <c r="T67" s="3310">
        <f t="shared" si="4"/>
        <v>2.3830215393827006</v>
      </c>
    </row>
    <row r="68" spans="1:20" s="3304" customFormat="1">
      <c r="A68" s="3265">
        <v>22</v>
      </c>
      <c r="B68" s="3299" t="s">
        <v>3454</v>
      </c>
      <c r="C68" s="3300" t="s">
        <v>3517</v>
      </c>
      <c r="D68" s="3301" t="s">
        <v>3518</v>
      </c>
      <c r="E68" s="3266" t="s">
        <v>3518</v>
      </c>
      <c r="F68" s="3267">
        <v>44348</v>
      </c>
      <c r="G68" s="3268">
        <v>98.11</v>
      </c>
      <c r="H68" s="3268">
        <v>74.56</v>
      </c>
      <c r="I68" s="3269">
        <v>227784.52000000002</v>
      </c>
      <c r="J68" s="3267">
        <v>44317</v>
      </c>
      <c r="K68" s="3267">
        <v>45046</v>
      </c>
      <c r="L68" s="3270">
        <v>2</v>
      </c>
      <c r="M68" s="3271">
        <f t="shared" si="3"/>
        <v>113892.26000000001</v>
      </c>
      <c r="N68" s="3272"/>
      <c r="O68" s="3302">
        <v>3.3</v>
      </c>
      <c r="P68" s="3307" t="s">
        <v>3519</v>
      </c>
      <c r="R68" s="3310">
        <f t="shared" si="5"/>
        <v>3.1804463259718272</v>
      </c>
      <c r="S68">
        <v>0.8</v>
      </c>
      <c r="T68" s="3310">
        <f t="shared" si="4"/>
        <v>2.3804463259718274</v>
      </c>
    </row>
    <row r="69" spans="1:20" s="3304" customFormat="1">
      <c r="A69" s="3265">
        <v>23</v>
      </c>
      <c r="B69" s="3299" t="s">
        <v>3454</v>
      </c>
      <c r="C69" s="3300" t="s">
        <v>3520</v>
      </c>
      <c r="D69" s="3301" t="s">
        <v>3521</v>
      </c>
      <c r="E69" s="3266" t="s">
        <v>3521</v>
      </c>
      <c r="F69" s="3267">
        <v>44348</v>
      </c>
      <c r="G69" s="3268">
        <v>181.39</v>
      </c>
      <c r="H69" s="3268">
        <v>137.86000000000001</v>
      </c>
      <c r="I69" s="3269">
        <v>421169.2</v>
      </c>
      <c r="J69" s="3267">
        <v>44317</v>
      </c>
      <c r="K69" s="3267">
        <v>45046</v>
      </c>
      <c r="L69" s="3270">
        <v>2</v>
      </c>
      <c r="M69" s="3271">
        <f t="shared" si="3"/>
        <v>210584.6</v>
      </c>
      <c r="N69" s="3272"/>
      <c r="O69" s="3302">
        <v>3.3</v>
      </c>
      <c r="P69" s="3307" t="s">
        <v>3522</v>
      </c>
      <c r="R69" s="3310">
        <f t="shared" si="5"/>
        <v>3.1806831114672316</v>
      </c>
      <c r="S69">
        <v>0.8</v>
      </c>
      <c r="T69" s="3310">
        <f t="shared" si="4"/>
        <v>2.3806831114672313</v>
      </c>
    </row>
    <row r="70" spans="1:20" s="3304" customFormat="1">
      <c r="A70" s="3265">
        <v>24</v>
      </c>
      <c r="B70" s="3299" t="s">
        <v>3454</v>
      </c>
      <c r="C70" s="3300" t="s">
        <v>3523</v>
      </c>
      <c r="D70" s="3301" t="s">
        <v>3524</v>
      </c>
      <c r="E70" s="3266" t="s">
        <v>3524</v>
      </c>
      <c r="F70" s="3267">
        <v>44382</v>
      </c>
      <c r="G70" s="3269">
        <v>252.53947368421052</v>
      </c>
      <c r="H70" s="3269">
        <v>191.93</v>
      </c>
      <c r="I70" s="3269">
        <v>841008.47</v>
      </c>
      <c r="J70" s="3267">
        <v>44389</v>
      </c>
      <c r="K70" s="3267">
        <v>45484</v>
      </c>
      <c r="L70" s="3270">
        <v>3</v>
      </c>
      <c r="M70" s="3271">
        <f t="shared" si="3"/>
        <v>280336.15666666668</v>
      </c>
      <c r="N70" s="3272"/>
      <c r="O70" s="3302">
        <v>3.2</v>
      </c>
      <c r="P70" s="3307" t="s">
        <v>3525</v>
      </c>
      <c r="R70" s="3310">
        <f t="shared" si="5"/>
        <v>3.0412840164567232</v>
      </c>
      <c r="S70">
        <v>0.8</v>
      </c>
      <c r="T70" s="3310">
        <f t="shared" si="4"/>
        <v>2.2412840164567234</v>
      </c>
    </row>
    <row r="71" spans="1:20" s="3304" customFormat="1">
      <c r="A71" s="3265">
        <v>25</v>
      </c>
      <c r="B71" s="3299" t="s">
        <v>3454</v>
      </c>
      <c r="C71" s="3300" t="s">
        <v>3526</v>
      </c>
      <c r="D71" s="3301" t="s">
        <v>3527</v>
      </c>
      <c r="E71" s="3266" t="s">
        <v>3527</v>
      </c>
      <c r="F71" s="3267">
        <v>44370</v>
      </c>
      <c r="G71" s="3269">
        <v>179.80263157894737</v>
      </c>
      <c r="H71" s="3269">
        <v>136.65</v>
      </c>
      <c r="I71" s="3269">
        <v>598028.22</v>
      </c>
      <c r="J71" s="3267">
        <v>44378</v>
      </c>
      <c r="K71" s="3267">
        <v>45473</v>
      </c>
      <c r="L71" s="3270">
        <v>3</v>
      </c>
      <c r="M71" s="3271">
        <f t="shared" si="3"/>
        <v>199342.74</v>
      </c>
      <c r="N71" s="3272"/>
      <c r="O71" s="3302">
        <v>3.2</v>
      </c>
      <c r="P71" s="3307" t="s">
        <v>3528</v>
      </c>
      <c r="R71" s="3310">
        <f t="shared" si="5"/>
        <v>3.0374666285731471</v>
      </c>
      <c r="S71">
        <v>0.8</v>
      </c>
      <c r="T71" s="3310">
        <f t="shared" si="4"/>
        <v>2.2374666285731468</v>
      </c>
    </row>
    <row r="72" spans="1:20" s="3304" customFormat="1">
      <c r="A72" s="3265">
        <v>26</v>
      </c>
      <c r="B72" s="3299" t="s">
        <v>3454</v>
      </c>
      <c r="C72" s="3300" t="s">
        <v>3529</v>
      </c>
      <c r="D72" s="3301" t="s">
        <v>3530</v>
      </c>
      <c r="E72" s="3266" t="s">
        <v>3530</v>
      </c>
      <c r="F72" s="3267">
        <v>44385</v>
      </c>
      <c r="G72" s="3269">
        <v>95.881578947368425</v>
      </c>
      <c r="H72" s="3269">
        <v>72.87</v>
      </c>
      <c r="I72" s="3269">
        <v>212758.23</v>
      </c>
      <c r="J72" s="3267">
        <v>44409</v>
      </c>
      <c r="K72" s="3267">
        <v>45138</v>
      </c>
      <c r="L72" s="3270">
        <v>2</v>
      </c>
      <c r="M72" s="3271">
        <f t="shared" si="3"/>
        <v>106379.11500000001</v>
      </c>
      <c r="N72" s="3272"/>
      <c r="O72" s="3302">
        <v>3.29</v>
      </c>
      <c r="P72" s="3307" t="s">
        <v>3531</v>
      </c>
      <c r="R72" s="3310">
        <f t="shared" si="5"/>
        <v>3.0396832565405463</v>
      </c>
      <c r="S72">
        <v>0.8</v>
      </c>
      <c r="T72" s="3310">
        <f t="shared" si="4"/>
        <v>2.2396832565405465</v>
      </c>
    </row>
    <row r="73" spans="1:20" s="3304" customFormat="1">
      <c r="A73" s="3265">
        <v>27</v>
      </c>
      <c r="B73" s="3299" t="s">
        <v>3454</v>
      </c>
      <c r="C73" s="3300" t="s">
        <v>3532</v>
      </c>
      <c r="D73" s="3301" t="s">
        <v>3407</v>
      </c>
      <c r="E73" s="3266" t="s">
        <v>3408</v>
      </c>
      <c r="F73" s="3267">
        <v>44400</v>
      </c>
      <c r="G73" s="3269">
        <v>139.02631578947367</v>
      </c>
      <c r="H73" s="3269">
        <v>105.66</v>
      </c>
      <c r="I73" s="3269">
        <v>323375.03999999998</v>
      </c>
      <c r="J73" s="3267">
        <v>44409</v>
      </c>
      <c r="K73" s="3267">
        <v>45504</v>
      </c>
      <c r="L73" s="3270">
        <v>3</v>
      </c>
      <c r="M73" s="3271">
        <f t="shared" si="3"/>
        <v>107791.67999999999</v>
      </c>
      <c r="N73" s="3272"/>
      <c r="O73" s="3302">
        <v>2.0499999999999998</v>
      </c>
      <c r="P73" s="3307" t="s">
        <v>3533</v>
      </c>
      <c r="R73" s="3310">
        <f t="shared" si="5"/>
        <v>2.1241997930814529</v>
      </c>
      <c r="S73">
        <v>0.8</v>
      </c>
      <c r="T73" s="3310">
        <f t="shared" si="4"/>
        <v>1.3241997930814529</v>
      </c>
    </row>
    <row r="74" spans="1:20" s="3304" customFormat="1">
      <c r="A74" s="3265">
        <v>28</v>
      </c>
      <c r="B74" s="3299" t="s">
        <v>3454</v>
      </c>
      <c r="C74" s="3300" t="s">
        <v>3534</v>
      </c>
      <c r="D74" s="3301" t="s">
        <v>3535</v>
      </c>
      <c r="E74" s="3266" t="s">
        <v>3535</v>
      </c>
      <c r="F74" s="3267">
        <v>44441</v>
      </c>
      <c r="G74" s="3269">
        <v>119.6578947368421</v>
      </c>
      <c r="H74" s="3269">
        <v>90.94</v>
      </c>
      <c r="I74" s="3269">
        <v>265517.13</v>
      </c>
      <c r="J74" s="3267">
        <v>44454</v>
      </c>
      <c r="K74" s="3267">
        <v>45183</v>
      </c>
      <c r="L74" s="3270">
        <v>2</v>
      </c>
      <c r="M74" s="3271">
        <f t="shared" si="3"/>
        <v>132758.565</v>
      </c>
      <c r="N74" s="3272"/>
      <c r="O74" s="3302">
        <v>3.29</v>
      </c>
      <c r="P74" s="3307" t="s">
        <v>3536</v>
      </c>
      <c r="R74" s="3310">
        <f t="shared" si="5"/>
        <v>3.0396832293458584</v>
      </c>
      <c r="S74">
        <v>0.8</v>
      </c>
      <c r="T74" s="3310">
        <f t="shared" si="4"/>
        <v>2.2396832293458582</v>
      </c>
    </row>
    <row r="75" spans="1:20" s="3304" customFormat="1">
      <c r="A75" s="3265">
        <v>29</v>
      </c>
      <c r="B75" s="3299" t="s">
        <v>3454</v>
      </c>
      <c r="C75" s="3300" t="s">
        <v>3537</v>
      </c>
      <c r="D75" s="3308" t="s">
        <v>3538</v>
      </c>
      <c r="E75" s="3309" t="s">
        <v>3538</v>
      </c>
      <c r="F75" s="3267">
        <v>44484</v>
      </c>
      <c r="G75" s="3268">
        <v>210.38</v>
      </c>
      <c r="H75" s="3268">
        <v>159.88999999999999</v>
      </c>
      <c r="I75" s="3269">
        <v>488471.96</v>
      </c>
      <c r="J75" s="3267">
        <v>44409</v>
      </c>
      <c r="K75" s="3267">
        <v>45138</v>
      </c>
      <c r="L75" s="3270">
        <v>2</v>
      </c>
      <c r="M75" s="3271">
        <f t="shared" si="3"/>
        <v>244235.98</v>
      </c>
      <c r="N75" s="3272"/>
      <c r="O75" s="3302">
        <v>3.3</v>
      </c>
      <c r="P75" s="3307" t="s">
        <v>3539</v>
      </c>
      <c r="R75" s="3310">
        <f t="shared" si="5"/>
        <v>3.1806239720167162</v>
      </c>
      <c r="S75">
        <v>0.8</v>
      </c>
      <c r="T75" s="3310">
        <f t="shared" si="4"/>
        <v>2.3806239720167159</v>
      </c>
    </row>
    <row r="76" spans="1:20" s="3304" customFormat="1">
      <c r="A76" s="3265">
        <v>30</v>
      </c>
      <c r="B76" s="3299" t="s">
        <v>3454</v>
      </c>
      <c r="C76" s="3300" t="s">
        <v>3540</v>
      </c>
      <c r="D76" s="3301" t="s">
        <v>3541</v>
      </c>
      <c r="E76" s="3266" t="s">
        <v>3408</v>
      </c>
      <c r="F76" s="3267">
        <v>44524</v>
      </c>
      <c r="G76" s="3268">
        <v>196.19736842105266</v>
      </c>
      <c r="H76" s="3268">
        <v>149.11000000000001</v>
      </c>
      <c r="I76" s="3269">
        <v>586657.76</v>
      </c>
      <c r="J76" s="3267">
        <v>44545</v>
      </c>
      <c r="K76" s="3267">
        <v>45640</v>
      </c>
      <c r="L76" s="3270">
        <v>3</v>
      </c>
      <c r="M76" s="3271">
        <f t="shared" si="3"/>
        <v>195552.58666666667</v>
      </c>
      <c r="N76" s="3272"/>
      <c r="O76" s="3302">
        <v>2.9</v>
      </c>
      <c r="P76" s="3307" t="s">
        <v>3542</v>
      </c>
      <c r="R76" s="3310">
        <f t="shared" si="5"/>
        <v>2.7307222096157133</v>
      </c>
      <c r="S76">
        <v>0.8</v>
      </c>
      <c r="T76" s="3310">
        <f t="shared" si="4"/>
        <v>1.9307222096157133</v>
      </c>
    </row>
    <row r="77" spans="1:20" s="3304" customFormat="1">
      <c r="A77" s="3265">
        <v>31</v>
      </c>
      <c r="B77" s="3299" t="s">
        <v>3454</v>
      </c>
      <c r="C77" s="3300" t="s">
        <v>3543</v>
      </c>
      <c r="D77" s="3301" t="s">
        <v>3544</v>
      </c>
      <c r="E77" s="3266" t="s">
        <v>3544</v>
      </c>
      <c r="F77" s="3267">
        <v>44542</v>
      </c>
      <c r="G77" s="3268">
        <v>161.84</v>
      </c>
      <c r="H77" s="3268">
        <v>123</v>
      </c>
      <c r="I77" s="3269">
        <v>215047.06</v>
      </c>
      <c r="J77" s="3267">
        <v>44542</v>
      </c>
      <c r="K77" s="3267">
        <v>44906</v>
      </c>
      <c r="L77" s="3270">
        <v>1</v>
      </c>
      <c r="M77" s="3271">
        <f t="shared" si="3"/>
        <v>215047.06</v>
      </c>
      <c r="N77" s="3272"/>
      <c r="O77" s="3302">
        <v>3.99</v>
      </c>
      <c r="P77" s="3307" t="s">
        <v>3545</v>
      </c>
      <c r="R77" s="3310">
        <f t="shared" si="5"/>
        <v>3.6404475246988399</v>
      </c>
      <c r="S77">
        <v>0.8</v>
      </c>
      <c r="T77" s="3310">
        <f t="shared" si="4"/>
        <v>2.8404475246988401</v>
      </c>
    </row>
    <row r="78" spans="1:20" s="3304" customFormat="1">
      <c r="A78" s="3265">
        <v>32</v>
      </c>
      <c r="B78" s="3299" t="s">
        <v>3454</v>
      </c>
      <c r="C78" s="3300" t="s">
        <v>3546</v>
      </c>
      <c r="D78" s="3301" t="s">
        <v>3547</v>
      </c>
      <c r="E78" s="3266" t="s">
        <v>3547</v>
      </c>
      <c r="F78" s="3267">
        <v>44601</v>
      </c>
      <c r="G78" s="3268">
        <v>86.84</v>
      </c>
      <c r="H78" s="3268">
        <v>66</v>
      </c>
      <c r="I78" s="3269">
        <v>214882.84</v>
      </c>
      <c r="J78" s="3267">
        <v>44602</v>
      </c>
      <c r="K78" s="3267">
        <v>45331</v>
      </c>
      <c r="L78" s="3270">
        <v>2</v>
      </c>
      <c r="M78" s="3271">
        <f t="shared" si="3"/>
        <v>107441.42</v>
      </c>
      <c r="N78" s="3272"/>
      <c r="O78" s="3302">
        <v>3.57</v>
      </c>
      <c r="P78" s="3307" t="s">
        <v>3548</v>
      </c>
      <c r="R78" s="3310">
        <f t="shared" si="5"/>
        <v>3.3896828050958141</v>
      </c>
      <c r="S78">
        <v>0.8</v>
      </c>
      <c r="T78" s="3310">
        <f t="shared" si="4"/>
        <v>2.5896828050958138</v>
      </c>
    </row>
    <row r="79" spans="1:20" s="3304" customFormat="1">
      <c r="A79" s="3265">
        <v>33</v>
      </c>
      <c r="B79" s="3299" t="s">
        <v>3454</v>
      </c>
      <c r="C79" s="3300" t="s">
        <v>3549</v>
      </c>
      <c r="D79" s="3301" t="s">
        <v>3550</v>
      </c>
      <c r="E79" s="3266" t="s">
        <v>3550</v>
      </c>
      <c r="F79" s="3267">
        <v>44581</v>
      </c>
      <c r="G79" s="3268">
        <v>195.76315789473685</v>
      </c>
      <c r="H79" s="3268">
        <v>148.78</v>
      </c>
      <c r="I79" s="3269">
        <v>395066.7</v>
      </c>
      <c r="J79" s="3267">
        <v>44607</v>
      </c>
      <c r="K79" s="3267">
        <v>45336</v>
      </c>
      <c r="L79" s="3270">
        <v>2</v>
      </c>
      <c r="M79" s="3271">
        <f t="shared" si="3"/>
        <v>197533.35</v>
      </c>
      <c r="N79" s="3272"/>
      <c r="O79" s="3302">
        <v>3</v>
      </c>
      <c r="P79" s="3307" t="s">
        <v>3551</v>
      </c>
      <c r="R79" s="3310">
        <f t="shared" si="5"/>
        <v>2.7645000524816452</v>
      </c>
      <c r="S79">
        <v>0.8</v>
      </c>
      <c r="T79" s="3310">
        <f t="shared" si="4"/>
        <v>1.9645000524816452</v>
      </c>
    </row>
    <row r="80" spans="1:20" s="3304" customFormat="1">
      <c r="A80" s="3265">
        <v>34</v>
      </c>
      <c r="B80" s="3299" t="s">
        <v>3454</v>
      </c>
      <c r="C80" s="3300" t="s">
        <v>3552</v>
      </c>
      <c r="D80" s="3301" t="s">
        <v>3538</v>
      </c>
      <c r="E80" s="3266" t="s">
        <v>3538</v>
      </c>
      <c r="F80" s="3267">
        <v>44652</v>
      </c>
      <c r="G80" s="3269">
        <v>65.790000000000006</v>
      </c>
      <c r="H80" s="3269">
        <v>50</v>
      </c>
      <c r="I80" s="3269">
        <v>73596.17</v>
      </c>
      <c r="J80" s="3267">
        <v>44652</v>
      </c>
      <c r="K80" s="3267">
        <v>45016</v>
      </c>
      <c r="L80" s="3270">
        <v>0.99726027397260275</v>
      </c>
      <c r="M80" s="3271">
        <f t="shared" si="3"/>
        <v>73798.357280219774</v>
      </c>
      <c r="N80" s="3272"/>
      <c r="O80" s="3302">
        <v>3.2</v>
      </c>
      <c r="P80" s="3307" t="s">
        <v>3553</v>
      </c>
      <c r="R80" s="3310">
        <f t="shared" si="5"/>
        <v>3.0732220735640703</v>
      </c>
      <c r="S80">
        <v>0.8</v>
      </c>
      <c r="T80" s="3310">
        <f t="shared" si="4"/>
        <v>2.27322207356407</v>
      </c>
    </row>
    <row r="81" spans="1:20" s="3304" customFormat="1">
      <c r="A81" s="3265">
        <v>35</v>
      </c>
      <c r="B81" s="3299" t="s">
        <v>3454</v>
      </c>
      <c r="C81" s="3300" t="s">
        <v>3554</v>
      </c>
      <c r="D81" s="3301" t="s">
        <v>3555</v>
      </c>
      <c r="E81" s="3266" t="s">
        <v>3555</v>
      </c>
      <c r="F81" s="3267">
        <v>44672</v>
      </c>
      <c r="G81" s="3269">
        <v>126.87</v>
      </c>
      <c r="H81" s="3269">
        <v>96.42</v>
      </c>
      <c r="I81" s="3269">
        <v>406248.01</v>
      </c>
      <c r="J81" s="3267">
        <v>44687</v>
      </c>
      <c r="K81" s="3267">
        <v>45782</v>
      </c>
      <c r="L81" s="3270">
        <v>3</v>
      </c>
      <c r="M81" s="3271">
        <f t="shared" si="3"/>
        <v>135416.00333333333</v>
      </c>
      <c r="N81" s="3272"/>
      <c r="O81" s="3302">
        <v>3</v>
      </c>
      <c r="P81" s="3307" t="s">
        <v>3556</v>
      </c>
      <c r="R81" s="3310">
        <f t="shared" si="5"/>
        <v>2.9242748392720697</v>
      </c>
      <c r="S81">
        <v>0.8</v>
      </c>
      <c r="T81" s="3310">
        <f t="shared" si="4"/>
        <v>2.1242748392720694</v>
      </c>
    </row>
    <row r="82" spans="1:20" s="3304" customFormat="1">
      <c r="A82" s="3265">
        <v>36</v>
      </c>
      <c r="B82" s="3299" t="s">
        <v>3454</v>
      </c>
      <c r="C82" s="3300" t="s">
        <v>3557</v>
      </c>
      <c r="D82" s="3301" t="s">
        <v>3558</v>
      </c>
      <c r="E82" s="3266" t="s">
        <v>3559</v>
      </c>
      <c r="F82" s="3267">
        <v>44669</v>
      </c>
      <c r="G82" s="3269">
        <v>94.22</v>
      </c>
      <c r="H82" s="3269">
        <v>71.66</v>
      </c>
      <c r="I82" s="3269">
        <v>209225.38999999998</v>
      </c>
      <c r="J82" s="3267">
        <v>44676</v>
      </c>
      <c r="K82" s="3267">
        <v>45406</v>
      </c>
      <c r="L82" s="3270">
        <v>2</v>
      </c>
      <c r="M82" s="3271">
        <f t="shared" si="3"/>
        <v>104612.69499999999</v>
      </c>
      <c r="N82" s="3272"/>
      <c r="O82" s="3302">
        <v>3.29</v>
      </c>
      <c r="P82" s="3307" t="s">
        <v>3560</v>
      </c>
      <c r="R82" s="3310">
        <f t="shared" si="5"/>
        <v>3.0419244670735641</v>
      </c>
      <c r="S82">
        <v>0.8</v>
      </c>
      <c r="T82" s="3310">
        <f t="shared" si="4"/>
        <v>2.2419244670735639</v>
      </c>
    </row>
    <row r="83" spans="1:20" s="3304" customFormat="1">
      <c r="A83" s="3265">
        <v>37</v>
      </c>
      <c r="B83" s="3299" t="s">
        <v>3454</v>
      </c>
      <c r="C83" s="3300" t="s">
        <v>3470</v>
      </c>
      <c r="D83" s="3301" t="s">
        <v>3458</v>
      </c>
      <c r="E83" s="3266" t="s">
        <v>3458</v>
      </c>
      <c r="F83" s="3267">
        <v>44688</v>
      </c>
      <c r="G83" s="3269">
        <v>265.92</v>
      </c>
      <c r="H83" s="3269">
        <v>202.1</v>
      </c>
      <c r="I83" s="3269">
        <v>655046.52</v>
      </c>
      <c r="J83" s="3267">
        <v>44646</v>
      </c>
      <c r="K83" s="3267">
        <v>45376</v>
      </c>
      <c r="L83" s="3270">
        <v>2</v>
      </c>
      <c r="M83" s="3271">
        <f t="shared" si="3"/>
        <v>327523.26</v>
      </c>
      <c r="N83" s="3272"/>
      <c r="O83" s="3302">
        <v>3.73</v>
      </c>
      <c r="P83" s="3307" t="s">
        <v>3561</v>
      </c>
      <c r="R83" s="3310">
        <f t="shared" si="5"/>
        <v>3.374413357400722</v>
      </c>
      <c r="S83">
        <v>0.8</v>
      </c>
      <c r="T83" s="3310">
        <f t="shared" si="4"/>
        <v>2.5744133574007222</v>
      </c>
    </row>
    <row r="84" spans="1:20" s="3304" customFormat="1">
      <c r="A84" s="3265">
        <v>38</v>
      </c>
      <c r="B84" s="3299" t="s">
        <v>3454</v>
      </c>
      <c r="C84" s="3300" t="s">
        <v>3562</v>
      </c>
      <c r="D84" s="3301" t="s">
        <v>3458</v>
      </c>
      <c r="E84" s="3266" t="s">
        <v>3458</v>
      </c>
      <c r="F84" s="3267">
        <v>44719</v>
      </c>
      <c r="G84" s="3269">
        <v>107.71</v>
      </c>
      <c r="H84" s="3269">
        <v>81.86</v>
      </c>
      <c r="I84" s="3269">
        <v>249613.32</v>
      </c>
      <c r="J84" s="3267">
        <v>44704</v>
      </c>
      <c r="K84" s="3267">
        <v>45434</v>
      </c>
      <c r="L84" s="3270">
        <v>2</v>
      </c>
      <c r="M84" s="3271">
        <f t="shared" si="3"/>
        <v>124806.66</v>
      </c>
      <c r="N84" s="3272"/>
      <c r="O84" s="3302">
        <v>3.47</v>
      </c>
      <c r="P84" s="3307" t="s">
        <v>3563</v>
      </c>
      <c r="R84" s="3310">
        <f t="shared" si="5"/>
        <v>3.1745989675473085</v>
      </c>
      <c r="S84">
        <v>0.8</v>
      </c>
      <c r="T84" s="3310">
        <f t="shared" si="4"/>
        <v>2.3745989675473087</v>
      </c>
    </row>
    <row r="85" spans="1:20" s="3304" customFormat="1">
      <c r="A85" s="3265">
        <v>39</v>
      </c>
      <c r="B85" s="3299" t="s">
        <v>3454</v>
      </c>
      <c r="C85" s="3300" t="s">
        <v>3564</v>
      </c>
      <c r="D85" s="3301" t="s">
        <v>3458</v>
      </c>
      <c r="E85" s="3266" t="s">
        <v>3458</v>
      </c>
      <c r="F85" s="3267">
        <v>44719</v>
      </c>
      <c r="G85" s="3269">
        <v>122.05</v>
      </c>
      <c r="H85" s="3269">
        <v>92.76</v>
      </c>
      <c r="I85" s="3269">
        <v>282850.33</v>
      </c>
      <c r="J85" s="3267">
        <v>44704</v>
      </c>
      <c r="K85" s="3267">
        <v>45434</v>
      </c>
      <c r="L85" s="3270">
        <v>2</v>
      </c>
      <c r="M85" s="3271">
        <f t="shared" si="3"/>
        <v>141425.16500000001</v>
      </c>
      <c r="N85" s="3272"/>
      <c r="O85" s="3302">
        <v>3.47</v>
      </c>
      <c r="P85" s="3307" t="s">
        <v>3565</v>
      </c>
      <c r="R85" s="3310">
        <f t="shared" si="5"/>
        <v>3.1746514172835072</v>
      </c>
      <c r="S85">
        <v>0.8</v>
      </c>
      <c r="T85" s="3310">
        <f t="shared" si="4"/>
        <v>2.3746514172835074</v>
      </c>
    </row>
    <row r="86" spans="1:20" s="3304" customFormat="1">
      <c r="A86" s="3265">
        <v>40</v>
      </c>
      <c r="B86" s="3299" t="s">
        <v>3454</v>
      </c>
      <c r="C86" s="3300" t="s">
        <v>3566</v>
      </c>
      <c r="D86" s="3301" t="s">
        <v>3567</v>
      </c>
      <c r="E86" s="3266" t="s">
        <v>3567</v>
      </c>
      <c r="F86" s="3267">
        <v>44726</v>
      </c>
      <c r="G86" s="3269">
        <v>26.65</v>
      </c>
      <c r="H86" s="3269">
        <v>20.25</v>
      </c>
      <c r="I86" s="3269">
        <v>95024.07</v>
      </c>
      <c r="J86" s="3267">
        <v>44737</v>
      </c>
      <c r="K86" s="3267">
        <v>45832</v>
      </c>
      <c r="L86" s="3270">
        <v>3</v>
      </c>
      <c r="M86" s="3271">
        <f t="shared" si="3"/>
        <v>31674.690000000002</v>
      </c>
      <c r="N86" s="3272"/>
      <c r="O86" s="3302">
        <v>3.37</v>
      </c>
      <c r="P86" s="3307" t="s">
        <v>3568</v>
      </c>
      <c r="R86" s="3310">
        <f t="shared" si="5"/>
        <v>3.2562841501966133</v>
      </c>
      <c r="S86">
        <v>0.8</v>
      </c>
      <c r="T86" s="3310">
        <f t="shared" si="4"/>
        <v>2.4562841501966135</v>
      </c>
    </row>
    <row r="87" spans="1:20" s="3304" customFormat="1">
      <c r="A87" s="3265">
        <v>41</v>
      </c>
      <c r="B87" s="3299" t="s">
        <v>3454</v>
      </c>
      <c r="C87" s="3300" t="s">
        <v>3455</v>
      </c>
      <c r="D87" s="3301" t="s">
        <v>3360</v>
      </c>
      <c r="E87" s="3266" t="s">
        <v>3360</v>
      </c>
      <c r="F87" s="3267">
        <v>44686</v>
      </c>
      <c r="G87" s="3269">
        <v>212.62</v>
      </c>
      <c r="H87" s="3269">
        <v>161.59</v>
      </c>
      <c r="I87" s="3269">
        <v>768513.96</v>
      </c>
      <c r="J87" s="3267">
        <v>44686</v>
      </c>
      <c r="K87" s="3267">
        <v>45781</v>
      </c>
      <c r="L87" s="3270">
        <v>3</v>
      </c>
      <c r="M87" s="3271">
        <f t="shared" si="3"/>
        <v>256171.31999999998</v>
      </c>
      <c r="N87" s="3272"/>
      <c r="O87" s="3302">
        <v>3.37</v>
      </c>
      <c r="P87" s="3307" t="s">
        <v>3569</v>
      </c>
      <c r="R87" s="3310">
        <f t="shared" si="5"/>
        <v>3.3009088179696748</v>
      </c>
      <c r="S87">
        <v>0.8</v>
      </c>
      <c r="T87" s="3310">
        <f t="shared" si="4"/>
        <v>2.500908817969675</v>
      </c>
    </row>
    <row r="88" spans="1:20" s="3296" customFormat="1">
      <c r="A88" s="3292"/>
      <c r="B88" s="3292"/>
      <c r="C88" s="3292"/>
      <c r="D88" s="3293" t="s">
        <v>3570</v>
      </c>
      <c r="E88" s="3292"/>
      <c r="F88" s="3292"/>
      <c r="G88" s="3294">
        <f>SUM(G47:G87)</f>
        <v>7272.6500000000005</v>
      </c>
      <c r="H88" s="3294">
        <f>SUM(H47:H87)</f>
        <v>5527.2699999999995</v>
      </c>
      <c r="I88" s="3294">
        <f>SUM(I47:I87)</f>
        <v>23112115.109999999</v>
      </c>
      <c r="J88" s="3294"/>
      <c r="K88" s="3294"/>
      <c r="L88" s="3294">
        <f>SUM(L47:L87)</f>
        <v>106.64726027397261</v>
      </c>
      <c r="M88" s="3294">
        <f>SUM(M47:M87)</f>
        <v>8301093.8982582353</v>
      </c>
      <c r="N88" s="3292"/>
      <c r="O88" s="3292"/>
      <c r="R88" s="3311">
        <f t="shared" ref="R88:S88" si="6">AVERAGE(R47:R87)</f>
        <v>3.1171915963287473</v>
      </c>
      <c r="S88" s="3311">
        <f t="shared" si="6"/>
        <v>0.80000000000000027</v>
      </c>
      <c r="T88" s="3311">
        <f>AVERAGE(T47:T87)</f>
        <v>2.3171915963287466</v>
      </c>
    </row>
  </sheetData>
  <autoFilter ref="A1:T88"/>
  <phoneticPr fontId="258" type="noConversion"/>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72" t="str">
        <f>IF(项目基本情况!B9="房地产市场价值","估价结果一览表","结果表-2")</f>
        <v>结果表-2</v>
      </c>
      <c r="B1" s="3372"/>
      <c r="C1" s="3372"/>
      <c r="D1" s="3372"/>
      <c r="E1" s="3372"/>
      <c r="F1" s="3372"/>
      <c r="G1" s="3372"/>
      <c r="H1" s="3372"/>
      <c r="I1" s="3372"/>
    </row>
    <row r="2" spans="1:9" ht="30" customHeight="1" thickTop="1">
      <c r="A2" s="3373" t="s">
        <v>1365</v>
      </c>
      <c r="B2" s="3373" t="s">
        <v>1366</v>
      </c>
      <c r="C2" s="3373" t="s">
        <v>1367</v>
      </c>
      <c r="D2" s="3373" t="str">
        <f>结果表!D116</f>
        <v>出让国有建设用地使用权价值</v>
      </c>
      <c r="E2" s="3373"/>
      <c r="F2" s="3373" t="str">
        <f>结果表!F116</f>
        <v>在建建筑物价值</v>
      </c>
      <c r="G2" s="3373"/>
      <c r="H2" s="3373" t="str">
        <f>IF(项目基本情况!B9="房地产市场价值","房地产市场价值","房地产价值")</f>
        <v>房地产价值</v>
      </c>
      <c r="I2" s="3373"/>
    </row>
    <row r="3" spans="1:9" ht="15">
      <c r="A3" s="3374"/>
      <c r="B3" s="3374"/>
      <c r="C3" s="3374"/>
      <c r="D3" s="944" t="s">
        <v>1362</v>
      </c>
      <c r="E3" s="944" t="s">
        <v>1368</v>
      </c>
      <c r="F3" s="944" t="s">
        <v>1362</v>
      </c>
      <c r="G3" s="944" t="s">
        <v>1363</v>
      </c>
      <c r="H3" s="944" t="s">
        <v>1362</v>
      </c>
      <c r="I3" s="944" t="s">
        <v>1363</v>
      </c>
    </row>
    <row r="4" spans="1:9" ht="15">
      <c r="A4" s="1641" t="str">
        <f>项目基本情况!S2</f>
        <v>北京市房地产</v>
      </c>
      <c r="B4" s="944">
        <f>项目基本情况!C17</f>
        <v>34459.17</v>
      </c>
      <c r="C4" s="944">
        <f>项目基本情况!C18</f>
        <v>12272.21</v>
      </c>
      <c r="D4" s="944">
        <f ca="1">结果表!D118</f>
        <v>109355</v>
      </c>
      <c r="E4" s="944">
        <f ca="1">结果表!E118</f>
        <v>31735</v>
      </c>
      <c r="F4" s="944">
        <f ca="1">结果表!F118</f>
        <v>13378</v>
      </c>
      <c r="G4" s="944">
        <f ca="1">结果表!G118</f>
        <v>3882</v>
      </c>
      <c r="H4" s="944">
        <f ca="1">结果表!H118</f>
        <v>122733</v>
      </c>
      <c r="I4" s="944">
        <f ca="1">结果表!I118</f>
        <v>35617</v>
      </c>
    </row>
    <row r="5" spans="1:9" ht="30" customHeight="1">
      <c r="A5" s="3374" t="s">
        <v>1364</v>
      </c>
      <c r="B5" s="3374"/>
      <c r="C5" s="3374"/>
      <c r="D5" s="3375" t="str">
        <f ca="1">结果表!D119</f>
        <v>壹拾亿玖仟叁佰伍拾伍万元整</v>
      </c>
      <c r="E5" s="3375"/>
      <c r="F5" s="3375" t="str">
        <f ca="1">结果表!F119</f>
        <v>壹亿叁仟叁佰柒拾捌万元整</v>
      </c>
      <c r="G5" s="3375"/>
      <c r="H5" s="3375" t="str">
        <f ca="1">结果表!H119</f>
        <v>壹拾贰亿贰仟柒佰叁拾叁万元整</v>
      </c>
      <c r="I5" s="3375"/>
    </row>
    <row r="6" spans="1:9" ht="15.75">
      <c r="A6" s="3376" t="str">
        <f>结果表!A120</f>
        <v>估价师知悉的法定优先受偿款</v>
      </c>
      <c r="B6" s="3376"/>
      <c r="C6" s="3376"/>
      <c r="D6" s="3376">
        <f>结果表!D120</f>
        <v>0</v>
      </c>
      <c r="E6" s="3376"/>
      <c r="F6" s="3376"/>
      <c r="G6" s="3376"/>
      <c r="H6" s="3376"/>
      <c r="I6" s="3376"/>
    </row>
    <row r="7" spans="1:9" ht="15">
      <c r="A7" s="3374" t="s">
        <v>1364</v>
      </c>
      <c r="B7" s="3374"/>
      <c r="C7" s="3374"/>
      <c r="D7" s="3377" t="str">
        <f>结果表!D121</f>
        <v>零元整</v>
      </c>
      <c r="E7" s="3378"/>
      <c r="F7" s="3378"/>
      <c r="G7" s="3378"/>
      <c r="H7" s="3378"/>
      <c r="I7" s="3379"/>
    </row>
    <row r="8" spans="1:9" ht="15.75">
      <c r="A8" s="3376" t="str">
        <f>结果表!A122</f>
        <v>房地产抵押价值</v>
      </c>
      <c r="B8" s="3376"/>
      <c r="C8" s="3376"/>
      <c r="D8" s="3376">
        <f ca="1">结果表!D122</f>
        <v>122733</v>
      </c>
      <c r="E8" s="3376"/>
      <c r="F8" s="3376"/>
      <c r="G8" s="3376"/>
      <c r="H8" s="3376"/>
      <c r="I8" s="3376"/>
    </row>
    <row r="9" spans="1:9" ht="15">
      <c r="A9" s="3374" t="s">
        <v>1364</v>
      </c>
      <c r="B9" s="3374"/>
      <c r="C9" s="3374"/>
      <c r="D9" s="3375" t="str">
        <f ca="1">结果表!D123</f>
        <v>壹拾贰亿贰仟柒佰叁拾叁万元整</v>
      </c>
      <c r="E9" s="3375"/>
      <c r="F9" s="3375"/>
      <c r="G9" s="3375"/>
      <c r="H9" s="3375"/>
      <c r="I9" s="3375"/>
    </row>
    <row r="10" spans="1:9" ht="15.75">
      <c r="A10" s="3376" t="str">
        <f>结果表!A124</f>
        <v/>
      </c>
      <c r="B10" s="3376"/>
      <c r="C10" s="3376"/>
      <c r="D10" s="3376" t="str">
        <f>结果表!D124</f>
        <v>——</v>
      </c>
      <c r="E10" s="3376"/>
      <c r="F10" s="3376"/>
      <c r="G10" s="3376"/>
      <c r="H10" s="3376"/>
      <c r="I10" s="3376"/>
    </row>
    <row r="11" spans="1:9" ht="15">
      <c r="A11" s="3374" t="s">
        <v>1364</v>
      </c>
      <c r="B11" s="3374"/>
      <c r="C11" s="3374"/>
      <c r="D11" s="3375" t="e">
        <f>结果表!D125</f>
        <v>#VALUE!</v>
      </c>
      <c r="E11" s="3375"/>
      <c r="F11" s="3375"/>
      <c r="G11" s="3375"/>
      <c r="H11" s="3375"/>
      <c r="I11" s="3375"/>
    </row>
    <row r="12" spans="1:9" ht="15.75">
      <c r="A12" s="3376" t="str">
        <f>结果表!A126</f>
        <v/>
      </c>
      <c r="B12" s="3376"/>
      <c r="C12" s="3376"/>
      <c r="D12" s="3376" t="str">
        <f>结果表!D126</f>
        <v>——</v>
      </c>
      <c r="E12" s="3376"/>
      <c r="F12" s="3376"/>
      <c r="G12" s="3376"/>
      <c r="H12" s="3376"/>
      <c r="I12" s="3376"/>
    </row>
    <row r="13" spans="1:9" ht="15.75" thickBot="1">
      <c r="A13" s="3380" t="s">
        <v>1364</v>
      </c>
      <c r="B13" s="3380"/>
      <c r="C13" s="3380"/>
      <c r="D13" s="3381" t="e">
        <f>结果表!D127</f>
        <v>#VALUE!</v>
      </c>
      <c r="E13" s="3381"/>
      <c r="F13" s="3381"/>
      <c r="G13" s="3381"/>
      <c r="H13" s="3381"/>
      <c r="I13" s="3381"/>
    </row>
    <row r="14" spans="1:9" ht="15" thickTop="1">
      <c r="A14" s="3382" t="s">
        <v>1369</v>
      </c>
      <c r="B14" s="3382"/>
      <c r="C14" s="3382"/>
      <c r="D14" s="3382"/>
      <c r="E14" s="3382"/>
      <c r="F14" s="3382"/>
      <c r="G14" s="3382"/>
      <c r="H14" s="3382"/>
      <c r="I14" s="338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83" t="s">
        <v>1386</v>
      </c>
      <c r="B1" s="3383"/>
      <c r="C1" s="3383"/>
      <c r="D1" s="3383"/>
    </row>
    <row r="2" spans="1:4" ht="18">
      <c r="A2" s="3384" t="s">
        <v>1370</v>
      </c>
      <c r="B2" s="3384"/>
      <c r="C2" s="3384"/>
      <c r="D2" s="338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384" t="s">
        <v>1376</v>
      </c>
      <c r="B6" s="3384"/>
      <c r="C6" s="3384"/>
      <c r="D6" s="338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85" t="s">
        <v>1379</v>
      </c>
      <c r="B11" s="3386"/>
      <c r="C11" s="3386"/>
      <c r="D11" s="3386"/>
    </row>
    <row r="12" spans="1:4" ht="15.75">
      <c r="A12" s="33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7"/>
      <c r="C12" s="3387"/>
      <c r="D12" s="3387"/>
    </row>
    <row r="13" spans="1:4" ht="30" customHeight="1">
      <c r="A13" s="33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7"/>
      <c r="C13" s="3387"/>
      <c r="D13" s="3387"/>
    </row>
    <row r="14" spans="1:4" ht="15.75" customHeight="1">
      <c r="A14" s="3386" t="str">
        <f>IF(项目基本情况!B8="抵押","4.本次评估估价师所知悉的法定优先受偿款情况说明如下：","——")</f>
        <v>4.本次评估估价师所知悉的法定优先受偿款情况说明如下：</v>
      </c>
      <c r="B14" s="3387"/>
      <c r="C14" s="3387"/>
      <c r="D14" s="3387"/>
    </row>
    <row r="15" spans="1:4" ht="42" customHeight="1">
      <c r="A15" s="33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6"/>
      <c r="C15" s="3386"/>
      <c r="D15" s="3386"/>
    </row>
    <row r="16" spans="1:4" ht="30" customHeight="1">
      <c r="A16" s="3389" t="s">
        <v>1380</v>
      </c>
      <c r="B16" s="3389"/>
      <c r="C16" s="3389"/>
      <c r="D16" s="3389"/>
    </row>
    <row r="17" spans="1:4" ht="144" customHeight="1">
      <c r="A17" s="3389" t="s">
        <v>1381</v>
      </c>
      <c r="B17" s="3389"/>
      <c r="C17" s="3389"/>
      <c r="D17" s="3389"/>
    </row>
    <row r="18" spans="1:4" ht="15.75" customHeight="1">
      <c r="A18" s="3386" t="str">
        <f>IF(项目基本情况!B8="抵押",结果表!K120,"——")</f>
        <v>故，本次评估不存在估价师知悉的法定优先受偿款</v>
      </c>
      <c r="B18" s="3386"/>
      <c r="C18" s="3386"/>
      <c r="D18" s="3386"/>
    </row>
    <row r="19" spans="1:4" ht="46.5" customHeight="1">
      <c r="A19" s="33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57.75" customHeight="1">
      <c r="A20" s="33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6"/>
      <c r="C20" s="3386"/>
      <c r="D20" s="3386"/>
    </row>
    <row r="21" spans="1:4" ht="57.75" customHeight="1">
      <c r="A21" s="33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0"/>
      <c r="C21" s="3390"/>
      <c r="D21" s="3390"/>
    </row>
    <row r="22" spans="1:4" ht="18.75" customHeight="1">
      <c r="A22" s="3391" t="s">
        <v>1382</v>
      </c>
      <c r="B22" s="3391"/>
      <c r="C22" s="3391"/>
      <c r="D22" s="339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88">
        <v>42551</v>
      </c>
      <c r="D31" s="33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97" t="s">
        <v>1393</v>
      </c>
      <c r="B15" s="3392" t="s">
        <v>136</v>
      </c>
      <c r="C15" s="3393"/>
    </row>
    <row r="16" spans="1:7" ht="13.5">
      <c r="A16" s="3398"/>
      <c r="B16" s="3392" t="s">
        <v>69</v>
      </c>
      <c r="C16" s="3393"/>
    </row>
    <row r="17" spans="1:3" ht="13.5">
      <c r="A17" s="3398"/>
      <c r="B17" s="3395" t="s">
        <v>1394</v>
      </c>
      <c r="C17" s="1668" t="s">
        <v>1393</v>
      </c>
    </row>
    <row r="18" spans="1:3" ht="13.5">
      <c r="A18" s="3398"/>
      <c r="B18" s="3395"/>
      <c r="C18" s="1668" t="s">
        <v>1395</v>
      </c>
    </row>
    <row r="19" spans="1:3" ht="13.5">
      <c r="A19" s="3398"/>
      <c r="B19" s="3395"/>
      <c r="C19" s="1668" t="s">
        <v>1396</v>
      </c>
    </row>
    <row r="20" spans="1:3" ht="13.5">
      <c r="A20" s="3399"/>
      <c r="B20" s="3394" t="s">
        <v>1397</v>
      </c>
      <c r="C20" s="3393"/>
    </row>
    <row r="21" spans="1:3" ht="13.5">
      <c r="A21" s="1669" t="s">
        <v>1398</v>
      </c>
      <c r="B21" s="1670"/>
      <c r="C21" s="1671"/>
    </row>
    <row r="22" spans="1:3" ht="13.5">
      <c r="A22" s="3396" t="s">
        <v>1399</v>
      </c>
      <c r="B22" s="3394" t="s">
        <v>1400</v>
      </c>
      <c r="C22" s="3393"/>
    </row>
    <row r="23" spans="1:3" ht="13.5">
      <c r="A23" s="3396"/>
      <c r="B23" s="3394" t="s">
        <v>1401</v>
      </c>
      <c r="C23" s="3393"/>
    </row>
    <row r="24" spans="1:3" ht="13.5">
      <c r="A24" s="3396"/>
      <c r="B24" s="3394" t="s">
        <v>1402</v>
      </c>
      <c r="C24" s="3393"/>
    </row>
    <row r="25" spans="1:3" ht="13.5">
      <c r="A25" s="3396"/>
      <c r="B25" s="3395" t="s">
        <v>1403</v>
      </c>
      <c r="C25" s="1668" t="s">
        <v>1404</v>
      </c>
    </row>
    <row r="26" spans="1:3" ht="13.5">
      <c r="A26" s="3396"/>
      <c r="B26" s="3395"/>
      <c r="C26" s="1668" t="s">
        <v>1405</v>
      </c>
    </row>
    <row r="27" spans="1:3" ht="13.5">
      <c r="A27" s="3396"/>
      <c r="B27" s="3395"/>
      <c r="C27" s="1668" t="s">
        <v>1406</v>
      </c>
    </row>
    <row r="28" spans="1:3" ht="13.5">
      <c r="A28" s="3396"/>
      <c r="B28" s="3395"/>
      <c r="C28" s="1668" t="s">
        <v>1407</v>
      </c>
    </row>
    <row r="29" spans="1:3" ht="13.5">
      <c r="A29" s="3396"/>
      <c r="B29" s="3395"/>
      <c r="C29" s="1668" t="s">
        <v>1408</v>
      </c>
    </row>
    <row r="30" spans="1:3" ht="13.5">
      <c r="A30" s="3396"/>
      <c r="B30" s="3395"/>
      <c r="C30" s="1668" t="s">
        <v>1409</v>
      </c>
    </row>
    <row r="31" spans="1:3" ht="13.5">
      <c r="A31" s="3396"/>
      <c r="B31" s="3395"/>
      <c r="C31" s="1668" t="s">
        <v>1410</v>
      </c>
    </row>
    <row r="32" spans="1:3" ht="13.5">
      <c r="A32" s="3396"/>
      <c r="B32" s="3395"/>
      <c r="C32" s="1668" t="s">
        <v>1411</v>
      </c>
    </row>
    <row r="33" spans="1:3" ht="13.5">
      <c r="A33" s="3396"/>
      <c r="B33" s="339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44889</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400" t="s">
        <v>2661</v>
      </c>
      <c r="B17" s="3400"/>
      <c r="C17" s="3400"/>
      <c r="D17" s="3400"/>
      <c r="E17" s="3400"/>
      <c r="F17" s="3400"/>
      <c r="G17" s="3400"/>
      <c r="H17" s="3400"/>
    </row>
    <row r="18" spans="1:8" ht="24" customHeight="1">
      <c r="A18" s="3401" t="s">
        <v>2662</v>
      </c>
      <c r="B18" s="3401"/>
      <c r="C18" s="3401"/>
      <c r="D18" s="2517"/>
      <c r="E18" s="3402" t="s">
        <v>2663</v>
      </c>
      <c r="F18" s="3401"/>
      <c r="G18" s="340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租金表-旧</vt:lpstr>
      <vt:lpstr>租金表-新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2022-11-24T03:38:44Z</dcterms:modified>
</cp:coreProperties>
</file>