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办公" sheetId="80" state="hidden" r:id="rId19"/>
    <sheet name="假设开发法" sheetId="12" state="hidden" r:id="rId20"/>
    <sheet name="收益法" sheetId="15" state="hidden" r:id="rId21"/>
    <sheet name="收益法（汇总）" sheetId="70" state="hidden" r:id="rId22"/>
    <sheet name="酒店收入计算" sheetId="66"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修正" sheetId="45" state="hidden" r:id="rId31"/>
    <sheet name="容积率修正" sheetId="46" state="hidden" r:id="rId32"/>
    <sheet name="基准地价（汇总）" sheetId="76" state="hidden" r:id="rId33"/>
    <sheet name="地价" sheetId="71" state="hidden" r:id="rId34"/>
    <sheet name="办公案例" sheetId="79" state="hidden" r:id="rId35"/>
    <sheet name="收益法-办公" sheetId="67" state="hidden" r:id="rId36"/>
    <sheet name="比较法-办公租金" sheetId="83" state="hidden" r:id="rId37"/>
    <sheet name="典型户型修正" sheetId="31" state="hidden" r:id="rId38"/>
    <sheet name="比较法-住宅" sheetId="21" r:id="rId39"/>
    <sheet name="住宅案例" sheetId="81" r:id="rId40"/>
    <sheet name="收益法-住宅" sheetId="77" r:id="rId41"/>
    <sheet name="成本法" sheetId="68" state="hidden" r:id="rId42"/>
    <sheet name="成本法 (元)" sheetId="69" state="hidden" r:id="rId43"/>
    <sheet name="基准地价修正" sheetId="43"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比较法-住宅租金)" sheetId="85" r:id="rId50"/>
    <sheet name="Sheet1" sheetId="82" r:id="rId51"/>
  </sheets>
  <externalReferences>
    <externalReference r:id="rId52"/>
    <externalReference r:id="rId53"/>
  </externalReferences>
  <definedNames>
    <definedName name="_xlnm._FilterDatabase" localSheetId="24" hidden="1">'比较法-办公'!$A$1:$L$50</definedName>
    <definedName name="_xlnm._FilterDatabase" localSheetId="36"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38" hidden="1">'比较法-住宅'!$A$1:$L$49</definedName>
    <definedName name="_xlnm._FilterDatabase" localSheetId="49" hidden="1">'比较法-住宅租金)'!$A$1:$L$49</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35">'收益法-办公'!$A$1:$AK$69</definedName>
    <definedName name="_xlnm.Print_Area" localSheetId="40">'收益法-住宅'!$A$1:$AK$69</definedName>
    <definedName name="_xlnm.Print_Area" localSheetId="13">'数据-汇总表'!$A$1:$P$32</definedName>
    <definedName name="八级">区片价!$O$1:$O$40</definedName>
    <definedName name="办公层高" localSheetId="36">'比较法-办公租金'!$B$119:$M$119</definedName>
    <definedName name="办公层高">'比较法-办公'!$B$119:$M$119</definedName>
    <definedName name="办公朝向" localSheetId="36">'比较法-办公租金'!$B$91:$M$91</definedName>
    <definedName name="办公朝向">'比较法-办公'!$B$91:$M$91</definedName>
    <definedName name="办公道路级别" localSheetId="36">'比较法-办公租金'!$B$87:$M$87</definedName>
    <definedName name="办公道路级别">'比较法-办公'!$B$87:$M$87</definedName>
    <definedName name="办公公共部分装修" localSheetId="36">'比较法-办公租金'!$B$108:$M$108</definedName>
    <definedName name="办公公共部分装修">'比较法-办公'!$B$108:$M$108</definedName>
    <definedName name="办公基础设施水平" localSheetId="36">'比较法-办公租金'!$B$117:$M$117</definedName>
    <definedName name="办公基础设施水平">'比较法-办公'!$B$117:$M$117</definedName>
    <definedName name="办公集聚程度">定义!$M$1:$M$6</definedName>
    <definedName name="办公建筑结构" localSheetId="36">'比较法-办公租金'!$B$106:$M$106</definedName>
    <definedName name="办公建筑结构">'比较法-办公'!$B$106:$M$106</definedName>
    <definedName name="办公建筑类型" localSheetId="36">'比较法-办公租金'!$B$101:$M$101</definedName>
    <definedName name="办公建筑类型">'比较法-办公'!$B$101:$M$101</definedName>
    <definedName name="办公交易情况" localSheetId="36">'比较法-办公租金'!$A$62:$M$62</definedName>
    <definedName name="办公交易情况">'比较法-办公'!$A$62:$M$62</definedName>
    <definedName name="办公楼层" localSheetId="36">'比较法-办公租金'!$B$89:$M$89</definedName>
    <definedName name="办公楼层">'比较法-办公'!$B$89:$M$89</definedName>
    <definedName name="办公内部装修" localSheetId="36">'比较法-办公租金'!$B$123:$M$123</definedName>
    <definedName name="办公内部装修">'比较法-办公'!$B$123:$M$123</definedName>
    <definedName name="办公物业管理" localSheetId="36">'比较法-办公租金'!$B$115:$M$115</definedName>
    <definedName name="办公物业管理">'比较法-办公'!$B$115:$M$115</definedName>
    <definedName name="办公用途" localSheetId="36">'比较法-办公租金'!$B$64:$M$64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6">'比较法-办公租金'!$B$113:$M$113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9">'比较法-住宅租金)'!$B$88:$M$88</definedName>
    <definedName name="住宅朝向">'比较法-住宅'!$B$88:$M$88</definedName>
    <definedName name="住宅房型" localSheetId="49">'比较法-住宅租金)'!$B$118:$M$118</definedName>
    <definedName name="住宅房型">'比较法-住宅'!$B$118:$M$118</definedName>
    <definedName name="住宅公共部分装修" localSheetId="49">'比较法-住宅租金)'!$B$109:$M$109</definedName>
    <definedName name="住宅公共部分装修">'比较法-住宅'!$B$109:$M$109</definedName>
    <definedName name="住宅基础设施水平" localSheetId="49">'比较法-住宅租金)'!$B$116:$M$116</definedName>
    <definedName name="住宅基础设施水平">'比较法-住宅'!$B$116:$M$116</definedName>
    <definedName name="住宅建筑结构" localSheetId="49">'比较法-住宅租金)'!$B$105:$M$105</definedName>
    <definedName name="住宅建筑结构">'比较法-住宅'!$B$105:$M$105</definedName>
    <definedName name="住宅建筑类型" localSheetId="49">'比较法-住宅租金)'!$B$100:$M$100</definedName>
    <definedName name="住宅建筑类型">'比较法-住宅'!$B$100:$M$100</definedName>
    <definedName name="住宅建筑品质" localSheetId="49">'比较法-住宅租金)'!$B$107:$M$107</definedName>
    <definedName name="住宅建筑品质">'比较法-住宅'!$B$107:$M$107</definedName>
    <definedName name="住宅交易情况" localSheetId="49">'比较法-住宅租金)'!$A$61:$M$61</definedName>
    <definedName name="住宅交易情况">'比较法-住宅'!$A$61:$M$61</definedName>
    <definedName name="住宅楼层" localSheetId="49">'比较法-住宅租金)'!$B$86:$M$86</definedName>
    <definedName name="住宅楼层">'比较法-住宅'!$B$86:$M$86</definedName>
    <definedName name="住宅内部装修" localSheetId="49">'比较法-住宅租金)'!$B$122:$M$122</definedName>
    <definedName name="住宅内部装修">'比较法-住宅'!$B$122:$M$122</definedName>
    <definedName name="住宅物业管理" localSheetId="49">'比较法-住宅租金)'!$B$114:$M$114</definedName>
    <definedName name="住宅物业管理">'比较法-住宅'!$B$114:$M$114</definedName>
    <definedName name="住宅用途" localSheetId="49">'比较法-住宅租金)'!$B$63:$M$63</definedName>
    <definedName name="住宅用途">'比较法-住宅'!$B$63:$M$63</definedName>
    <definedName name="住宅主力户型面积" localSheetId="49">'比较法-住宅租金)'!$B$120:$M$120</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J50" i="85" l="1"/>
  <c r="H50" i="85"/>
  <c r="E50" i="85"/>
  <c r="C145" i="85"/>
  <c r="K139" i="85" s="1"/>
  <c r="K141" i="85" s="1"/>
  <c r="J142" i="85"/>
  <c r="J140" i="85"/>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D115" i="85"/>
  <c r="E115" i="85" s="1"/>
  <c r="F115" i="85" s="1"/>
  <c r="G115" i="85" s="1"/>
  <c r="H115" i="85" s="1"/>
  <c r="I115" i="85" s="1"/>
  <c r="J115" i="85" s="1"/>
  <c r="K115" i="85" s="1"/>
  <c r="L115" i="85" s="1"/>
  <c r="M115" i="85" s="1"/>
  <c r="E113" i="85"/>
  <c r="F113" i="85" s="1"/>
  <c r="G113" i="85" s="1"/>
  <c r="H113" i="85" s="1"/>
  <c r="D113" i="85"/>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J30" i="85" s="1"/>
  <c r="AC30" i="85" s="1"/>
  <c r="B94" i="85"/>
  <c r="B92" i="85"/>
  <c r="J28" i="85" s="1"/>
  <c r="AC28" i="85" s="1"/>
  <c r="B90" i="85"/>
  <c r="D89" i="85"/>
  <c r="E89" i="85" s="1"/>
  <c r="F89" i="85" s="1"/>
  <c r="G89" i="85" s="1"/>
  <c r="H89" i="85" s="1"/>
  <c r="I89" i="85" s="1"/>
  <c r="J89" i="85" s="1"/>
  <c r="K89" i="85" s="1"/>
  <c r="L89" i="85" s="1"/>
  <c r="M89" i="85" s="1"/>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H14" i="85" s="1"/>
  <c r="AB14" i="85" s="1"/>
  <c r="B72" i="85"/>
  <c r="B70" i="85"/>
  <c r="H12" i="85" s="1"/>
  <c r="AB12" i="85" s="1"/>
  <c r="D69" i="85"/>
  <c r="E69" i="85" s="1"/>
  <c r="F69" i="85" s="1"/>
  <c r="G69" i="85" s="1"/>
  <c r="H69" i="85" s="1"/>
  <c r="I69" i="85" s="1"/>
  <c r="J69" i="85" s="1"/>
  <c r="K69" i="85" s="1"/>
  <c r="L69" i="85" s="1"/>
  <c r="M69" i="85" s="1"/>
  <c r="M67" i="85"/>
  <c r="L67" i="85"/>
  <c r="K67" i="85"/>
  <c r="J67" i="85"/>
  <c r="I67" i="85"/>
  <c r="H67" i="85"/>
  <c r="G67" i="85"/>
  <c r="F67" i="85"/>
  <c r="E67" i="85"/>
  <c r="D67" i="85"/>
  <c r="C67" i="85"/>
  <c r="D66" i="85"/>
  <c r="E66" i="85" s="1"/>
  <c r="F66" i="85" s="1"/>
  <c r="G66" i="85" s="1"/>
  <c r="H66" i="85" s="1"/>
  <c r="I66" i="85" s="1"/>
  <c r="C63" i="85"/>
  <c r="H9" i="85" s="1"/>
  <c r="AB9" i="85" s="1"/>
  <c r="I54" i="85"/>
  <c r="J54" i="85" s="1"/>
  <c r="G54" i="85"/>
  <c r="H54" i="85" s="1"/>
  <c r="E54" i="85"/>
  <c r="F54" i="85" s="1"/>
  <c r="P49" i="85"/>
  <c r="P48" i="85"/>
  <c r="V47" i="85"/>
  <c r="T47" i="85"/>
  <c r="R47" i="85"/>
  <c r="P47" i="85"/>
  <c r="Q46" i="85"/>
  <c r="Z46" i="85" s="1"/>
  <c r="H46" i="85"/>
  <c r="AB46" i="85" s="1"/>
  <c r="Q45" i="85"/>
  <c r="Z45" i="85" s="1"/>
  <c r="J45" i="85"/>
  <c r="H45" i="85"/>
  <c r="AB45" i="85" s="1"/>
  <c r="F45" i="85"/>
  <c r="Q44" i="85"/>
  <c r="Z44" i="85" s="1"/>
  <c r="H44" i="85"/>
  <c r="AB44" i="85" s="1"/>
  <c r="Q43" i="85"/>
  <c r="Z43" i="85" s="1"/>
  <c r="J43" i="85"/>
  <c r="AC43" i="85" s="1"/>
  <c r="H43" i="85"/>
  <c r="AB43" i="85" s="1"/>
  <c r="F43" i="85"/>
  <c r="AA43" i="85" s="1"/>
  <c r="Q42" i="85"/>
  <c r="Z42" i="85" s="1"/>
  <c r="H42" i="85"/>
  <c r="AB42" i="85" s="1"/>
  <c r="Q41" i="85"/>
  <c r="Z41" i="85" s="1"/>
  <c r="C41" i="85"/>
  <c r="J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H36" i="85"/>
  <c r="AB36" i="85" s="1"/>
  <c r="Q35" i="85"/>
  <c r="Z35" i="85" s="1"/>
  <c r="J35" i="85"/>
  <c r="AC35" i="85" s="1"/>
  <c r="H35" i="85"/>
  <c r="AB35" i="85" s="1"/>
  <c r="F35" i="85"/>
  <c r="AA35" i="85" s="1"/>
  <c r="Q34" i="85"/>
  <c r="Z34" i="85" s="1"/>
  <c r="J34" i="85"/>
  <c r="AC34" i="85" s="1"/>
  <c r="H34" i="85"/>
  <c r="AB34" i="85" s="1"/>
  <c r="F34" i="85"/>
  <c r="AA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H30" i="85"/>
  <c r="AB30" i="85" s="1"/>
  <c r="Q29" i="85"/>
  <c r="Z29" i="85" s="1"/>
  <c r="J29" i="85"/>
  <c r="AC29" i="85" s="1"/>
  <c r="H29" i="85"/>
  <c r="AB29" i="85" s="1"/>
  <c r="F29" i="85"/>
  <c r="AA29" i="85" s="1"/>
  <c r="Q28" i="85"/>
  <c r="Z28" i="85" s="1"/>
  <c r="H28" i="85"/>
  <c r="AB28" i="85" s="1"/>
  <c r="Q27" i="85"/>
  <c r="Z27" i="85" s="1"/>
  <c r="J27" i="85"/>
  <c r="AC27" i="85" s="1"/>
  <c r="H27" i="85"/>
  <c r="AB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AC19" i="85"/>
  <c r="Q19" i="85"/>
  <c r="Z19" i="85" s="1"/>
  <c r="J19" i="85"/>
  <c r="W19" i="85" s="1"/>
  <c r="H19" i="85"/>
  <c r="F19" i="85"/>
  <c r="AA19" i="85" s="1"/>
  <c r="C19" i="85"/>
  <c r="Q17" i="85"/>
  <c r="Z17" i="85" s="1"/>
  <c r="J17" i="85"/>
  <c r="AC17" i="85" s="1"/>
  <c r="F17" i="85"/>
  <c r="AA17" i="85" s="1"/>
  <c r="C17" i="85"/>
  <c r="Q15" i="85"/>
  <c r="Z15" i="85" s="1"/>
  <c r="J15" i="85"/>
  <c r="AC15" i="85" s="1"/>
  <c r="H15" i="85"/>
  <c r="AB15" i="85" s="1"/>
  <c r="F15" i="85"/>
  <c r="AA15" i="85" s="1"/>
  <c r="C15" i="85"/>
  <c r="Q14" i="85"/>
  <c r="Z14" i="85" s="1"/>
  <c r="J14" i="85"/>
  <c r="AC14" i="85" s="1"/>
  <c r="F14" i="85"/>
  <c r="AA14" i="85" s="1"/>
  <c r="Q13" i="85"/>
  <c r="Z13" i="85" s="1"/>
  <c r="J13" i="85"/>
  <c r="AC13" i="85" s="1"/>
  <c r="H13" i="85"/>
  <c r="AB13" i="85" s="1"/>
  <c r="F13" i="85"/>
  <c r="AA13" i="85" s="1"/>
  <c r="Q12" i="85"/>
  <c r="Z12" i="85" s="1"/>
  <c r="J12" i="85"/>
  <c r="AC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F9" i="85"/>
  <c r="AA9" i="85" s="1"/>
  <c r="J8" i="85"/>
  <c r="AC8" i="85" s="1"/>
  <c r="H8" i="85"/>
  <c r="U8" i="85" s="1"/>
  <c r="F8" i="85"/>
  <c r="AA8" i="85" s="1"/>
  <c r="I5" i="85"/>
  <c r="G5" i="85"/>
  <c r="E5" i="85"/>
  <c r="D2" i="85"/>
  <c r="K145" i="85" l="1"/>
  <c r="H17" i="85"/>
  <c r="AB17" i="85" s="1"/>
  <c r="F28" i="85"/>
  <c r="AA28" i="85" s="1"/>
  <c r="F30" i="85"/>
  <c r="AA30" i="85" s="1"/>
  <c r="F36" i="85"/>
  <c r="AA36" i="85" s="1"/>
  <c r="J36" i="85"/>
  <c r="AC36" i="85" s="1"/>
  <c r="F42" i="85"/>
  <c r="AA42" i="85" s="1"/>
  <c r="J42" i="85"/>
  <c r="AC42" i="85" s="1"/>
  <c r="F44" i="85"/>
  <c r="AA44" i="85" s="1"/>
  <c r="F46" i="85"/>
  <c r="AA46" i="85" s="1"/>
  <c r="W23" i="85"/>
  <c r="S8" i="85"/>
  <c r="W8" i="85"/>
  <c r="AB8" i="85"/>
  <c r="S9" i="85"/>
  <c r="W9" i="85"/>
  <c r="U10" i="85"/>
  <c r="S11" i="85"/>
  <c r="W11" i="85"/>
  <c r="U12" i="85"/>
  <c r="S13" i="85"/>
  <c r="W13" i="85"/>
  <c r="U14" i="85"/>
  <c r="U15" i="85"/>
  <c r="U17" i="85"/>
  <c r="AB19" i="85"/>
  <c r="U19" i="85"/>
  <c r="S21" i="85"/>
  <c r="AC41" i="85"/>
  <c r="W41" i="85"/>
  <c r="U9" i="85"/>
  <c r="S10" i="85"/>
  <c r="W10" i="85"/>
  <c r="U11" i="85"/>
  <c r="S12" i="85"/>
  <c r="W12" i="85"/>
  <c r="U13" i="85"/>
  <c r="S14" i="85"/>
  <c r="W14" i="85"/>
  <c r="S15" i="85"/>
  <c r="W15" i="85"/>
  <c r="S17" i="85"/>
  <c r="W17" i="85"/>
  <c r="S19" i="85"/>
  <c r="W21" i="85"/>
  <c r="S23" i="85"/>
  <c r="U25" i="85"/>
  <c r="U21" i="85"/>
  <c r="U23" i="85"/>
  <c r="S25" i="85"/>
  <c r="W25" i="85"/>
  <c r="U26" i="85"/>
  <c r="S27" i="85"/>
  <c r="W27" i="85"/>
  <c r="U28" i="85"/>
  <c r="S29" i="85"/>
  <c r="W29" i="85"/>
  <c r="U30" i="85"/>
  <c r="S31" i="85"/>
  <c r="W31" i="85"/>
  <c r="U32" i="85"/>
  <c r="S33" i="85"/>
  <c r="W33" i="85"/>
  <c r="U34" i="85"/>
  <c r="S35" i="85"/>
  <c r="W35" i="85"/>
  <c r="U36" i="85"/>
  <c r="U38" i="85"/>
  <c r="S39" i="85"/>
  <c r="W39" i="85"/>
  <c r="U40" i="85"/>
  <c r="H41" i="85"/>
  <c r="W42" i="85"/>
  <c r="U43" i="85"/>
  <c r="S44" i="85"/>
  <c r="W44" i="85"/>
  <c r="S26" i="85"/>
  <c r="W26" i="85"/>
  <c r="U27" i="85"/>
  <c r="S28" i="85"/>
  <c r="W28" i="85"/>
  <c r="U29" i="85"/>
  <c r="S30" i="85"/>
  <c r="W30" i="85"/>
  <c r="U31" i="85"/>
  <c r="S32" i="85"/>
  <c r="W32" i="85"/>
  <c r="U33" i="85"/>
  <c r="S34" i="85"/>
  <c r="W34" i="85"/>
  <c r="U35" i="85"/>
  <c r="W36" i="85"/>
  <c r="S38" i="85"/>
  <c r="W38" i="85"/>
  <c r="U39" i="85"/>
  <c r="S40" i="85"/>
  <c r="W40" i="85"/>
  <c r="F41" i="85"/>
  <c r="U42" i="85"/>
  <c r="S43" i="85"/>
  <c r="W43" i="85"/>
  <c r="U44" i="85"/>
  <c r="AA45" i="85"/>
  <c r="S45" i="85"/>
  <c r="AC45" i="85"/>
  <c r="W45" i="85"/>
  <c r="U45" i="85"/>
  <c r="S46" i="85"/>
  <c r="W46" i="85"/>
  <c r="K143" i="85"/>
  <c r="U46" i="85"/>
  <c r="K144" i="85"/>
  <c r="S36" i="85" l="1"/>
  <c r="S42" i="85"/>
  <c r="AB41" i="85"/>
  <c r="U41" i="85"/>
  <c r="AA41" i="85"/>
  <c r="S41" i="85"/>
  <c r="AY3" i="3" l="1"/>
  <c r="I12" i="82" l="1"/>
  <c r="F19" i="6"/>
  <c r="B131" i="83" l="1"/>
  <c r="B129" i="83"/>
  <c r="J46" i="83" s="1"/>
  <c r="AC46" i="83" s="1"/>
  <c r="B127" i="83"/>
  <c r="E126" i="83"/>
  <c r="F126" i="83" s="1"/>
  <c r="G126" i="83" s="1"/>
  <c r="D126" i="83"/>
  <c r="E124" i="83"/>
  <c r="F124" i="83" s="1"/>
  <c r="G124" i="83" s="1"/>
  <c r="H124" i="83" s="1"/>
  <c r="I124" i="83" s="1"/>
  <c r="J124" i="83" s="1"/>
  <c r="K124" i="83" s="1"/>
  <c r="L124" i="83" s="1"/>
  <c r="M124" i="83" s="1"/>
  <c r="D124" i="83"/>
  <c r="E120" i="83"/>
  <c r="F120" i="83" s="1"/>
  <c r="G120" i="83" s="1"/>
  <c r="H120" i="83" s="1"/>
  <c r="I120" i="83" s="1"/>
  <c r="J120" i="83" s="1"/>
  <c r="K120" i="83" s="1"/>
  <c r="L120" i="83" s="1"/>
  <c r="M120" i="83" s="1"/>
  <c r="D120" i="83"/>
  <c r="D118" i="83"/>
  <c r="E118" i="83" s="1"/>
  <c r="F118" i="83" s="1"/>
  <c r="G118" i="83" s="1"/>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B95" i="83"/>
  <c r="B93" i="83"/>
  <c r="D92" i="83"/>
  <c r="E92" i="83" s="1"/>
  <c r="F92" i="83" s="1"/>
  <c r="G92" i="83" s="1"/>
  <c r="H92" i="83" s="1"/>
  <c r="I92" i="83" s="1"/>
  <c r="J92" i="83" s="1"/>
  <c r="K92" i="83" s="1"/>
  <c r="L92" i="83" s="1"/>
  <c r="M92" i="83" s="1"/>
  <c r="B91" i="83"/>
  <c r="D90" i="83"/>
  <c r="E90" i="83" s="1"/>
  <c r="F90" i="83" s="1"/>
  <c r="G90" i="83" s="1"/>
  <c r="H90" i="83" s="1"/>
  <c r="I90" i="83" s="1"/>
  <c r="J90" i="83" s="1"/>
  <c r="K90" i="83" s="1"/>
  <c r="L90" i="83" s="1"/>
  <c r="M90" i="83" s="1"/>
  <c r="B89" i="83"/>
  <c r="D88" i="83"/>
  <c r="E88" i="83" s="1"/>
  <c r="D86" i="83"/>
  <c r="E86" i="83" s="1"/>
  <c r="D84" i="83"/>
  <c r="E84" i="83" s="1"/>
  <c r="F84" i="83" s="1"/>
  <c r="G84" i="83" s="1"/>
  <c r="D82" i="83"/>
  <c r="E82" i="83" s="1"/>
  <c r="F82" i="83" s="1"/>
  <c r="G82" i="83" s="1"/>
  <c r="D80" i="83"/>
  <c r="E80" i="83" s="1"/>
  <c r="F80" i="83" s="1"/>
  <c r="G80" i="83" s="1"/>
  <c r="D78" i="83"/>
  <c r="E78" i="83" s="1"/>
  <c r="F78" i="83" s="1"/>
  <c r="G78" i="83" s="1"/>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G67" i="83"/>
  <c r="H67" i="83" s="1"/>
  <c r="I67" i="83" s="1"/>
  <c r="F67" i="83"/>
  <c r="C64" i="83"/>
  <c r="I55" i="83"/>
  <c r="J55" i="83" s="1"/>
  <c r="G55" i="83"/>
  <c r="H55" i="83" s="1"/>
  <c r="E55" i="83"/>
  <c r="F55" i="83" s="1"/>
  <c r="P50" i="83"/>
  <c r="P49" i="83"/>
  <c r="V48" i="83"/>
  <c r="T48" i="83"/>
  <c r="R48" i="83"/>
  <c r="P48" i="83"/>
  <c r="Q47" i="83"/>
  <c r="Z47" i="83" s="1"/>
  <c r="J47" i="83"/>
  <c r="AC47" i="83" s="1"/>
  <c r="H47" i="83"/>
  <c r="AB47" i="83" s="1"/>
  <c r="F47" i="83"/>
  <c r="AA47" i="83" s="1"/>
  <c r="Q46" i="83"/>
  <c r="Z46" i="83" s="1"/>
  <c r="H46" i="83"/>
  <c r="AB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C42" i="83"/>
  <c r="J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Q23" i="83"/>
  <c r="Z23" i="83" s="1"/>
  <c r="C23" i="83"/>
  <c r="E23" i="83" s="1"/>
  <c r="G23" i="83" s="1"/>
  <c r="I23" i="83" s="1"/>
  <c r="Q21" i="83"/>
  <c r="Z21" i="83" s="1"/>
  <c r="J21" i="83"/>
  <c r="AC21" i="83" s="1"/>
  <c r="H21" i="83"/>
  <c r="AB21" i="83" s="1"/>
  <c r="F21" i="83"/>
  <c r="AA21" i="83" s="1"/>
  <c r="C21" i="83"/>
  <c r="E21" i="83" s="1"/>
  <c r="G21" i="83" s="1"/>
  <c r="I21" i="83" s="1"/>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AC13" i="83"/>
  <c r="Q13" i="83"/>
  <c r="Z13" i="83" s="1"/>
  <c r="J13" i="83"/>
  <c r="W13" i="83" s="1"/>
  <c r="H13" i="83"/>
  <c r="AB13" i="83" s="1"/>
  <c r="F13" i="83"/>
  <c r="AA13" i="83" s="1"/>
  <c r="Q12" i="83"/>
  <c r="Z12" i="83" s="1"/>
  <c r="J12" i="83"/>
  <c r="AC12" i="83" s="1"/>
  <c r="H12" i="83"/>
  <c r="U12" i="83" s="1"/>
  <c r="F12" i="83"/>
  <c r="AA12" i="83" s="1"/>
  <c r="Q11" i="83"/>
  <c r="Z11" i="83" s="1"/>
  <c r="J11" i="83"/>
  <c r="AC11" i="83" s="1"/>
  <c r="H11" i="83"/>
  <c r="AB11" i="83" s="1"/>
  <c r="F11" i="83"/>
  <c r="AA11" i="83" s="1"/>
  <c r="Q10" i="83"/>
  <c r="Z10" i="83" s="1"/>
  <c r="J10" i="83"/>
  <c r="AC10" i="83" s="1"/>
  <c r="H10" i="83"/>
  <c r="AB10" i="83" s="1"/>
  <c r="F10" i="83"/>
  <c r="Q9" i="83"/>
  <c r="Z9" i="83" s="1"/>
  <c r="J9" i="83"/>
  <c r="AC9" i="83" s="1"/>
  <c r="H9" i="83"/>
  <c r="AB9" i="83" s="1"/>
  <c r="F9" i="83"/>
  <c r="AA9" i="83" s="1"/>
  <c r="J8" i="83"/>
  <c r="AC8" i="83" s="1"/>
  <c r="H8" i="83"/>
  <c r="U8" i="83" s="1"/>
  <c r="F8" i="83"/>
  <c r="AA8" i="83" s="1"/>
  <c r="I5" i="83"/>
  <c r="G5" i="83"/>
  <c r="E5" i="83"/>
  <c r="D2" i="83"/>
  <c r="W8" i="83" l="1"/>
  <c r="AB12" i="83"/>
  <c r="S8" i="83"/>
  <c r="F46" i="83"/>
  <c r="AA46" i="83" s="1"/>
  <c r="F88" i="83"/>
  <c r="G88" i="83" s="1"/>
  <c r="H88" i="83" s="1"/>
  <c r="I88" i="83" s="1"/>
  <c r="J88" i="83" s="1"/>
  <c r="K88" i="83" s="1"/>
  <c r="L88" i="83" s="1"/>
  <c r="M88" i="83" s="1"/>
  <c r="H25" i="83"/>
  <c r="AB25" i="83" s="1"/>
  <c r="J25" i="83"/>
  <c r="AC25" i="83" s="1"/>
  <c r="F25" i="83"/>
  <c r="AA25" i="83" s="1"/>
  <c r="F86" i="83"/>
  <c r="G86" i="83" s="1"/>
  <c r="J23" i="83"/>
  <c r="AC23" i="83" s="1"/>
  <c r="F23" i="83"/>
  <c r="AA23" i="83" s="1"/>
  <c r="H23" i="83"/>
  <c r="AB8" i="83"/>
  <c r="S9" i="83"/>
  <c r="W9" i="83"/>
  <c r="U9" i="83"/>
  <c r="AA10" i="83"/>
  <c r="S10" i="83"/>
  <c r="U10" i="83"/>
  <c r="W11" i="83"/>
  <c r="S13" i="83"/>
  <c r="U14" i="83"/>
  <c r="U15" i="83"/>
  <c r="U17" i="83"/>
  <c r="AC42" i="83"/>
  <c r="W42" i="83"/>
  <c r="S11" i="83"/>
  <c r="U19" i="83"/>
  <c r="S21" i="83"/>
  <c r="W21" i="83"/>
  <c r="W25" i="83"/>
  <c r="U27" i="83"/>
  <c r="S28" i="83"/>
  <c r="W28" i="83"/>
  <c r="U29" i="83"/>
  <c r="S30" i="83"/>
  <c r="W30" i="83"/>
  <c r="U31" i="83"/>
  <c r="S32" i="83"/>
  <c r="W32" i="83"/>
  <c r="U33" i="83"/>
  <c r="S34" i="83"/>
  <c r="W34" i="83"/>
  <c r="U35" i="83"/>
  <c r="S36" i="83"/>
  <c r="W36" i="83"/>
  <c r="S38" i="83"/>
  <c r="W38" i="83"/>
  <c r="U39" i="83"/>
  <c r="S40" i="83"/>
  <c r="W40" i="83"/>
  <c r="U41" i="83"/>
  <c r="H42" i="83"/>
  <c r="S43" i="83"/>
  <c r="W43" i="83"/>
  <c r="U44" i="83"/>
  <c r="S45" i="83"/>
  <c r="W45" i="83"/>
  <c r="S46" i="83"/>
  <c r="W10" i="83"/>
  <c r="U11" i="83"/>
  <c r="S12" i="83"/>
  <c r="W12" i="83"/>
  <c r="U13" i="83"/>
  <c r="S14" i="83"/>
  <c r="W14" i="83"/>
  <c r="S15" i="83"/>
  <c r="W15" i="83"/>
  <c r="S17" i="83"/>
  <c r="W17" i="83"/>
  <c r="S19" i="83"/>
  <c r="W19" i="83"/>
  <c r="U21" i="83"/>
  <c r="U25" i="83"/>
  <c r="S27" i="83"/>
  <c r="W27" i="83"/>
  <c r="U28" i="83"/>
  <c r="S29" i="83"/>
  <c r="W29" i="83"/>
  <c r="U30" i="83"/>
  <c r="S31" i="83"/>
  <c r="W31" i="83"/>
  <c r="U32" i="83"/>
  <c r="S33" i="83"/>
  <c r="W33" i="83"/>
  <c r="U34" i="83"/>
  <c r="S35" i="83"/>
  <c r="W35" i="83"/>
  <c r="U36" i="83"/>
  <c r="U38" i="83"/>
  <c r="S39" i="83"/>
  <c r="W39" i="83"/>
  <c r="U40" i="83"/>
  <c r="S41" i="83"/>
  <c r="W41" i="83"/>
  <c r="F42" i="83"/>
  <c r="U43" i="83"/>
  <c r="S44" i="83"/>
  <c r="W44" i="83"/>
  <c r="U45" i="83"/>
  <c r="W46" i="83"/>
  <c r="U47" i="83"/>
  <c r="U46" i="83"/>
  <c r="S47" i="83"/>
  <c r="W47" i="83"/>
  <c r="H12" i="82"/>
  <c r="W23" i="83" l="1"/>
  <c r="S23" i="83"/>
  <c r="S25" i="83"/>
  <c r="U23" i="83"/>
  <c r="AB23" i="83"/>
  <c r="AA42" i="83"/>
  <c r="S42" i="83"/>
  <c r="AB42" i="83"/>
  <c r="U42" i="83"/>
  <c r="A3" i="3" l="1"/>
  <c r="C17" i="74" l="1"/>
  <c r="B17" i="74"/>
  <c r="C16" i="74"/>
  <c r="B16" i="74"/>
  <c r="B28" i="31" l="1"/>
  <c r="B27" i="31"/>
  <c r="B26" i="31"/>
  <c r="B25" i="31"/>
  <c r="B24" i="31"/>
  <c r="A126" i="80"/>
  <c r="A122" i="80"/>
  <c r="A120" i="80"/>
  <c r="E111" i="80"/>
  <c r="H112" i="80" s="1"/>
  <c r="E109" i="80"/>
  <c r="A124" i="80" s="1"/>
  <c r="E107" i="80"/>
  <c r="H106" i="80"/>
  <c r="H105" i="80"/>
  <c r="H104" i="80"/>
  <c r="D101" i="80"/>
  <c r="C101" i="80"/>
  <c r="C91" i="80"/>
  <c r="E90" i="80"/>
  <c r="D89" i="80"/>
  <c r="C89" i="80"/>
  <c r="C87" i="80" s="1"/>
  <c r="H77" i="80"/>
  <c r="D77" i="80"/>
  <c r="C76" i="80"/>
  <c r="F59" i="80"/>
  <c r="E59" i="80"/>
  <c r="D59" i="80"/>
  <c r="F56" i="80"/>
  <c r="O55" i="80"/>
  <c r="N55" i="80"/>
  <c r="M55" i="80"/>
  <c r="K55" i="80"/>
  <c r="J55" i="80"/>
  <c r="I55" i="80"/>
  <c r="F55" i="80"/>
  <c r="O53" i="80" s="1"/>
  <c r="O54" i="80"/>
  <c r="N54" i="80"/>
  <c r="N53" i="80"/>
  <c r="K49" i="80"/>
  <c r="F48" i="80"/>
  <c r="O52" i="80" s="1"/>
  <c r="E48" i="80"/>
  <c r="N52" i="80" s="1"/>
  <c r="D48" i="80"/>
  <c r="M52" i="80" s="1"/>
  <c r="F33" i="80"/>
  <c r="D27" i="80"/>
  <c r="C25" i="80"/>
  <c r="C24" i="80"/>
  <c r="D17" i="80"/>
  <c r="C17" i="80"/>
  <c r="C18" i="80" s="1"/>
  <c r="D18" i="80" s="1"/>
  <c r="L4" i="80"/>
  <c r="K4" i="80"/>
  <c r="H1" i="80"/>
  <c r="D34" i="80"/>
  <c r="D35" i="80"/>
  <c r="H103" i="80" l="1"/>
  <c r="D120" i="80" s="1"/>
  <c r="H111" i="80"/>
  <c r="D126" i="80" s="1"/>
  <c r="D127" i="80" s="1"/>
  <c r="C92" i="80"/>
  <c r="C94" i="80"/>
  <c r="K120" i="80"/>
  <c r="D121" i="80"/>
  <c r="H109" i="80"/>
  <c r="D124" i="80" l="1"/>
  <c r="D125" i="80" s="1"/>
  <c r="H110" i="80"/>
  <c r="M49" i="80"/>
  <c r="L66" i="80" l="1"/>
  <c r="M66" i="80" s="1"/>
  <c r="L65" i="80"/>
  <c r="M65" i="80" s="1"/>
  <c r="L64" i="80"/>
  <c r="M64" i="80" s="1"/>
  <c r="L68" i="80"/>
  <c r="M68" i="80" s="1"/>
  <c r="L67" i="80"/>
  <c r="M67" i="80" s="1"/>
  <c r="L63" i="80"/>
  <c r="M63" i="80" s="1"/>
  <c r="M69" i="80" s="1"/>
  <c r="N69" i="80" s="1"/>
  <c r="I5" i="34"/>
  <c r="G5" i="34"/>
  <c r="E5" i="34"/>
  <c r="B15" i="74"/>
  <c r="Q72" i="77"/>
  <c r="C62" i="77"/>
  <c r="C61" i="77"/>
  <c r="C60" i="77"/>
  <c r="Q59" i="77"/>
  <c r="K59" i="77"/>
  <c r="P74" i="77" s="1"/>
  <c r="Q58" i="77"/>
  <c r="Q51" i="77"/>
  <c r="J50" i="77"/>
  <c r="M47" i="77"/>
  <c r="D46" i="77"/>
  <c r="C34" i="77"/>
  <c r="F33" i="77"/>
  <c r="F61" i="77" s="1"/>
  <c r="C33" i="77"/>
  <c r="C32" i="77"/>
  <c r="F23" i="77"/>
  <c r="D24" i="77" s="1"/>
  <c r="F21" i="77"/>
  <c r="F20" i="77"/>
  <c r="M19" i="77"/>
  <c r="F18" i="77"/>
  <c r="F17" i="77"/>
  <c r="F15" i="77"/>
  <c r="C41" i="21"/>
  <c r="I5" i="21"/>
  <c r="G5" i="21"/>
  <c r="E5" i="21"/>
  <c r="N22" i="1"/>
  <c r="N24" i="1" s="1"/>
  <c r="N25" i="1" s="1"/>
  <c r="N6" i="1" s="1"/>
  <c r="Y6" i="1" l="1"/>
  <c r="N7" i="1"/>
  <c r="D22" i="77"/>
  <c r="D23" i="77"/>
  <c r="P61" i="77"/>
  <c r="C37" i="85" l="1"/>
  <c r="C37" i="21"/>
  <c r="C37" i="34"/>
  <c r="Y7" i="1"/>
  <c r="C37" i="83"/>
  <c r="I54" i="77"/>
  <c r="AH5" i="71"/>
  <c r="AG5" i="71"/>
  <c r="AE5" i="71"/>
  <c r="AF5" i="71" s="1"/>
  <c r="AD5" i="71"/>
  <c r="Q5" i="71"/>
  <c r="P5" i="71"/>
  <c r="O5" i="71"/>
  <c r="N5" i="71"/>
  <c r="G37" i="21" l="1"/>
  <c r="I37" i="21"/>
  <c r="E37" i="21"/>
  <c r="I37" i="83"/>
  <c r="J37" i="83" s="1"/>
  <c r="E37" i="83"/>
  <c r="F37" i="83" s="1"/>
  <c r="G37" i="83"/>
  <c r="H37" i="83" s="1"/>
  <c r="G37" i="34"/>
  <c r="I37" i="34"/>
  <c r="E37" i="34"/>
  <c r="I37" i="85"/>
  <c r="J37" i="85" s="1"/>
  <c r="E37" i="85"/>
  <c r="F37" i="85" s="1"/>
  <c r="G37" i="85"/>
  <c r="H37" i="85" s="1"/>
  <c r="F24" i="12"/>
  <c r="AB37" i="85" l="1"/>
  <c r="U37" i="85"/>
  <c r="W37" i="85"/>
  <c r="AC37" i="85"/>
  <c r="U37" i="83"/>
  <c r="AB37" i="83"/>
  <c r="AC37" i="83"/>
  <c r="W37" i="83"/>
  <c r="AA37" i="85"/>
  <c r="S37" i="85"/>
  <c r="AA37" i="83"/>
  <c r="S37" i="83"/>
  <c r="F7" i="69"/>
  <c r="F7" i="68"/>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O8" i="71"/>
  <c r="O9" i="71"/>
  <c r="N8" i="71"/>
  <c r="N9" i="71"/>
  <c r="N10" i="71"/>
  <c r="AH9" i="71"/>
  <c r="AG9" i="71"/>
  <c r="AE9" i="71"/>
  <c r="AF9" i="71" s="1"/>
  <c r="AD9" i="71"/>
  <c r="Q10" i="71"/>
  <c r="P10" i="71"/>
  <c r="O10" i="71"/>
  <c r="D12" i="71"/>
  <c r="AH10" i="71"/>
  <c r="AG10" i="71"/>
  <c r="AE10" i="71"/>
  <c r="AF10" i="71" s="1"/>
  <c r="AD10" i="71"/>
  <c r="AD11" i="71"/>
  <c r="AG11" i="71"/>
  <c r="AH11" i="71"/>
  <c r="AE11" i="71"/>
  <c r="AF11" i="71" s="1"/>
  <c r="N11" i="71"/>
  <c r="B11" i="71" s="1"/>
  <c r="B10" i="71" s="1"/>
  <c r="B9" i="71" s="1"/>
  <c r="B8" i="71" s="1"/>
  <c r="B7" i="71" s="1"/>
  <c r="Q11" i="71"/>
  <c r="P11" i="71"/>
  <c r="O11" i="71"/>
  <c r="C11" i="71"/>
  <c r="C10" i="71" s="1"/>
  <c r="Q12" i="71"/>
  <c r="F11" i="71"/>
  <c r="F10" i="71" s="1"/>
  <c r="F9" i="71" s="1"/>
  <c r="P12" i="71"/>
  <c r="E11" i="71"/>
  <c r="E10" i="71" s="1"/>
  <c r="E9" i="71" s="1"/>
  <c r="O12" i="71"/>
  <c r="N12" i="71"/>
  <c r="V11" i="71"/>
  <c r="A2" i="53"/>
  <c r="K59" i="67"/>
  <c r="K59" i="15"/>
  <c r="P74" i="15" s="1"/>
  <c r="D116" i="39"/>
  <c r="E116" i="39"/>
  <c r="F116" i="39"/>
  <c r="G116" i="39"/>
  <c r="H116" i="39"/>
  <c r="I116" i="39"/>
  <c r="J116" i="39"/>
  <c r="K116" i="39"/>
  <c r="L116" i="39"/>
  <c r="M116" i="39"/>
  <c r="C116" i="39"/>
  <c r="A21" i="62"/>
  <c r="A20" i="62"/>
  <c r="B66" i="72" s="1"/>
  <c r="A22" i="51"/>
  <c r="A21" i="51"/>
  <c r="B16" i="72" s="1"/>
  <c r="A20" i="51"/>
  <c r="A15" i="62"/>
  <c r="A14" i="62"/>
  <c r="A13" i="62"/>
  <c r="B59" i="72" s="1"/>
  <c r="A19" i="62"/>
  <c r="A12" i="62"/>
  <c r="B58" i="72" s="1"/>
  <c r="A120" i="9"/>
  <c r="H2" i="52"/>
  <c r="A1" i="52"/>
  <c r="A3" i="53"/>
  <c r="Q13" i="71"/>
  <c r="P13" i="71"/>
  <c r="AA11" i="71" s="1"/>
  <c r="O13" i="71"/>
  <c r="N13" i="71"/>
  <c r="A15" i="51"/>
  <c r="B12" i="72" s="1"/>
  <c r="C76" i="9"/>
  <c r="I107" i="40"/>
  <c r="K6" i="4"/>
  <c r="K56" i="9" s="1"/>
  <c r="B22" i="31"/>
  <c r="N56" i="9"/>
  <c r="E18" i="74"/>
  <c r="F18" i="74"/>
  <c r="E19" i="74"/>
  <c r="F19" i="74"/>
  <c r="E20" i="74"/>
  <c r="F20" i="74"/>
  <c r="E21" i="74"/>
  <c r="F21" i="74"/>
  <c r="E22" i="74"/>
  <c r="F22" i="74"/>
  <c r="E23" i="74"/>
  <c r="F23" i="74"/>
  <c r="B3" i="74"/>
  <c r="C91" i="9"/>
  <c r="B8" i="72"/>
  <c r="O14" i="71"/>
  <c r="Y11" i="71" s="1"/>
  <c r="Z11" i="71" s="1"/>
  <c r="P14" i="71"/>
  <c r="Q14" i="71"/>
  <c r="N14"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65" i="72"/>
  <c r="B60" i="72"/>
  <c r="B67" i="72"/>
  <c r="B10" i="72"/>
  <c r="C53" i="10"/>
  <c r="B51" i="10"/>
  <c r="B19" i="72"/>
  <c r="A18" i="51"/>
  <c r="B13" i="72" s="1"/>
  <c r="C8" i="68"/>
  <c r="B49" i="48"/>
  <c r="B5" i="72" s="1"/>
  <c r="I19" i="43"/>
  <c r="D76" i="71"/>
  <c r="F75" i="71"/>
  <c r="F74" i="71" s="1"/>
  <c r="E75" i="71"/>
  <c r="E74" i="71"/>
  <c r="E73" i="71" s="1"/>
  <c r="C75" i="71"/>
  <c r="D75" i="71" s="1"/>
  <c r="B75" i="71"/>
  <c r="B74" i="71" s="1"/>
  <c r="F73" i="71"/>
  <c r="B73" i="71"/>
  <c r="D72" i="71"/>
  <c r="F71" i="71"/>
  <c r="F70" i="71" s="1"/>
  <c r="E71" i="71"/>
  <c r="E70" i="71"/>
  <c r="E69" i="71" s="1"/>
  <c r="C71" i="71"/>
  <c r="D71" i="71" s="1"/>
  <c r="B71" i="71"/>
  <c r="B70" i="71" s="1"/>
  <c r="F69" i="71"/>
  <c r="B69" i="7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F55" i="71"/>
  <c r="V55" i="71"/>
  <c r="E55" i="71"/>
  <c r="P55" i="71"/>
  <c r="C55" i="71"/>
  <c r="B55" i="71"/>
  <c r="F54" i="71"/>
  <c r="F53" i="71" s="1"/>
  <c r="Q53" i="71" s="1"/>
  <c r="D52" i="71"/>
  <c r="Q51" i="71"/>
  <c r="P51" i="71"/>
  <c r="O51" i="71"/>
  <c r="N51" i="71"/>
  <c r="Q50" i="71"/>
  <c r="P50" i="71"/>
  <c r="O50" i="71"/>
  <c r="N50" i="71"/>
  <c r="Q49" i="71"/>
  <c r="P49" i="71"/>
  <c r="O49" i="71"/>
  <c r="N49" i="71"/>
  <c r="Q48" i="71"/>
  <c r="F49" i="71"/>
  <c r="F50" i="71" s="1"/>
  <c r="F51" i="71" s="1"/>
  <c r="V51" i="71" s="1"/>
  <c r="P48" i="71"/>
  <c r="E49" i="71" s="1"/>
  <c r="E50" i="71" s="1"/>
  <c r="E51" i="71" s="1"/>
  <c r="U51" i="71" s="1"/>
  <c r="O48" i="71"/>
  <c r="C49" i="71" s="1"/>
  <c r="N48" i="71"/>
  <c r="B49" i="71" s="1"/>
  <c r="B50" i="71" s="1"/>
  <c r="B51" i="71" s="1"/>
  <c r="S51" i="71" s="1"/>
  <c r="D48" i="71"/>
  <c r="Q47" i="71"/>
  <c r="P47" i="71"/>
  <c r="O47" i="71"/>
  <c r="N47" i="71"/>
  <c r="Q46" i="71"/>
  <c r="P46" i="71"/>
  <c r="O46" i="71"/>
  <c r="N46" i="71"/>
  <c r="Q45" i="71"/>
  <c r="P45" i="71"/>
  <c r="O45" i="71"/>
  <c r="N45" i="71"/>
  <c r="Q44" i="71"/>
  <c r="F45" i="71" s="1"/>
  <c r="F46" i="71" s="1"/>
  <c r="F47" i="71" s="1"/>
  <c r="V47" i="71" s="1"/>
  <c r="P44" i="71"/>
  <c r="E45" i="71"/>
  <c r="O44" i="71"/>
  <c r="C45" i="71"/>
  <c r="D45" i="71" s="1"/>
  <c r="N44" i="71"/>
  <c r="B45" i="71"/>
  <c r="B46" i="71" s="1"/>
  <c r="B47" i="71" s="1"/>
  <c r="S47" i="71" s="1"/>
  <c r="D44" i="71"/>
  <c r="Q43" i="71"/>
  <c r="P43" i="71"/>
  <c r="O43" i="71"/>
  <c r="N43" i="71"/>
  <c r="Q42" i="71"/>
  <c r="P42" i="71"/>
  <c r="O42" i="71"/>
  <c r="N42" i="71"/>
  <c r="Q41" i="71"/>
  <c r="P41" i="71"/>
  <c r="E42" i="71" s="1"/>
  <c r="E43" i="71" s="1"/>
  <c r="U43" i="71" s="1"/>
  <c r="O41" i="71"/>
  <c r="N41" i="71"/>
  <c r="Q40" i="71"/>
  <c r="F41" i="71" s="1"/>
  <c r="F42" i="71"/>
  <c r="F43" i="71" s="1"/>
  <c r="V43" i="71" s="1"/>
  <c r="P40" i="71"/>
  <c r="E41" i="71"/>
  <c r="O40" i="71"/>
  <c r="C41" i="71" s="1"/>
  <c r="D41" i="71" s="1"/>
  <c r="N40" i="71"/>
  <c r="B41" i="71" s="1"/>
  <c r="B42" i="71"/>
  <c r="B43" i="71" s="1"/>
  <c r="S43" i="71" s="1"/>
  <c r="D40" i="71"/>
  <c r="Q39" i="71"/>
  <c r="P39" i="71"/>
  <c r="O39" i="71"/>
  <c r="N39" i="71"/>
  <c r="Q38" i="71"/>
  <c r="P38" i="71"/>
  <c r="O38" i="71"/>
  <c r="N38" i="71"/>
  <c r="Q37" i="71"/>
  <c r="P37" i="71"/>
  <c r="O37" i="71"/>
  <c r="N37" i="71"/>
  <c r="Q36" i="71"/>
  <c r="F37" i="71" s="1"/>
  <c r="P36" i="71"/>
  <c r="E37" i="71" s="1"/>
  <c r="E38" i="71" s="1"/>
  <c r="E39" i="71" s="1"/>
  <c r="U39" i="71" s="1"/>
  <c r="O36" i="71"/>
  <c r="C37" i="71"/>
  <c r="D37" i="71" s="1"/>
  <c r="N36" i="71"/>
  <c r="B37" i="7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c r="C34" i="71" s="1"/>
  <c r="D34" i="71" s="1"/>
  <c r="N32" i="71"/>
  <c r="B33" i="7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C30" i="71" s="1"/>
  <c r="N28" i="71"/>
  <c r="B29" i="71"/>
  <c r="B30" i="71" s="1"/>
  <c r="B31" i="71" s="1"/>
  <c r="S31" i="71" s="1"/>
  <c r="D28" i="71"/>
  <c r="Q27" i="71"/>
  <c r="P27" i="71"/>
  <c r="O27" i="71"/>
  <c r="N27" i="71"/>
  <c r="Q26" i="71"/>
  <c r="AB26" i="71" s="1"/>
  <c r="P26" i="71"/>
  <c r="AA26" i="71"/>
  <c r="O26" i="71"/>
  <c r="Y26" i="71"/>
  <c r="Z26" i="71" s="1"/>
  <c r="N26" i="71"/>
  <c r="Q25" i="71"/>
  <c r="AB25" i="71" s="1"/>
  <c r="P25" i="71"/>
  <c r="AA25" i="71" s="1"/>
  <c r="O25" i="71"/>
  <c r="Y25" i="71"/>
  <c r="Z25" i="71" s="1"/>
  <c r="N25" i="71"/>
  <c r="Q24" i="71"/>
  <c r="F25" i="71" s="1"/>
  <c r="F26" i="71" s="1"/>
  <c r="F27" i="71" s="1"/>
  <c r="V27" i="71" s="1"/>
  <c r="P24" i="71"/>
  <c r="O24" i="71"/>
  <c r="N24" i="71"/>
  <c r="B25" i="71" s="1"/>
  <c r="B26" i="71" s="1"/>
  <c r="B27" i="71" s="1"/>
  <c r="S27" i="71" s="1"/>
  <c r="D24" i="71"/>
  <c r="Q23" i="71"/>
  <c r="AB23" i="71" s="1"/>
  <c r="P23" i="71"/>
  <c r="AA22" i="71" s="1"/>
  <c r="O23" i="71"/>
  <c r="Y23" i="71"/>
  <c r="Z23" i="71" s="1"/>
  <c r="N23" i="71"/>
  <c r="Q22" i="71"/>
  <c r="AB22" i="71"/>
  <c r="P22" i="71"/>
  <c r="O22" i="71"/>
  <c r="Y22" i="71" s="1"/>
  <c r="Z22" i="71" s="1"/>
  <c r="N22" i="71"/>
  <c r="Q21" i="71"/>
  <c r="AB21" i="71" s="1"/>
  <c r="P21" i="71"/>
  <c r="AA21" i="71" s="1"/>
  <c r="O21" i="71"/>
  <c r="Y21" i="71"/>
  <c r="Z21" i="71" s="1"/>
  <c r="N21" i="71"/>
  <c r="Q20" i="71"/>
  <c r="F21" i="71" s="1"/>
  <c r="F22" i="71" s="1"/>
  <c r="F23" i="71" s="1"/>
  <c r="V23" i="71" s="1"/>
  <c r="P20" i="71"/>
  <c r="O20" i="71"/>
  <c r="N20" i="71"/>
  <c r="D20" i="71"/>
  <c r="Q19" i="71"/>
  <c r="AB19" i="71" s="1"/>
  <c r="P19" i="71"/>
  <c r="O19" i="71"/>
  <c r="Y19" i="71"/>
  <c r="Z19" i="71" s="1"/>
  <c r="N19" i="71"/>
  <c r="X18" i="71" s="1"/>
  <c r="Q18" i="71"/>
  <c r="AB18" i="71"/>
  <c r="P18" i="71"/>
  <c r="O18" i="71"/>
  <c r="Y18" i="71" s="1"/>
  <c r="Z18" i="71" s="1"/>
  <c r="N18" i="71"/>
  <c r="Q17" i="71"/>
  <c r="AB17" i="71" s="1"/>
  <c r="P17" i="71"/>
  <c r="O17" i="71"/>
  <c r="Y17" i="71"/>
  <c r="Z17" i="71" s="1"/>
  <c r="N17" i="71"/>
  <c r="X17" i="71" s="1"/>
  <c r="Q16" i="71"/>
  <c r="F17" i="71" s="1"/>
  <c r="F18" i="71" s="1"/>
  <c r="F19" i="71" s="1"/>
  <c r="V19" i="71" s="1"/>
  <c r="P16" i="71"/>
  <c r="E17" i="71" s="1"/>
  <c r="E18" i="71" s="1"/>
  <c r="E19" i="71" s="1"/>
  <c r="U19" i="71" s="1"/>
  <c r="O16" i="71"/>
  <c r="N16" i="71"/>
  <c r="X13" i="71" s="1"/>
  <c r="D16" i="71"/>
  <c r="O15" i="71"/>
  <c r="C15" i="71" s="1"/>
  <c r="N15" i="71"/>
  <c r="B17" i="71"/>
  <c r="B18" i="71" s="1"/>
  <c r="B19" i="71" s="1"/>
  <c r="S19" i="71" s="1"/>
  <c r="X16" i="71"/>
  <c r="B21" i="71"/>
  <c r="B22" i="71" s="1"/>
  <c r="B23" i="71" s="1"/>
  <c r="S23" i="71" s="1"/>
  <c r="X20" i="71"/>
  <c r="E25" i="71"/>
  <c r="E26" i="71" s="1"/>
  <c r="E27" i="71" s="1"/>
  <c r="AA24" i="71"/>
  <c r="N55" i="71"/>
  <c r="E21" i="71"/>
  <c r="E22" i="71" s="1"/>
  <c r="E23" i="71" s="1"/>
  <c r="U23" i="71" s="1"/>
  <c r="AA20" i="71"/>
  <c r="C17" i="71"/>
  <c r="Y16" i="71"/>
  <c r="Z16" i="71" s="1"/>
  <c r="AB16" i="71"/>
  <c r="AA17" i="71"/>
  <c r="AA18" i="71"/>
  <c r="AA19" i="71"/>
  <c r="C21" i="71"/>
  <c r="C22" i="71"/>
  <c r="D22" i="71" s="1"/>
  <c r="X21" i="71"/>
  <c r="X22" i="71"/>
  <c r="X23" i="71"/>
  <c r="C25" i="71"/>
  <c r="C26" i="71" s="1"/>
  <c r="Y24" i="71"/>
  <c r="Z24" i="71"/>
  <c r="AB24" i="71"/>
  <c r="X25" i="71"/>
  <c r="F38" i="71"/>
  <c r="F39" i="71" s="1"/>
  <c r="V39" i="71" s="1"/>
  <c r="Y3" i="71"/>
  <c r="Z3" i="71" s="1"/>
  <c r="B15" i="71"/>
  <c r="B14" i="71"/>
  <c r="B13" i="71" s="1"/>
  <c r="X12" i="71"/>
  <c r="X14" i="71"/>
  <c r="C18" i="71"/>
  <c r="D18" i="71" s="1"/>
  <c r="D17" i="71"/>
  <c r="D21" i="71"/>
  <c r="D25" i="71"/>
  <c r="D29" i="71"/>
  <c r="C38" i="71"/>
  <c r="D38" i="71" s="1"/>
  <c r="P15" i="71"/>
  <c r="AA3" i="71" s="1"/>
  <c r="E46" i="71"/>
  <c r="E47" i="71" s="1"/>
  <c r="U47" i="71" s="1"/>
  <c r="Q52" i="71"/>
  <c r="U55" i="71"/>
  <c r="E54" i="71"/>
  <c r="E53" i="71" s="1"/>
  <c r="Q15" i="71"/>
  <c r="C42" i="71"/>
  <c r="D42" i="71" s="1"/>
  <c r="C46" i="71"/>
  <c r="D46" i="71" s="1"/>
  <c r="C50" i="71"/>
  <c r="C51" i="71" s="1"/>
  <c r="D49" i="71"/>
  <c r="Q54" i="71"/>
  <c r="T55" i="71"/>
  <c r="O55" i="71"/>
  <c r="D55" i="71"/>
  <c r="C54" i="71"/>
  <c r="O54" i="71" s="1"/>
  <c r="Q55" i="71"/>
  <c r="C58" i="71"/>
  <c r="D58" i="71" s="1"/>
  <c r="D59" i="71"/>
  <c r="C62" i="71"/>
  <c r="C61" i="71" s="1"/>
  <c r="D61" i="71" s="1"/>
  <c r="E62" i="71"/>
  <c r="E61" i="71"/>
  <c r="D63" i="71"/>
  <c r="C66" i="71"/>
  <c r="C65" i="71" s="1"/>
  <c r="D65" i="71" s="1"/>
  <c r="D67" i="71"/>
  <c r="C70" i="71"/>
  <c r="D70" i="71" s="1"/>
  <c r="S15" i="71"/>
  <c r="F15" i="71"/>
  <c r="F14" i="71"/>
  <c r="F13" i="71" s="1"/>
  <c r="AB12" i="71"/>
  <c r="AB14" i="71"/>
  <c r="E15" i="71"/>
  <c r="E14" i="71" s="1"/>
  <c r="E13" i="71" s="1"/>
  <c r="AA12" i="71"/>
  <c r="AA14" i="71"/>
  <c r="C53" i="71"/>
  <c r="D53" i="71" s="1"/>
  <c r="D54" i="71"/>
  <c r="D50" i="71"/>
  <c r="C69" i="71"/>
  <c r="D69" i="71" s="1"/>
  <c r="D62" i="71"/>
  <c r="D66" i="71"/>
  <c r="C57" i="71"/>
  <c r="D57" i="71" s="1"/>
  <c r="C47" i="71"/>
  <c r="T47" i="71" s="1"/>
  <c r="C43" i="71"/>
  <c r="T43" i="71" s="1"/>
  <c r="P54" i="71"/>
  <c r="C39" i="71"/>
  <c r="T39" i="71" s="1"/>
  <c r="C23" i="71"/>
  <c r="T23" i="71" s="1"/>
  <c r="C19" i="71"/>
  <c r="T19" i="71" s="1"/>
  <c r="O53" i="71"/>
  <c r="O52" i="71"/>
  <c r="D19" i="71"/>
  <c r="D23" i="71"/>
  <c r="D39" i="71"/>
  <c r="D43" i="71"/>
  <c r="D4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E21" i="34" s="1"/>
  <c r="G21" i="34" s="1"/>
  <c r="I21" i="34" s="1"/>
  <c r="Q21" i="33"/>
  <c r="Z21" i="33" s="1"/>
  <c r="D83" i="33"/>
  <c r="E83" i="33"/>
  <c r="C21" i="33"/>
  <c r="C21" i="21"/>
  <c r="Q21" i="21"/>
  <c r="Z21" i="21"/>
  <c r="D83" i="21"/>
  <c r="F21" i="21"/>
  <c r="AA21" i="21" s="1"/>
  <c r="D81" i="21"/>
  <c r="H19" i="21" s="1"/>
  <c r="G20" i="20"/>
  <c r="B86" i="43"/>
  <c r="C22" i="20"/>
  <c r="B75" i="43" s="1"/>
  <c r="C25" i="40"/>
  <c r="S29" i="39"/>
  <c r="S18" i="36"/>
  <c r="U18" i="36"/>
  <c r="H25" i="40"/>
  <c r="J25" i="40"/>
  <c r="AC25" i="40" s="1"/>
  <c r="H29" i="39"/>
  <c r="AB29" i="39" s="1"/>
  <c r="J29" i="39"/>
  <c r="AC29" i="39" s="1"/>
  <c r="J18" i="36"/>
  <c r="AC18" i="36" s="1"/>
  <c r="H18" i="35"/>
  <c r="U18" i="35" s="1"/>
  <c r="G68" i="35"/>
  <c r="J18" i="35"/>
  <c r="F77" i="37"/>
  <c r="G77" i="37" s="1"/>
  <c r="H21" i="37"/>
  <c r="F21" i="37"/>
  <c r="AA21" i="37" s="1"/>
  <c r="H21" i="34"/>
  <c r="U21" i="34" s="1"/>
  <c r="F83" i="33"/>
  <c r="G83" i="33" s="1"/>
  <c r="H21" i="33"/>
  <c r="F21" i="33"/>
  <c r="S21" i="33" s="1"/>
  <c r="E83" i="21"/>
  <c r="H1" i="69"/>
  <c r="W25" i="40"/>
  <c r="AB25" i="40"/>
  <c r="U25" i="40"/>
  <c r="U29" i="39"/>
  <c r="W29" i="39"/>
  <c r="W18" i="36"/>
  <c r="AB21" i="37"/>
  <c r="U21" i="37"/>
  <c r="AB21" i="34"/>
  <c r="U21" i="33"/>
  <c r="AB21" i="33"/>
  <c r="AB18" i="35"/>
  <c r="AC18" i="35"/>
  <c r="W18" i="35"/>
  <c r="J21" i="37"/>
  <c r="J21" i="34"/>
  <c r="W21" i="34" s="1"/>
  <c r="J21" i="33"/>
  <c r="AC21" i="33" s="1"/>
  <c r="F83" i="21"/>
  <c r="G83" i="21" s="1"/>
  <c r="H21" i="21"/>
  <c r="F38" i="69"/>
  <c r="E37" i="69"/>
  <c r="F36" i="69"/>
  <c r="F35" i="69"/>
  <c r="F21" i="69"/>
  <c r="C21" i="69"/>
  <c r="F20" i="69"/>
  <c r="E10" i="69"/>
  <c r="E9" i="69"/>
  <c r="AC21" i="37"/>
  <c r="W21" i="37"/>
  <c r="AC21" i="34"/>
  <c r="J21" i="21"/>
  <c r="AC21" i="21" s="1"/>
  <c r="C40" i="69"/>
  <c r="F38" i="68"/>
  <c r="E37" i="68"/>
  <c r="F36" i="68"/>
  <c r="F35" i="68"/>
  <c r="F21" i="68"/>
  <c r="C21" i="68" s="1"/>
  <c r="F20" i="68"/>
  <c r="E10" i="68"/>
  <c r="E9" i="68"/>
  <c r="W21" i="21"/>
  <c r="Q72" i="67"/>
  <c r="Q59" i="67"/>
  <c r="Q58" i="67"/>
  <c r="Q51" i="67"/>
  <c r="J50" i="67"/>
  <c r="M47" i="67"/>
  <c r="D46" i="67"/>
  <c r="F33" i="67"/>
  <c r="F61" i="67" s="1"/>
  <c r="F23" i="67"/>
  <c r="D24" i="67" s="1"/>
  <c r="F21" i="67"/>
  <c r="F20" i="67"/>
  <c r="M19" i="67"/>
  <c r="F18" i="67"/>
  <c r="F17" i="67"/>
  <c r="F15" i="67"/>
  <c r="D22" i="67"/>
  <c r="S2" i="4"/>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F15" i="4"/>
  <c r="G41" i="43" s="1"/>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F5" i="3" s="1"/>
  <c r="BG526" i="3"/>
  <c r="BH526" i="3"/>
  <c r="BI526" i="3"/>
  <c r="BJ526" i="3"/>
  <c r="BJ5" i="3" s="1"/>
  <c r="BK526" i="3"/>
  <c r="BM526" i="3"/>
  <c r="BL526" i="3" s="1"/>
  <c r="BN526" i="3"/>
  <c r="BO526" i="3"/>
  <c r="BO5" i="3" s="1"/>
  <c r="BP526" i="3"/>
  <c r="BQ526" i="3"/>
  <c r="BR526" i="3"/>
  <c r="BS526" i="3"/>
  <c r="BS5" i="3" s="1"/>
  <c r="BT526" i="3"/>
  <c r="H527" i="3"/>
  <c r="H5" i="3" s="1"/>
  <c r="AC527" i="3"/>
  <c r="BB527" i="3"/>
  <c r="BC527" i="3"/>
  <c r="BD527" i="3"/>
  <c r="BE527" i="3"/>
  <c r="BF527" i="3"/>
  <c r="BG527" i="3"/>
  <c r="BH527" i="3"/>
  <c r="BI527" i="3"/>
  <c r="BJ527" i="3"/>
  <c r="BK527" i="3"/>
  <c r="BM527" i="3"/>
  <c r="BN527" i="3"/>
  <c r="BO527" i="3"/>
  <c r="BP527" i="3"/>
  <c r="BR527" i="3"/>
  <c r="BR5" i="3" s="1"/>
  <c r="BS527" i="3"/>
  <c r="BT527" i="3"/>
  <c r="H528" i="3"/>
  <c r="AC528" i="3"/>
  <c r="G528" i="3" s="1"/>
  <c r="BB528" i="3"/>
  <c r="BC528" i="3"/>
  <c r="BC5" i="3" s="1"/>
  <c r="E5" i="6" s="1"/>
  <c r="D9" i="11" s="1"/>
  <c r="C9" i="11" s="1"/>
  <c r="BD528" i="3"/>
  <c r="BE528" i="3"/>
  <c r="BF528" i="3"/>
  <c r="BG528" i="3"/>
  <c r="BG5" i="3" s="1"/>
  <c r="BH528" i="3"/>
  <c r="BI528" i="3"/>
  <c r="BJ528" i="3"/>
  <c r="BK528" i="3"/>
  <c r="BK5" i="3" s="1"/>
  <c r="BM528" i="3"/>
  <c r="BN528" i="3"/>
  <c r="BL528" i="3" s="1"/>
  <c r="BO528" i="3"/>
  <c r="BP528" i="3"/>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G530" i="3" s="1"/>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L532" i="3" s="1"/>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A536" i="3" s="1"/>
  <c r="BD536" i="3"/>
  <c r="BE536" i="3"/>
  <c r="BF536" i="3"/>
  <c r="BG536" i="3"/>
  <c r="BH536" i="3"/>
  <c r="BI536" i="3"/>
  <c r="BJ536" i="3"/>
  <c r="BK536" i="3"/>
  <c r="BM536" i="3"/>
  <c r="BN536" i="3"/>
  <c r="BL536" i="3" s="1"/>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G542" i="3"/>
  <c r="BB542" i="3"/>
  <c r="BC542" i="3"/>
  <c r="BA542" i="3" s="1"/>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A544" i="3" s="1"/>
  <c r="BC544" i="3"/>
  <c r="BD544" i="3"/>
  <c r="BE544" i="3"/>
  <c r="BF544" i="3"/>
  <c r="BG544" i="3"/>
  <c r="BH544" i="3"/>
  <c r="BI544" i="3"/>
  <c r="BJ544" i="3"/>
  <c r="BK544" i="3"/>
  <c r="BM544" i="3"/>
  <c r="BL544" i="3" s="1"/>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A548" i="3" s="1"/>
  <c r="AZ548" i="3" s="1"/>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s="1"/>
  <c r="F42" i="34"/>
  <c r="J38" i="34"/>
  <c r="W38" i="34" s="1"/>
  <c r="D114" i="34"/>
  <c r="F38" i="34"/>
  <c r="S38" i="34" s="1"/>
  <c r="D112" i="34"/>
  <c r="E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1" i="39"/>
  <c r="E81" i="39"/>
  <c r="F81" i="39" s="1"/>
  <c r="G81" i="39"/>
  <c r="H81" i="39" s="1"/>
  <c r="I81" i="39" s="1"/>
  <c r="J81" i="39" s="1"/>
  <c r="K81" i="39"/>
  <c r="L81" i="39" s="1"/>
  <c r="M81" i="39" s="1"/>
  <c r="D76" i="40"/>
  <c r="E76" i="40"/>
  <c r="F76" i="40" s="1"/>
  <c r="G76" i="40"/>
  <c r="H76" i="40" s="1"/>
  <c r="I76" i="40" s="1"/>
  <c r="J76" i="40" s="1"/>
  <c r="K76" i="40"/>
  <c r="L76" i="40" s="1"/>
  <c r="M76" i="40" s="1"/>
  <c r="B120" i="40"/>
  <c r="B118" i="40"/>
  <c r="J39" i="40" s="1"/>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c r="I100" i="40" s="1"/>
  <c r="J100" i="40" s="1"/>
  <c r="K100" i="40" s="1"/>
  <c r="L100" i="40" s="1"/>
  <c r="M100" i="40" s="1"/>
  <c r="D98" i="40"/>
  <c r="J28" i="40"/>
  <c r="AC28" i="40"/>
  <c r="D96" i="40"/>
  <c r="E96" i="40"/>
  <c r="F96" i="40" s="1"/>
  <c r="G96" i="40"/>
  <c r="H96" i="40" s="1"/>
  <c r="I96" i="40" s="1"/>
  <c r="J96" i="40" s="1"/>
  <c r="K96" i="40"/>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D107" i="39"/>
  <c r="E107" i="39" s="1"/>
  <c r="F107" i="39" s="1"/>
  <c r="D105" i="39"/>
  <c r="E105" i="39" s="1"/>
  <c r="F105" i="39"/>
  <c r="G105" i="39" s="1"/>
  <c r="H105" i="39" s="1"/>
  <c r="I105" i="39" s="1"/>
  <c r="J105" i="39" s="1"/>
  <c r="K105" i="39" s="1"/>
  <c r="L105" i="39" s="1"/>
  <c r="M105" i="39" s="1"/>
  <c r="D101" i="39"/>
  <c r="E101" i="39" s="1"/>
  <c r="F101" i="39" s="1"/>
  <c r="G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U14" i="39" s="1"/>
  <c r="B84" i="39"/>
  <c r="B82" i="39"/>
  <c r="J12" i="39" s="1"/>
  <c r="AC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H39" i="37" s="1"/>
  <c r="B108" i="37"/>
  <c r="C23" i="37"/>
  <c r="C19" i="37"/>
  <c r="C17" i="37"/>
  <c r="C15" i="37"/>
  <c r="B112" i="37"/>
  <c r="D107" i="37"/>
  <c r="E107" i="37"/>
  <c r="D105" i="37"/>
  <c r="E105" i="37"/>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U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B77" i="35"/>
  <c r="J25" i="35" s="1"/>
  <c r="AC25" i="35" s="1"/>
  <c r="B75" i="35"/>
  <c r="J24" i="35"/>
  <c r="AC24" i="35" s="1"/>
  <c r="B73" i="35"/>
  <c r="B57" i="35"/>
  <c r="B61" i="35"/>
  <c r="F13" i="35" s="1"/>
  <c r="B59" i="35"/>
  <c r="B131" i="34"/>
  <c r="H47" i="34" s="1"/>
  <c r="AB47" i="34" s="1"/>
  <c r="B129" i="34"/>
  <c r="B127" i="34"/>
  <c r="H45" i="34" s="1"/>
  <c r="B99" i="34"/>
  <c r="B97" i="34"/>
  <c r="J31" i="34" s="1"/>
  <c r="B95" i="34"/>
  <c r="B93" i="34"/>
  <c r="J29" i="34" s="1"/>
  <c r="B75" i="34"/>
  <c r="B73" i="34"/>
  <c r="H13" i="34" s="1"/>
  <c r="B71" i="34"/>
  <c r="B130" i="33"/>
  <c r="J46" i="33" s="1"/>
  <c r="B128" i="33"/>
  <c r="B126" i="33"/>
  <c r="J44" i="33" s="1"/>
  <c r="B98" i="33"/>
  <c r="B96" i="33"/>
  <c r="J30" i="33" s="1"/>
  <c r="AC30" i="33" s="1"/>
  <c r="B94" i="33"/>
  <c r="B74" i="33"/>
  <c r="H14" i="33" s="1"/>
  <c r="AB14" i="33" s="1"/>
  <c r="B72" i="33"/>
  <c r="B70" i="33"/>
  <c r="J12" i="33" s="1"/>
  <c r="AC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C15" i="34"/>
  <c r="F67"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s="1"/>
  <c r="D86" i="34"/>
  <c r="E86" i="34" s="1"/>
  <c r="F86" i="34" s="1"/>
  <c r="G86" i="34" s="1"/>
  <c r="D82" i="34"/>
  <c r="J19" i="34" s="1"/>
  <c r="AC19" i="34" s="1"/>
  <c r="D80" i="34"/>
  <c r="E80" i="34" s="1"/>
  <c r="F80" i="34" s="1"/>
  <c r="G80" i="34" s="1"/>
  <c r="D78" i="34"/>
  <c r="J15"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J34" i="34"/>
  <c r="AC34" i="34" s="1"/>
  <c r="H34" i="34"/>
  <c r="F34" i="34"/>
  <c r="AA34" i="34" s="1"/>
  <c r="Q33" i="34"/>
  <c r="Z33" i="34" s="1"/>
  <c r="Q32" i="34"/>
  <c r="Z32" i="34" s="1"/>
  <c r="Q31" i="34"/>
  <c r="Z31" i="34" s="1"/>
  <c r="Q30" i="34"/>
  <c r="Z30" i="34" s="1"/>
  <c r="Q29" i="34"/>
  <c r="Z29" i="34" s="1"/>
  <c r="Q28" i="34"/>
  <c r="Z28" i="34"/>
  <c r="Q27" i="34"/>
  <c r="Z27" i="34"/>
  <c r="Q25" i="34"/>
  <c r="Z25" i="34"/>
  <c r="Q23" i="34"/>
  <c r="Z23" i="34"/>
  <c r="C23" i="34"/>
  <c r="E23" i="34" s="1"/>
  <c r="G23" i="34" s="1"/>
  <c r="I23" i="34" s="1"/>
  <c r="Q19" i="34"/>
  <c r="Z19" i="34" s="1"/>
  <c r="C19" i="34"/>
  <c r="Q17" i="34"/>
  <c r="Z17" i="34"/>
  <c r="C17" i="34"/>
  <c r="Q15" i="34"/>
  <c r="Z15" i="34" s="1"/>
  <c r="Q14" i="34"/>
  <c r="Z14" i="34" s="1"/>
  <c r="Q13" i="34"/>
  <c r="Z13" i="34" s="1"/>
  <c r="Q12" i="34"/>
  <c r="Z12" i="34" s="1"/>
  <c r="J12" i="34"/>
  <c r="H12" i="34"/>
  <c r="F12" i="34"/>
  <c r="S12" i="34"/>
  <c r="Q11" i="34"/>
  <c r="Z11" i="34"/>
  <c r="Q10" i="34"/>
  <c r="Z10" i="34"/>
  <c r="Q9" i="34"/>
  <c r="Z9" i="34" s="1"/>
  <c r="J9" i="34"/>
  <c r="H9" i="34"/>
  <c r="F9" i="34"/>
  <c r="AA9" i="34" s="1"/>
  <c r="J8" i="34"/>
  <c r="AC8" i="34" s="1"/>
  <c r="H8" i="34"/>
  <c r="U8" i="34" s="1"/>
  <c r="F8" i="34"/>
  <c r="D121" i="33"/>
  <c r="E121" i="33" s="1"/>
  <c r="F109" i="33"/>
  <c r="E109" i="33"/>
  <c r="D109" i="33"/>
  <c r="C109" i="33"/>
  <c r="D91" i="33"/>
  <c r="E91" i="33" s="1"/>
  <c r="F91" i="33" s="1"/>
  <c r="G91" i="33" s="1"/>
  <c r="B88" i="33"/>
  <c r="J26" i="33" s="1"/>
  <c r="C23" i="33"/>
  <c r="C19" i="33"/>
  <c r="C17" i="33"/>
  <c r="C15" i="33"/>
  <c r="C15" i="21"/>
  <c r="D125" i="33"/>
  <c r="D123" i="33"/>
  <c r="E123" i="33" s="1"/>
  <c r="D117" i="33"/>
  <c r="E117" i="33"/>
  <c r="F117" i="33" s="1"/>
  <c r="G117" i="33" s="1"/>
  <c r="D115" i="33"/>
  <c r="E115" i="33"/>
  <c r="F115" i="33" s="1"/>
  <c r="G115" i="33"/>
  <c r="H115" i="33" s="1"/>
  <c r="I115" i="33" s="1"/>
  <c r="J115" i="33" s="1"/>
  <c r="K115" i="33" s="1"/>
  <c r="L115" i="33" s="1"/>
  <c r="M115" i="33" s="1"/>
  <c r="D108" i="33"/>
  <c r="E108" i="33"/>
  <c r="F108" i="33" s="1"/>
  <c r="D106" i="33"/>
  <c r="E106" i="33" s="1"/>
  <c r="F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H30" i="21" s="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29" i="36"/>
  <c r="W8" i="36"/>
  <c r="F16" i="36"/>
  <c r="AA16" i="36"/>
  <c r="U9" i="36"/>
  <c r="W28" i="36"/>
  <c r="S30" i="36"/>
  <c r="AA31" i="36"/>
  <c r="AC31" i="36"/>
  <c r="W31" i="36"/>
  <c r="J33" i="36"/>
  <c r="W33" i="36" s="1"/>
  <c r="H22" i="35"/>
  <c r="AB22" i="35" s="1"/>
  <c r="AC27" i="35"/>
  <c r="W28" i="35"/>
  <c r="U31" i="35"/>
  <c r="W22" i="35"/>
  <c r="S31" i="35"/>
  <c r="U34" i="35"/>
  <c r="J35" i="34"/>
  <c r="W35" i="34" s="1"/>
  <c r="S34" i="34"/>
  <c r="H39" i="33"/>
  <c r="AB39" i="33" s="1"/>
  <c r="F26" i="33"/>
  <c r="S9" i="33"/>
  <c r="U35" i="33"/>
  <c r="S40" i="33"/>
  <c r="W33" i="33"/>
  <c r="S27" i="35"/>
  <c r="F11" i="40"/>
  <c r="AA11" i="40"/>
  <c r="H11" i="40"/>
  <c r="AB11" i="40"/>
  <c r="W8" i="40"/>
  <c r="AB39" i="40"/>
  <c r="AC40" i="40"/>
  <c r="AA9" i="40"/>
  <c r="AC9" i="40"/>
  <c r="U9" i="40"/>
  <c r="S34" i="40"/>
  <c r="S40" i="40"/>
  <c r="W31" i="40"/>
  <c r="U34" i="40"/>
  <c r="U40" i="40"/>
  <c r="F42" i="39"/>
  <c r="F41" i="39"/>
  <c r="S41" i="39" s="1"/>
  <c r="H40" i="39"/>
  <c r="AB40" i="39" s="1"/>
  <c r="H39" i="39"/>
  <c r="U39" i="39" s="1"/>
  <c r="S38" i="39"/>
  <c r="H34" i="39"/>
  <c r="U34" i="39" s="1"/>
  <c r="E109" i="39"/>
  <c r="H31" i="39"/>
  <c r="AB31" i="39"/>
  <c r="F31" i="39"/>
  <c r="AA31" i="39"/>
  <c r="H19" i="39"/>
  <c r="AB19" i="39" s="1"/>
  <c r="F19" i="39"/>
  <c r="H17" i="39"/>
  <c r="AB17" i="39" s="1"/>
  <c r="F17" i="39"/>
  <c r="J23" i="40"/>
  <c r="AC23" i="40" s="1"/>
  <c r="F21" i="40"/>
  <c r="J21" i="40"/>
  <c r="W21" i="40" s="1"/>
  <c r="H42" i="39"/>
  <c r="J34" i="39"/>
  <c r="AC34" i="39" s="1"/>
  <c r="F109" i="39"/>
  <c r="G109" i="39" s="1"/>
  <c r="H109" i="39" s="1"/>
  <c r="I109" i="39" s="1"/>
  <c r="J109" i="39" s="1"/>
  <c r="K109" i="39" s="1"/>
  <c r="L109" i="39" s="1"/>
  <c r="M109" i="39" s="1"/>
  <c r="J31" i="39"/>
  <c r="W31" i="39" s="1"/>
  <c r="H27" i="39"/>
  <c r="U27" i="39" s="1"/>
  <c r="J19" i="39"/>
  <c r="J17" i="39"/>
  <c r="J27" i="39"/>
  <c r="AC27" i="39"/>
  <c r="F27" i="39"/>
  <c r="F11" i="21"/>
  <c r="S11" i="21" s="1"/>
  <c r="C25" i="39"/>
  <c r="C27" i="39"/>
  <c r="H11" i="39"/>
  <c r="AB11" i="39" s="1"/>
  <c r="S40" i="39"/>
  <c r="C15" i="39"/>
  <c r="H32" i="33"/>
  <c r="AB32" i="33"/>
  <c r="H11" i="21"/>
  <c r="U11" i="21" s="1"/>
  <c r="J11" i="21"/>
  <c r="W11" i="21" s="1"/>
  <c r="H37" i="40"/>
  <c r="U37" i="40"/>
  <c r="H36" i="40"/>
  <c r="AB36" i="40"/>
  <c r="F35" i="40"/>
  <c r="AA35" i="40"/>
  <c r="H23" i="40"/>
  <c r="AB23" i="40"/>
  <c r="H17" i="40"/>
  <c r="U17" i="40"/>
  <c r="J15" i="40"/>
  <c r="W15" i="40"/>
  <c r="J11" i="40"/>
  <c r="W11" i="40"/>
  <c r="AB8" i="39"/>
  <c r="AA12" i="34"/>
  <c r="AB12" i="35"/>
  <c r="S44" i="39"/>
  <c r="F37" i="39"/>
  <c r="AA37" i="39"/>
  <c r="J34" i="36"/>
  <c r="W34" i="36"/>
  <c r="U30" i="36"/>
  <c r="J30" i="35"/>
  <c r="H30" i="35"/>
  <c r="AB30" i="35" s="1"/>
  <c r="F22" i="35"/>
  <c r="AA22" i="35" s="1"/>
  <c r="H10" i="35"/>
  <c r="U10" i="35" s="1"/>
  <c r="AC16" i="36"/>
  <c r="F33" i="36"/>
  <c r="AA33" i="36"/>
  <c r="W30" i="36"/>
  <c r="H16" i="36"/>
  <c r="E85" i="36"/>
  <c r="F85" i="36" s="1"/>
  <c r="G85" i="36"/>
  <c r="H85" i="36" s="1"/>
  <c r="I85" i="36" s="1"/>
  <c r="J85" i="36" s="1"/>
  <c r="K85" i="36"/>
  <c r="L85" i="36" s="1"/>
  <c r="M85" i="36" s="1"/>
  <c r="J29" i="36"/>
  <c r="AC29" i="36"/>
  <c r="F24" i="36"/>
  <c r="F34" i="36"/>
  <c r="S34" i="36" s="1"/>
  <c r="S10" i="36"/>
  <c r="AB8" i="36"/>
  <c r="S8" i="36"/>
  <c r="U8" i="35"/>
  <c r="F14" i="35"/>
  <c r="F23" i="35"/>
  <c r="AA23" i="35" s="1"/>
  <c r="J32" i="35"/>
  <c r="AC32" i="35" s="1"/>
  <c r="J16" i="35"/>
  <c r="AC16" i="35" s="1"/>
  <c r="H16" i="35"/>
  <c r="U16" i="35" s="1"/>
  <c r="F16" i="35"/>
  <c r="S16" i="35" s="1"/>
  <c r="H14" i="35"/>
  <c r="J29" i="35"/>
  <c r="H33" i="35"/>
  <c r="AB33" i="35"/>
  <c r="AC8" i="35"/>
  <c r="J20" i="35"/>
  <c r="W20" i="35" s="1"/>
  <c r="F35" i="37"/>
  <c r="S35" i="37" s="1"/>
  <c r="E101" i="37"/>
  <c r="F101" i="37" s="1"/>
  <c r="G101" i="37"/>
  <c r="H101" i="37" s="1"/>
  <c r="I101" i="37" s="1"/>
  <c r="J101" i="37" s="1"/>
  <c r="K101" i="37"/>
  <c r="L101" i="37" s="1"/>
  <c r="M101" i="37" s="1"/>
  <c r="J34" i="37"/>
  <c r="W34" i="37"/>
  <c r="S10" i="37"/>
  <c r="AB34" i="37"/>
  <c r="J33" i="37"/>
  <c r="AC33" i="37" s="1"/>
  <c r="U42" i="34"/>
  <c r="H40" i="34"/>
  <c r="U40" i="34" s="1"/>
  <c r="E114" i="34"/>
  <c r="F114" i="34" s="1"/>
  <c r="G114" i="34" s="1"/>
  <c r="H114" i="34" s="1"/>
  <c r="I114" i="34" s="1"/>
  <c r="J114" i="34" s="1"/>
  <c r="K114" i="34" s="1"/>
  <c r="L114" i="34" s="1"/>
  <c r="M114" i="34" s="1"/>
  <c r="H23" i="34"/>
  <c r="U23" i="34" s="1"/>
  <c r="J23" i="34"/>
  <c r="H17" i="34"/>
  <c r="U17" i="34" s="1"/>
  <c r="J28" i="34"/>
  <c r="W28" i="34" s="1"/>
  <c r="F41" i="33"/>
  <c r="AA41" i="33"/>
  <c r="E113" i="33"/>
  <c r="F32" i="33"/>
  <c r="AA32" i="33"/>
  <c r="J19" i="33"/>
  <c r="AC19" i="33"/>
  <c r="J15" i="33"/>
  <c r="AC15" i="33"/>
  <c r="F11" i="33"/>
  <c r="AA11" i="33"/>
  <c r="U40" i="33"/>
  <c r="W40" i="33"/>
  <c r="U8" i="33"/>
  <c r="F37" i="40"/>
  <c r="AA37" i="40" s="1"/>
  <c r="F36" i="40"/>
  <c r="AA36" i="40" s="1"/>
  <c r="H28" i="40"/>
  <c r="F23" i="40"/>
  <c r="AA23" i="40" s="1"/>
  <c r="F17" i="40"/>
  <c r="J17" i="40"/>
  <c r="F15" i="40"/>
  <c r="H15" i="40"/>
  <c r="AC11" i="40"/>
  <c r="AB30" i="36"/>
  <c r="AC34" i="36"/>
  <c r="U30" i="35"/>
  <c r="U33" i="35"/>
  <c r="F29" i="35"/>
  <c r="S29" i="35"/>
  <c r="H29" i="35"/>
  <c r="AB29" i="35"/>
  <c r="H33" i="37"/>
  <c r="AB33" i="37"/>
  <c r="F33" i="37"/>
  <c r="AA33" i="37"/>
  <c r="U34" i="37"/>
  <c r="W33" i="37"/>
  <c r="S34" i="37"/>
  <c r="AA34" i="37"/>
  <c r="J43" i="34"/>
  <c r="AB42" i="34"/>
  <c r="J40" i="34"/>
  <c r="AC40" i="34" s="1"/>
  <c r="H38" i="34"/>
  <c r="AB38" i="34" s="1"/>
  <c r="F23" i="34"/>
  <c r="AA23" i="34" s="1"/>
  <c r="F17" i="34"/>
  <c r="J17" i="34"/>
  <c r="W17" i="34" s="1"/>
  <c r="S41" i="33"/>
  <c r="F113" i="33"/>
  <c r="G113" i="33" s="1"/>
  <c r="H113" i="33" s="1"/>
  <c r="I113" i="33" s="1"/>
  <c r="J113" i="33" s="1"/>
  <c r="K113" i="33" s="1"/>
  <c r="L113" i="33" s="1"/>
  <c r="M113" i="33" s="1"/>
  <c r="H37" i="33"/>
  <c r="H15" i="33"/>
  <c r="H11" i="33"/>
  <c r="F28" i="40"/>
  <c r="AA28" i="40" s="1"/>
  <c r="AA29" i="35"/>
  <c r="AA42" i="34"/>
  <c r="S42" i="34"/>
  <c r="AC38" i="34"/>
  <c r="AA38" i="34"/>
  <c r="J11" i="33"/>
  <c r="W11" i="33"/>
  <c r="U23" i="40"/>
  <c r="J44" i="34"/>
  <c r="W44" i="34" s="1"/>
  <c r="F44" i="34"/>
  <c r="AA44" i="34" s="1"/>
  <c r="J10" i="35"/>
  <c r="W10" i="35" s="1"/>
  <c r="BL587" i="3"/>
  <c r="J14" i="21"/>
  <c r="W14" i="21" s="1"/>
  <c r="F14" i="21"/>
  <c r="H14" i="21"/>
  <c r="U14" i="21" s="1"/>
  <c r="H28" i="21"/>
  <c r="F28" i="21"/>
  <c r="AA28" i="21" s="1"/>
  <c r="J28" i="21"/>
  <c r="W28" i="21" s="1"/>
  <c r="U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J14" i="36"/>
  <c r="AC14" i="36" s="1"/>
  <c r="H14" i="36"/>
  <c r="F28" i="36"/>
  <c r="J13" i="21"/>
  <c r="AC13" i="21" s="1"/>
  <c r="F27" i="21"/>
  <c r="AA27" i="21" s="1"/>
  <c r="H29" i="21"/>
  <c r="U29" i="21" s="1"/>
  <c r="J31" i="21"/>
  <c r="F31" i="21"/>
  <c r="S31" i="21" s="1"/>
  <c r="F45" i="21"/>
  <c r="F27" i="33"/>
  <c r="AA27" i="33" s="1"/>
  <c r="J13" i="33"/>
  <c r="W13" i="33" s="1"/>
  <c r="H13" i="33"/>
  <c r="AB13" i="33"/>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E89" i="37"/>
  <c r="F89" i="37" s="1"/>
  <c r="G89" i="37"/>
  <c r="H89" i="37" s="1"/>
  <c r="I89" i="37" s="1"/>
  <c r="J89" i="37" s="1"/>
  <c r="K89" i="37" s="1"/>
  <c r="L89" i="37" s="1"/>
  <c r="M89" i="37" s="1"/>
  <c r="J29" i="37"/>
  <c r="W29" i="37"/>
  <c r="F29" i="37"/>
  <c r="S29" i="37"/>
  <c r="F105" i="37"/>
  <c r="H36" i="37"/>
  <c r="F107" i="37"/>
  <c r="J37" i="37"/>
  <c r="AC37" i="37"/>
  <c r="H37" i="37"/>
  <c r="U37" i="37"/>
  <c r="H40" i="37"/>
  <c r="U40" i="37"/>
  <c r="J40" i="37"/>
  <c r="AC40" i="37"/>
  <c r="F40" i="37"/>
  <c r="AA40" i="37"/>
  <c r="W12" i="40"/>
  <c r="U14" i="33"/>
  <c r="H30" i="33"/>
  <c r="F30" i="33"/>
  <c r="S30" i="33" s="1"/>
  <c r="H44" i="33"/>
  <c r="U44" i="33" s="1"/>
  <c r="AC44" i="33"/>
  <c r="AC46" i="33"/>
  <c r="U13" i="34"/>
  <c r="H29" i="34"/>
  <c r="AB29" i="34" s="1"/>
  <c r="AC31" i="34"/>
  <c r="U45" i="34"/>
  <c r="U47" i="34"/>
  <c r="S13" i="35"/>
  <c r="W25" i="35"/>
  <c r="AC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S14" i="39" s="1"/>
  <c r="AB14" i="39"/>
  <c r="H30" i="40"/>
  <c r="AB30" i="40"/>
  <c r="F33" i="40"/>
  <c r="AA33" i="40"/>
  <c r="H33" i="40"/>
  <c r="U33" i="40"/>
  <c r="J35" i="40"/>
  <c r="AC35" i="40"/>
  <c r="J37" i="40"/>
  <c r="AC37" i="40"/>
  <c r="H13" i="40"/>
  <c r="U13" i="40"/>
  <c r="J13" i="40"/>
  <c r="W13" i="40"/>
  <c r="F13" i="40"/>
  <c r="AA13" i="40"/>
  <c r="F27" i="37"/>
  <c r="AA27" i="37"/>
  <c r="F13" i="39"/>
  <c r="J13" i="39"/>
  <c r="W13" i="39" s="1"/>
  <c r="H13" i="39"/>
  <c r="U13" i="39" s="1"/>
  <c r="AB14" i="40"/>
  <c r="J27" i="37"/>
  <c r="AC27" i="37"/>
  <c r="AA13" i="35"/>
  <c r="J36" i="37"/>
  <c r="G105" i="37"/>
  <c r="AB11" i="36"/>
  <c r="AB11" i="35"/>
  <c r="J10" i="36"/>
  <c r="AC10" i="36"/>
  <c r="AB26" i="33"/>
  <c r="AB30" i="21"/>
  <c r="W31" i="34"/>
  <c r="AC13" i="36"/>
  <c r="W13" i="36"/>
  <c r="S11" i="36"/>
  <c r="W11" i="36"/>
  <c r="W11" i="35"/>
  <c r="AB46" i="34"/>
  <c r="AC30" i="34"/>
  <c r="AA14" i="34"/>
  <c r="S45" i="33"/>
  <c r="AB45" i="33"/>
  <c r="AB31" i="33"/>
  <c r="U31" i="33"/>
  <c r="W29" i="33"/>
  <c r="U13" i="33"/>
  <c r="S44" i="34"/>
  <c r="BA586" i="3"/>
  <c r="AZ586" i="3" s="1"/>
  <c r="BA585" i="3"/>
  <c r="F17" i="21"/>
  <c r="AB11" i="21"/>
  <c r="J41" i="39"/>
  <c r="W41" i="39"/>
  <c r="AC45" i="39"/>
  <c r="W44" i="39"/>
  <c r="W36" i="39"/>
  <c r="W35" i="39"/>
  <c r="U36" i="39"/>
  <c r="S35" i="39"/>
  <c r="G540" i="3"/>
  <c r="G535" i="3"/>
  <c r="G531"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38" i="3"/>
  <c r="BL530" i="3"/>
  <c r="BL522" i="3"/>
  <c r="BL516" i="3"/>
  <c r="BL512" i="3"/>
  <c r="AZ512" i="3" s="1"/>
  <c r="BL506" i="3"/>
  <c r="BL502" i="3"/>
  <c r="AZ502" i="3" s="1"/>
  <c r="BL498" i="3"/>
  <c r="BL494" i="3"/>
  <c r="BL582" i="3"/>
  <c r="BL578" i="3"/>
  <c r="BL574" i="3"/>
  <c r="BL570" i="3"/>
  <c r="BL566" i="3"/>
  <c r="BL562" i="3"/>
  <c r="BL556" i="3"/>
  <c r="BL552" i="3"/>
  <c r="AZ552" i="3" s="1"/>
  <c r="BL540" i="3"/>
  <c r="G533" i="3"/>
  <c r="G529" i="3"/>
  <c r="G525" i="3"/>
  <c r="BL524" i="3"/>
  <c r="BL518" i="3"/>
  <c r="BL514" i="3"/>
  <c r="BL510" i="3"/>
  <c r="AZ510" i="3" s="1"/>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BA546" i="3"/>
  <c r="AZ546" i="3" s="1"/>
  <c r="AZ544" i="3"/>
  <c r="AZ542" i="3"/>
  <c r="AZ540" i="3"/>
  <c r="AZ538" i="3"/>
  <c r="AZ536" i="3"/>
  <c r="AZ534" i="3"/>
  <c r="AZ532" i="3"/>
  <c r="BA528" i="3"/>
  <c r="AZ528" i="3" s="1"/>
  <c r="BA526" i="3"/>
  <c r="AZ526" i="3" s="1"/>
  <c r="BA524" i="3"/>
  <c r="AZ524" i="3" s="1"/>
  <c r="BA522" i="3"/>
  <c r="BA520" i="3"/>
  <c r="BA518" i="3"/>
  <c r="BA516" i="3"/>
  <c r="AZ516" i="3" s="1"/>
  <c r="BA514" i="3"/>
  <c r="BA512" i="3"/>
  <c r="BA510" i="3"/>
  <c r="BA508" i="3"/>
  <c r="BA506" i="3"/>
  <c r="AZ506" i="3" s="1"/>
  <c r="BA504" i="3"/>
  <c r="AZ504" i="3"/>
  <c r="BA502" i="3"/>
  <c r="BA500" i="3"/>
  <c r="BA498" i="3"/>
  <c r="AZ498" i="3"/>
  <c r="BA496" i="3"/>
  <c r="BA494" i="3"/>
  <c r="BA587" i="3"/>
  <c r="AZ587" i="3"/>
  <c r="BA583" i="3"/>
  <c r="BA581" i="3"/>
  <c r="BA579" i="3"/>
  <c r="AZ579" i="3" s="1"/>
  <c r="BA577" i="3"/>
  <c r="BA575" i="3"/>
  <c r="AZ575" i="3" s="1"/>
  <c r="BA573" i="3"/>
  <c r="BA571" i="3"/>
  <c r="AZ571" i="3" s="1"/>
  <c r="BA569" i="3"/>
  <c r="BA567" i="3"/>
  <c r="AZ567" i="3" s="1"/>
  <c r="BA565" i="3"/>
  <c r="BA563" i="3"/>
  <c r="AZ563" i="3" s="1"/>
  <c r="BA561" i="3"/>
  <c r="BA559" i="3"/>
  <c r="AZ559" i="3" s="1"/>
  <c r="BA555" i="3"/>
  <c r="BA553" i="3"/>
  <c r="BA549" i="3"/>
  <c r="BA547" i="3"/>
  <c r="BA543" i="3"/>
  <c r="BA539" i="3"/>
  <c r="BA535" i="3"/>
  <c r="BA531"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G559" i="3"/>
  <c r="G555" i="3"/>
  <c r="G553" i="3"/>
  <c r="G549" i="3"/>
  <c r="G545" i="3"/>
  <c r="G541" i="3"/>
  <c r="G537" i="3"/>
  <c r="BQ555" i="3"/>
  <c r="BL555" i="3"/>
  <c r="AZ555" i="3" s="1"/>
  <c r="BQ553" i="3"/>
  <c r="BL553" i="3" s="1"/>
  <c r="AZ553" i="3"/>
  <c r="BQ551" i="3"/>
  <c r="BL551" i="3"/>
  <c r="BQ549" i="3"/>
  <c r="BQ547" i="3"/>
  <c r="BQ545" i="3"/>
  <c r="BL545" i="3"/>
  <c r="BQ543" i="3"/>
  <c r="BQ541" i="3"/>
  <c r="BL541" i="3"/>
  <c r="BQ539" i="3"/>
  <c r="BQ537" i="3"/>
  <c r="BL537" i="3"/>
  <c r="BQ535" i="3"/>
  <c r="BQ533" i="3"/>
  <c r="BL533" i="3"/>
  <c r="BQ531" i="3"/>
  <c r="BQ529" i="3"/>
  <c r="BL529" i="3"/>
  <c r="BQ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E125" i="33"/>
  <c r="F125" i="33" s="1"/>
  <c r="H43" i="33"/>
  <c r="H17" i="37"/>
  <c r="AB27" i="37"/>
  <c r="U32" i="33"/>
  <c r="AA36" i="39"/>
  <c r="F39" i="33"/>
  <c r="AA39" i="33"/>
  <c r="F42" i="33"/>
  <c r="H28" i="34"/>
  <c r="AB28" i="34" s="1"/>
  <c r="F14" i="36"/>
  <c r="AA14" i="36"/>
  <c r="F22" i="36"/>
  <c r="S22" i="36"/>
  <c r="F26" i="36"/>
  <c r="S26" i="36"/>
  <c r="H27" i="34"/>
  <c r="AB27" i="34" s="1"/>
  <c r="H35" i="34"/>
  <c r="F41" i="34"/>
  <c r="S41" i="34" s="1"/>
  <c r="H41" i="34"/>
  <c r="J41" i="34"/>
  <c r="AC41" i="34" s="1"/>
  <c r="F10" i="35"/>
  <c r="F24" i="35"/>
  <c r="H24" i="35"/>
  <c r="AB24" i="35" s="1"/>
  <c r="H23" i="37"/>
  <c r="J32" i="37"/>
  <c r="AC32" i="37" s="1"/>
  <c r="F36" i="37"/>
  <c r="F37" i="37"/>
  <c r="AA37" i="37" s="1"/>
  <c r="F31" i="40"/>
  <c r="H31" i="40"/>
  <c r="F32" i="40"/>
  <c r="S32" i="40" s="1"/>
  <c r="H32" i="40"/>
  <c r="AB32" i="40" s="1"/>
  <c r="J36" i="40"/>
  <c r="W36" i="40" s="1"/>
  <c r="H19" i="37"/>
  <c r="AB19" i="37" s="1"/>
  <c r="F123" i="33"/>
  <c r="G123" i="33" s="1"/>
  <c r="H123" i="33"/>
  <c r="I123" i="33" s="1"/>
  <c r="J123" i="33" s="1"/>
  <c r="K123" i="33" s="1"/>
  <c r="L123" i="33" s="1"/>
  <c r="M123" i="33" s="1"/>
  <c r="H42" i="33"/>
  <c r="AB42" i="33" s="1"/>
  <c r="G125" i="33"/>
  <c r="J43" i="33"/>
  <c r="AC43" i="33"/>
  <c r="U14" i="40"/>
  <c r="AC32" i="36"/>
  <c r="AC33" i="36"/>
  <c r="AA12" i="35"/>
  <c r="AB28" i="37"/>
  <c r="U33" i="37"/>
  <c r="W26" i="37"/>
  <c r="AC8" i="37"/>
  <c r="U26" i="37"/>
  <c r="AB13" i="34"/>
  <c r="AA13" i="33"/>
  <c r="AC31" i="33"/>
  <c r="AC45" i="33"/>
  <c r="W44" i="33"/>
  <c r="U19" i="21"/>
  <c r="U12" i="21"/>
  <c r="F43" i="33"/>
  <c r="AA43" i="33"/>
  <c r="W16" i="35"/>
  <c r="W40" i="37"/>
  <c r="G107" i="37"/>
  <c r="H107" i="37" s="1"/>
  <c r="I107" i="37"/>
  <c r="J107" i="37" s="1"/>
  <c r="K107" i="37" s="1"/>
  <c r="L107" i="37" s="1"/>
  <c r="M107" i="37" s="1"/>
  <c r="F36" i="35"/>
  <c r="J9" i="37"/>
  <c r="H9" i="37"/>
  <c r="AB9" i="37" s="1"/>
  <c r="F9" i="37"/>
  <c r="J12" i="37"/>
  <c r="W12" i="37" s="1"/>
  <c r="H12" i="37"/>
  <c r="F12" i="37"/>
  <c r="S12" i="37" s="1"/>
  <c r="E71" i="37"/>
  <c r="F71" i="37" s="1"/>
  <c r="F15" i="37"/>
  <c r="AA15" i="37"/>
  <c r="E94" i="37"/>
  <c r="F31" i="37"/>
  <c r="F12" i="39"/>
  <c r="J42" i="39"/>
  <c r="AC42" i="39" s="1"/>
  <c r="H21" i="40"/>
  <c r="AB21" i="40" s="1"/>
  <c r="AC12" i="37"/>
  <c r="F94" i="37"/>
  <c r="G94" i="37"/>
  <c r="H94" i="37" s="1"/>
  <c r="I94" i="37"/>
  <c r="J94" i="37" s="1"/>
  <c r="K94" i="37" s="1"/>
  <c r="L94" i="37" s="1"/>
  <c r="M94" i="37" s="1"/>
  <c r="H31" i="37"/>
  <c r="U31" i="37"/>
  <c r="G71" i="37"/>
  <c r="J15" i="37"/>
  <c r="W15" i="37"/>
  <c r="AT6" i="3"/>
  <c r="C12" i="43"/>
  <c r="H19" i="40"/>
  <c r="U19" i="40"/>
  <c r="F88" i="40"/>
  <c r="G88" i="40"/>
  <c r="F19" i="40"/>
  <c r="S19" i="40"/>
  <c r="AC13" i="40"/>
  <c r="AB33" i="40"/>
  <c r="W23" i="39"/>
  <c r="AC43" i="39"/>
  <c r="W43" i="39"/>
  <c r="U45" i="39"/>
  <c r="AB45" i="39"/>
  <c r="AB44" i="39"/>
  <c r="U44" i="39"/>
  <c r="H37" i="39"/>
  <c r="AC37" i="39"/>
  <c r="W37" i="39"/>
  <c r="H25" i="39"/>
  <c r="J25" i="39"/>
  <c r="W25" i="39" s="1"/>
  <c r="F25" i="39"/>
  <c r="AA25" i="39"/>
  <c r="F15" i="39"/>
  <c r="AA15" i="39"/>
  <c r="H15" i="39"/>
  <c r="U15" i="39"/>
  <c r="J15" i="39"/>
  <c r="W15" i="39"/>
  <c r="H41" i="39"/>
  <c r="W27" i="39"/>
  <c r="AB34" i="39"/>
  <c r="U40" i="39"/>
  <c r="W14" i="39"/>
  <c r="AA41" i="39"/>
  <c r="W9" i="39"/>
  <c r="W8" i="39"/>
  <c r="J19" i="40"/>
  <c r="AC19" i="40" s="1"/>
  <c r="J50" i="40"/>
  <c r="H103" i="9"/>
  <c r="D8" i="53"/>
  <c r="B16" i="53"/>
  <c r="B33" i="72"/>
  <c r="C7" i="37"/>
  <c r="C7" i="34"/>
  <c r="C59" i="34" s="1"/>
  <c r="D59" i="34" s="1"/>
  <c r="E59" i="34" s="1"/>
  <c r="F59" i="34" s="1"/>
  <c r="C7" i="36"/>
  <c r="W35" i="40"/>
  <c r="A118" i="9"/>
  <c r="A4" i="52"/>
  <c r="B41" i="72" s="1"/>
  <c r="J11" i="39"/>
  <c r="W11" i="39" s="1"/>
  <c r="F11" i="39"/>
  <c r="A12" i="52"/>
  <c r="B56" i="72" s="1"/>
  <c r="G4" i="4"/>
  <c r="I4" i="4"/>
  <c r="K5" i="4"/>
  <c r="B47" i="48" s="1"/>
  <c r="A2" i="9"/>
  <c r="AZ20" i="3"/>
  <c r="AZ24" i="3"/>
  <c r="AZ28" i="3"/>
  <c r="AZ32" i="3"/>
  <c r="AZ497" i="3"/>
  <c r="BL549" i="3"/>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H5" i="3"/>
  <c r="BD5" i="3"/>
  <c r="AZ317" i="3"/>
  <c r="AZ333" i="3"/>
  <c r="BQ5" i="3"/>
  <c r="AZ549" i="3"/>
  <c r="AZ496" i="3"/>
  <c r="G538" i="3"/>
  <c r="G520" i="3"/>
  <c r="G502" i="3"/>
  <c r="BP5" i="3"/>
  <c r="AZ343" i="3"/>
  <c r="BI5" i="3"/>
  <c r="BE5" i="3"/>
  <c r="G17" i="3"/>
  <c r="BA17" i="3"/>
  <c r="BT5" i="3"/>
  <c r="AZ350" i="3"/>
  <c r="AZ352" i="3"/>
  <c r="AZ360" i="3"/>
  <c r="AZ368" i="3"/>
  <c r="BA15" i="3"/>
  <c r="BB5" i="3"/>
  <c r="G28" i="6"/>
  <c r="AZ380" i="3"/>
  <c r="AZ384" i="3"/>
  <c r="AZ388" i="3"/>
  <c r="AZ392" i="3"/>
  <c r="AZ396" i="3"/>
  <c r="AZ394" i="3"/>
  <c r="AZ509" i="3"/>
  <c r="BL493" i="3"/>
  <c r="AZ493" i="3" s="1"/>
  <c r="AZ491" i="3"/>
  <c r="AZ376" i="3"/>
  <c r="AZ382" i="3"/>
  <c r="U36" i="40"/>
  <c r="F36" i="43"/>
  <c r="F81" i="43"/>
  <c r="H113" i="43"/>
  <c r="F48" i="43"/>
  <c r="M11" i="43"/>
  <c r="D17" i="43"/>
  <c r="F39" i="43"/>
  <c r="I17" i="43"/>
  <c r="F35" i="43"/>
  <c r="J17" i="43"/>
  <c r="F6" i="1"/>
  <c r="U17" i="39"/>
  <c r="G8" i="1"/>
  <c r="G9" i="1"/>
  <c r="G10" i="1"/>
  <c r="F48" i="9"/>
  <c r="O52" i="9" s="1"/>
  <c r="AC11" i="39"/>
  <c r="AZ501" i="3"/>
  <c r="W37" i="37"/>
  <c r="AC44" i="34"/>
  <c r="S15" i="37"/>
  <c r="U13" i="37"/>
  <c r="J37" i="33"/>
  <c r="W37" i="33"/>
  <c r="G106" i="33"/>
  <c r="H106" i="33" s="1"/>
  <c r="I106" i="33" s="1"/>
  <c r="J106" i="33" s="1"/>
  <c r="K106" i="33" s="1"/>
  <c r="L106" i="33" s="1"/>
  <c r="M106" i="33" s="1"/>
  <c r="J34" i="33"/>
  <c r="W34" i="33"/>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H20" i="35"/>
  <c r="U20" i="35" s="1"/>
  <c r="F20" i="35"/>
  <c r="AA20" i="35" s="1"/>
  <c r="U29" i="36"/>
  <c r="H32" i="37"/>
  <c r="AB32" i="37"/>
  <c r="H27" i="40"/>
  <c r="J27" i="40"/>
  <c r="F27" i="40"/>
  <c r="J30" i="40"/>
  <c r="F30" i="40"/>
  <c r="AA30" i="40" s="1"/>
  <c r="AC21" i="40"/>
  <c r="S31" i="39"/>
  <c r="S11" i="40"/>
  <c r="E98" i="40"/>
  <c r="F98" i="40"/>
  <c r="G98" i="40" s="1"/>
  <c r="H98" i="40"/>
  <c r="I98" i="40" s="1"/>
  <c r="J98" i="40" s="1"/>
  <c r="K98" i="40" s="1"/>
  <c r="L98" i="40" s="1"/>
  <c r="M98" i="40" s="1"/>
  <c r="F10" i="33"/>
  <c r="F34" i="33"/>
  <c r="S34" i="33" s="1"/>
  <c r="H34" i="33"/>
  <c r="U34" i="33" s="1"/>
  <c r="F35" i="33"/>
  <c r="F39" i="34"/>
  <c r="S39" i="34" s="1"/>
  <c r="J39" i="34"/>
  <c r="W39" i="34" s="1"/>
  <c r="F40" i="34"/>
  <c r="S40" i="34" s="1"/>
  <c r="F43" i="34"/>
  <c r="AA43" i="34" s="1"/>
  <c r="H44" i="34"/>
  <c r="AB44" i="34" s="1"/>
  <c r="AC38" i="39"/>
  <c r="F39" i="39"/>
  <c r="J39" i="39"/>
  <c r="AC39" i="39" s="1"/>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s="1"/>
  <c r="F32" i="37"/>
  <c r="AA32" i="37" s="1"/>
  <c r="G96" i="37"/>
  <c r="H96" i="37" s="1"/>
  <c r="I96" i="37"/>
  <c r="J96" i="37" s="1"/>
  <c r="K96" i="37" s="1"/>
  <c r="L96" i="37" s="1"/>
  <c r="M96" i="37" s="1"/>
  <c r="F20" i="36"/>
  <c r="AA20" i="36"/>
  <c r="J33" i="34"/>
  <c r="AC33" i="34" s="1"/>
  <c r="H23" i="39"/>
  <c r="U23" i="39" s="1"/>
  <c r="D48" i="9"/>
  <c r="M52" i="9" s="1"/>
  <c r="H82" i="43"/>
  <c r="K9" i="1"/>
  <c r="M9" i="1" s="1"/>
  <c r="AE9" i="1"/>
  <c r="D93" i="9"/>
  <c r="E12" i="6"/>
  <c r="K6" i="1"/>
  <c r="M6" i="1" s="1"/>
  <c r="O6" i="1" s="1"/>
  <c r="P6" i="1" s="1"/>
  <c r="AC26" i="33"/>
  <c r="W26" i="33"/>
  <c r="U34" i="36"/>
  <c r="U33" i="36"/>
  <c r="W12" i="39"/>
  <c r="AC39" i="40"/>
  <c r="W39" i="40"/>
  <c r="AZ401" i="3"/>
  <c r="AZ412" i="3"/>
  <c r="AZ417" i="3"/>
  <c r="AZ428" i="3"/>
  <c r="AZ433" i="3"/>
  <c r="AZ465" i="3"/>
  <c r="W12" i="33"/>
  <c r="AA32" i="36"/>
  <c r="AZ408" i="3"/>
  <c r="AZ437" i="3"/>
  <c r="AZ441" i="3"/>
  <c r="AZ457" i="3"/>
  <c r="AZ473" i="3"/>
  <c r="AZ490" i="3"/>
  <c r="F28" i="6"/>
  <c r="E28" i="6" s="1"/>
  <c r="BL14" i="3"/>
  <c r="AZ266" i="3"/>
  <c r="W28" i="37"/>
  <c r="F12" i="33"/>
  <c r="S12" i="33"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O12" i="1" s="1"/>
  <c r="P12" i="1" s="1"/>
  <c r="S13" i="1"/>
  <c r="AR13" i="1" s="1"/>
  <c r="R13" i="1"/>
  <c r="S11" i="1"/>
  <c r="R11" i="1"/>
  <c r="S9" i="1"/>
  <c r="AR9" i="1" s="1"/>
  <c r="R9" i="1"/>
  <c r="J51" i="67"/>
  <c r="C42" i="1"/>
  <c r="H100" i="43"/>
  <c r="C30" i="66"/>
  <c r="E26" i="66"/>
  <c r="AC34" i="33"/>
  <c r="AA34" i="33"/>
  <c r="B41" i="1"/>
  <c r="J100" i="43"/>
  <c r="AB37" i="40"/>
  <c r="S35" i="40"/>
  <c r="U35" i="40"/>
  <c r="AC36" i="40"/>
  <c r="AA32" i="40"/>
  <c r="S23" i="40"/>
  <c r="AC15" i="40"/>
  <c r="S30" i="40"/>
  <c r="AA19" i="40"/>
  <c r="S28" i="40"/>
  <c r="U21" i="40"/>
  <c r="AB19" i="40"/>
  <c r="W42" i="39"/>
  <c r="W39" i="39"/>
  <c r="S43" i="39"/>
  <c r="S37" i="39"/>
  <c r="U35" i="39"/>
  <c r="F32" i="39"/>
  <c r="AA32" i="39" s="1"/>
  <c r="G107" i="39"/>
  <c r="AB27" i="39"/>
  <c r="U31" i="39"/>
  <c r="S25" i="39"/>
  <c r="J21" i="39"/>
  <c r="F21" i="39"/>
  <c r="AA21" i="39" s="1"/>
  <c r="G95" i="39"/>
  <c r="H21" i="39"/>
  <c r="AB21" i="39" s="1"/>
  <c r="U19" i="39"/>
  <c r="AC15" i="39"/>
  <c r="S15" i="39"/>
  <c r="AB15" i="39"/>
  <c r="S9" i="39"/>
  <c r="AC13" i="39"/>
  <c r="S23" i="36"/>
  <c r="U13" i="36"/>
  <c r="AC27" i="36"/>
  <c r="AB27" i="36"/>
  <c r="U26" i="36"/>
  <c r="S33" i="36"/>
  <c r="S27" i="36"/>
  <c r="AA26" i="36"/>
  <c r="AA34" i="36"/>
  <c r="AC26" i="36"/>
  <c r="AA22" i="36"/>
  <c r="W14" i="36"/>
  <c r="U22" i="36"/>
  <c r="S16" i="36"/>
  <c r="AA25" i="36"/>
  <c r="U23" i="36"/>
  <c r="AB20" i="36"/>
  <c r="S14" i="36"/>
  <c r="W10" i="36"/>
  <c r="S23" i="35"/>
  <c r="U29" i="35"/>
  <c r="U28" i="35"/>
  <c r="AB27" i="35"/>
  <c r="U36" i="35"/>
  <c r="U32" i="35"/>
  <c r="AA33" i="35"/>
  <c r="S32" i="35"/>
  <c r="W32" i="35"/>
  <c r="S28" i="35"/>
  <c r="AB16" i="35"/>
  <c r="U22" i="35"/>
  <c r="S20" i="35"/>
  <c r="AC20" i="35"/>
  <c r="S22" i="35"/>
  <c r="AC10" i="35"/>
  <c r="AB10" i="35"/>
  <c r="AA11" i="35"/>
  <c r="S8" i="35"/>
  <c r="AC9" i="35"/>
  <c r="W9" i="35"/>
  <c r="AC12" i="35"/>
  <c r="F9" i="35"/>
  <c r="H9" i="35"/>
  <c r="AB9" i="35" s="1"/>
  <c r="F26" i="35"/>
  <c r="AA26" i="35"/>
  <c r="J26" i="35"/>
  <c r="H26" i="35"/>
  <c r="U26" i="35" s="1"/>
  <c r="AB40" i="37"/>
  <c r="S25" i="37"/>
  <c r="W27" i="37"/>
  <c r="S26" i="37"/>
  <c r="AC29" i="37"/>
  <c r="U29" i="37"/>
  <c r="S32" i="37"/>
  <c r="AB31" i="37"/>
  <c r="W30" i="37"/>
  <c r="AA38" i="37"/>
  <c r="U32" i="37"/>
  <c r="W38" i="37"/>
  <c r="AC35" i="37"/>
  <c r="S30" i="37"/>
  <c r="S37" i="37"/>
  <c r="AC15" i="37"/>
  <c r="J17" i="37"/>
  <c r="W17" i="37" s="1"/>
  <c r="G73" i="37"/>
  <c r="F17" i="37"/>
  <c r="AA17" i="37"/>
  <c r="F75" i="37"/>
  <c r="G75" i="37" s="1"/>
  <c r="F19" i="37"/>
  <c r="F79" i="37"/>
  <c r="F23" i="37"/>
  <c r="S23" i="37"/>
  <c r="U15" i="37"/>
  <c r="AC13" i="37"/>
  <c r="U9" i="37"/>
  <c r="AA13" i="37"/>
  <c r="AA12" i="37"/>
  <c r="H10" i="37"/>
  <c r="AB10" i="37" s="1"/>
  <c r="H60" i="37"/>
  <c r="F63" i="37"/>
  <c r="G63" i="37" s="1"/>
  <c r="F11" i="37"/>
  <c r="S11" i="37"/>
  <c r="AB8" i="34"/>
  <c r="U44" i="34"/>
  <c r="AC42" i="34"/>
  <c r="U39" i="34"/>
  <c r="W34" i="34"/>
  <c r="U28" i="34"/>
  <c r="S23" i="34"/>
  <c r="H10" i="34"/>
  <c r="F11" i="34"/>
  <c r="S11" i="34" s="1"/>
  <c r="W42" i="33"/>
  <c r="S27" i="33"/>
  <c r="S32" i="33"/>
  <c r="AA29" i="33"/>
  <c r="AB29" i="33"/>
  <c r="W38" i="33"/>
  <c r="H41" i="33"/>
  <c r="F121" i="33"/>
  <c r="G121" i="33" s="1"/>
  <c r="H121" i="33"/>
  <c r="I121" i="33" s="1"/>
  <c r="J121" i="33" s="1"/>
  <c r="K121" i="33" s="1"/>
  <c r="L121" i="33" s="1"/>
  <c r="M121" i="33" s="1"/>
  <c r="U42" i="33"/>
  <c r="F36" i="33"/>
  <c r="S36" i="33" s="1"/>
  <c r="G111" i="33"/>
  <c r="G108" i="33"/>
  <c r="H108" i="33" s="1"/>
  <c r="I108" i="33" s="1"/>
  <c r="J108" i="33" s="1"/>
  <c r="K108" i="33" s="1"/>
  <c r="L108" i="33" s="1"/>
  <c r="M108" i="33" s="1"/>
  <c r="J35" i="33"/>
  <c r="S37" i="33"/>
  <c r="AA37" i="33"/>
  <c r="S39" i="33"/>
  <c r="F101" i="33"/>
  <c r="G101" i="33"/>
  <c r="H101" i="33" s="1"/>
  <c r="I101" i="33"/>
  <c r="J101" i="33" s="1"/>
  <c r="K101" i="33" s="1"/>
  <c r="L101" i="33" s="1"/>
  <c r="M101" i="33" s="1"/>
  <c r="J32" i="33"/>
  <c r="W43" i="33"/>
  <c r="S43" i="33"/>
  <c r="H27" i="33"/>
  <c r="U27" i="33" s="1"/>
  <c r="F87" i="33"/>
  <c r="H25" i="33"/>
  <c r="U25" i="33" s="1"/>
  <c r="F25" i="33"/>
  <c r="J23" i="33"/>
  <c r="AC23" i="33" s="1"/>
  <c r="F85" i="33"/>
  <c r="H23" i="33"/>
  <c r="AB23" i="33" s="1"/>
  <c r="F81" i="33"/>
  <c r="F19" i="33"/>
  <c r="W19" i="33"/>
  <c r="J17" i="33"/>
  <c r="F79" i="33"/>
  <c r="G79" i="33" s="1"/>
  <c r="S15" i="33"/>
  <c r="W15" i="33"/>
  <c r="I66" i="33"/>
  <c r="J10" i="33"/>
  <c r="H10" i="33"/>
  <c r="U10" i="33" s="1"/>
  <c r="AC11" i="33"/>
  <c r="W36" i="21"/>
  <c r="W41" i="21"/>
  <c r="AB39" i="21"/>
  <c r="S39" i="21"/>
  <c r="AA36" i="21"/>
  <c r="F23" i="21"/>
  <c r="S23" i="21" s="1"/>
  <c r="E85" i="21"/>
  <c r="F85" i="21" s="1"/>
  <c r="G85" i="21" s="1"/>
  <c r="AC11" i="21"/>
  <c r="AB8" i="21"/>
  <c r="S8" i="21"/>
  <c r="M3" i="43"/>
  <c r="M1" i="43"/>
  <c r="N8" i="43"/>
  <c r="D120" i="9"/>
  <c r="C18" i="9"/>
  <c r="D18" i="9" s="1"/>
  <c r="F34" i="67"/>
  <c r="F62" i="67" s="1"/>
  <c r="M20" i="67"/>
  <c r="F34" i="15"/>
  <c r="F62" i="15" s="1"/>
  <c r="G13" i="3"/>
  <c r="BA13" i="3"/>
  <c r="E11" i="6"/>
  <c r="BL17" i="3"/>
  <c r="AZ17" i="3"/>
  <c r="BL13" i="3"/>
  <c r="J56" i="9"/>
  <c r="J57" i="9" s="1"/>
  <c r="J59" i="9" s="1"/>
  <c r="A24" i="51"/>
  <c r="B18" i="72" s="1"/>
  <c r="E14" i="6"/>
  <c r="P10" i="1"/>
  <c r="L19" i="6"/>
  <c r="G1" i="68"/>
  <c r="K1" i="12"/>
  <c r="E57" i="40"/>
  <c r="T12" i="1"/>
  <c r="E19" i="69"/>
  <c r="E19" i="68"/>
  <c r="E19" i="11"/>
  <c r="E1" i="73"/>
  <c r="G41" i="69"/>
  <c r="G22" i="69"/>
  <c r="G41" i="68"/>
  <c r="G22" i="68"/>
  <c r="G27" i="12"/>
  <c r="G26" i="12"/>
  <c r="G41" i="11"/>
  <c r="G22" i="11"/>
  <c r="G25" i="12"/>
  <c r="C100" i="43"/>
  <c r="E81" i="43"/>
  <c r="B79" i="43" s="1"/>
  <c r="E48" i="43"/>
  <c r="B46" i="43" s="1"/>
  <c r="F100" i="43"/>
  <c r="H17" i="43"/>
  <c r="D9" i="53"/>
  <c r="B25" i="72" s="1"/>
  <c r="B24" i="72"/>
  <c r="G6" i="1"/>
  <c r="H85" i="43"/>
  <c r="H84" i="43"/>
  <c r="H53" i="43"/>
  <c r="C17" i="43"/>
  <c r="F33" i="43"/>
  <c r="K17" i="43"/>
  <c r="F34" i="43"/>
  <c r="N6" i="43"/>
  <c r="N3" i="43"/>
  <c r="F38" i="43"/>
  <c r="F37" i="43"/>
  <c r="M9" i="43"/>
  <c r="N5" i="43"/>
  <c r="M12" i="43"/>
  <c r="B19" i="53"/>
  <c r="B37" i="72" s="1"/>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C52" i="37"/>
  <c r="D52" i="37" s="1"/>
  <c r="E52" i="37" s="1"/>
  <c r="F52" i="37" s="1"/>
  <c r="A4" i="51"/>
  <c r="B6" i="72" s="1"/>
  <c r="C4" i="12"/>
  <c r="H55" i="43"/>
  <c r="E62" i="39"/>
  <c r="B6" i="1"/>
  <c r="E6" i="1" s="1"/>
  <c r="S8" i="1"/>
  <c r="AR8" i="1" s="1"/>
  <c r="K11" i="1"/>
  <c r="M11" i="1" s="1"/>
  <c r="AP6" i="1"/>
  <c r="B9" i="1"/>
  <c r="E9" i="1"/>
  <c r="G1" i="15"/>
  <c r="G1" i="69"/>
  <c r="G1" i="67"/>
  <c r="W23" i="40"/>
  <c r="U32" i="40"/>
  <c r="S37" i="40"/>
  <c r="W28" i="40"/>
  <c r="W34" i="40"/>
  <c r="W19" i="40"/>
  <c r="S36" i="40"/>
  <c r="W37" i="40"/>
  <c r="S13" i="40"/>
  <c r="S33" i="40"/>
  <c r="U11" i="40"/>
  <c r="AB13" i="40"/>
  <c r="AB17" i="40"/>
  <c r="U8" i="40"/>
  <c r="S8" i="40"/>
  <c r="AC41" i="39"/>
  <c r="AB23" i="39"/>
  <c r="U41" i="39"/>
  <c r="AB41" i="39"/>
  <c r="AC25" i="39"/>
  <c r="AB13" i="39"/>
  <c r="AA13" i="39"/>
  <c r="S13" i="39"/>
  <c r="AA14" i="39"/>
  <c r="U43" i="39"/>
  <c r="AB43" i="39"/>
  <c r="U11" i="39"/>
  <c r="AA27" i="39"/>
  <c r="S27" i="39"/>
  <c r="W17" i="39"/>
  <c r="AC17" i="39"/>
  <c r="AC31" i="39"/>
  <c r="S23" i="39"/>
  <c r="AA45" i="39"/>
  <c r="AB39" i="39"/>
  <c r="W34" i="39"/>
  <c r="U38" i="39"/>
  <c r="S8" i="39"/>
  <c r="S20" i="36"/>
  <c r="AC25" i="36"/>
  <c r="U32" i="36"/>
  <c r="W29" i="36"/>
  <c r="AC20" i="36"/>
  <c r="U25" i="36"/>
  <c r="AB28" i="36"/>
  <c r="W9" i="36"/>
  <c r="W22" i="36"/>
  <c r="W23" i="36"/>
  <c r="S9" i="36"/>
  <c r="AB20" i="35"/>
  <c r="W33" i="35"/>
  <c r="AA30" i="35"/>
  <c r="U24" i="35"/>
  <c r="W35" i="35"/>
  <c r="AA16" i="35"/>
  <c r="AA35" i="37"/>
  <c r="S27" i="37"/>
  <c r="S28" i="37"/>
  <c r="W32" i="37"/>
  <c r="S40" i="37"/>
  <c r="U38" i="37"/>
  <c r="AB37" i="37"/>
  <c r="S33" i="37"/>
  <c r="AC34" i="37"/>
  <c r="AB35" i="37"/>
  <c r="AA11" i="37"/>
  <c r="U19" i="37"/>
  <c r="AA29" i="37"/>
  <c r="AA8" i="37"/>
  <c r="U8" i="37"/>
  <c r="AA40" i="34"/>
  <c r="AB40" i="34"/>
  <c r="W19" i="34"/>
  <c r="AA30" i="34"/>
  <c r="AB45" i="34"/>
  <c r="W33" i="34"/>
  <c r="AC14" i="34"/>
  <c r="AC32" i="34"/>
  <c r="W46" i="34"/>
  <c r="S32" i="34"/>
  <c r="U30" i="34"/>
  <c r="U38" i="34"/>
  <c r="W40" i="34"/>
  <c r="AA8" i="34"/>
  <c r="S8" i="34"/>
  <c r="AB9" i="34"/>
  <c r="U9" i="34"/>
  <c r="S46" i="34"/>
  <c r="AA46" i="34"/>
  <c r="U32" i="34"/>
  <c r="AB32" i="34"/>
  <c r="U14" i="34"/>
  <c r="AB14" i="34"/>
  <c r="AC43" i="34"/>
  <c r="W43" i="34"/>
  <c r="AA11" i="34"/>
  <c r="W23" i="34"/>
  <c r="AC23" i="34"/>
  <c r="AC35" i="34"/>
  <c r="U12" i="34"/>
  <c r="AB12" i="34"/>
  <c r="AB28" i="33"/>
  <c r="AC37" i="33"/>
  <c r="W46" i="33"/>
  <c r="U39" i="33"/>
  <c r="U38" i="33"/>
  <c r="AB34" i="33"/>
  <c r="AB44" i="33"/>
  <c r="AA30" i="33"/>
  <c r="W30" i="33"/>
  <c r="AA31" i="33"/>
  <c r="AC13" i="33"/>
  <c r="S11" i="33"/>
  <c r="AC28" i="33"/>
  <c r="S28" i="33"/>
  <c r="W9" i="33"/>
  <c r="S44" i="21"/>
  <c r="AA11" i="21"/>
  <c r="F33" i="21"/>
  <c r="S33" i="21" s="1"/>
  <c r="J33" i="21"/>
  <c r="W33" i="21" s="1"/>
  <c r="H33" i="21"/>
  <c r="AB14" i="21"/>
  <c r="AB46" i="21"/>
  <c r="U40" i="21"/>
  <c r="AB31" i="21"/>
  <c r="U31" i="21"/>
  <c r="U13" i="21"/>
  <c r="AB13" i="21"/>
  <c r="W8" i="21"/>
  <c r="W39" i="21"/>
  <c r="AC14" i="21"/>
  <c r="S46" i="21"/>
  <c r="F29" i="21"/>
  <c r="S29" i="21" s="1"/>
  <c r="F13" i="21"/>
  <c r="AA13" i="21" s="1"/>
  <c r="AC38" i="21"/>
  <c r="H32" i="21"/>
  <c r="AB32" i="21" s="1"/>
  <c r="H9" i="21"/>
  <c r="AB9" i="21" s="1"/>
  <c r="J9" i="21"/>
  <c r="J32" i="21"/>
  <c r="AC32" i="21" s="1"/>
  <c r="F32" i="21"/>
  <c r="S32" i="21" s="1"/>
  <c r="AA31" i="21"/>
  <c r="S19" i="21"/>
  <c r="S9" i="21"/>
  <c r="AA9" i="21"/>
  <c r="K141" i="21"/>
  <c r="K144" i="21"/>
  <c r="K143" i="21"/>
  <c r="AB44" i="21"/>
  <c r="W13" i="21"/>
  <c r="F10" i="21"/>
  <c r="S10" i="21" s="1"/>
  <c r="K145" i="21"/>
  <c r="S27" i="21"/>
  <c r="AC27" i="21"/>
  <c r="S28" i="21"/>
  <c r="AC34" i="21"/>
  <c r="W12" i="21"/>
  <c r="C19" i="39"/>
  <c r="C15" i="40"/>
  <c r="C17" i="40"/>
  <c r="C23" i="40"/>
  <c r="C21" i="40"/>
  <c r="U30" i="40"/>
  <c r="B54" i="43"/>
  <c r="B65" i="43"/>
  <c r="B49" i="43"/>
  <c r="B52" i="43"/>
  <c r="B56" i="43"/>
  <c r="B60" i="43"/>
  <c r="B63" i="43"/>
  <c r="B67" i="43"/>
  <c r="D23" i="15"/>
  <c r="D22" i="15"/>
  <c r="AZ13" i="3"/>
  <c r="D19" i="12"/>
  <c r="C19" i="12" s="1"/>
  <c r="T13" i="1"/>
  <c r="AA39" i="40"/>
  <c r="S39" i="40"/>
  <c r="AA12" i="33"/>
  <c r="J32" i="39"/>
  <c r="H107" i="39"/>
  <c r="I107" i="39" s="1"/>
  <c r="J107" i="39"/>
  <c r="K107" i="39" s="1"/>
  <c r="L107" i="39" s="1"/>
  <c r="M107" i="39" s="1"/>
  <c r="H32" i="39"/>
  <c r="AB32" i="39" s="1"/>
  <c r="S32" i="39"/>
  <c r="U21" i="39"/>
  <c r="S21" i="39"/>
  <c r="AC21" i="39"/>
  <c r="W21" i="39"/>
  <c r="S26" i="35"/>
  <c r="U9" i="35"/>
  <c r="AA9" i="35"/>
  <c r="S9" i="35"/>
  <c r="AC26" i="35"/>
  <c r="W26" i="35"/>
  <c r="AB26" i="35"/>
  <c r="S17" i="37"/>
  <c r="J19" i="37"/>
  <c r="AC19" i="37" s="1"/>
  <c r="S19" i="37"/>
  <c r="AA19" i="37"/>
  <c r="AA23" i="37"/>
  <c r="J23" i="37"/>
  <c r="G79" i="37"/>
  <c r="J10" i="37"/>
  <c r="I60" i="37"/>
  <c r="H11" i="37"/>
  <c r="U11" i="37" s="1"/>
  <c r="U10" i="37"/>
  <c r="H11" i="34"/>
  <c r="AB10" i="34"/>
  <c r="U10" i="34"/>
  <c r="J10" i="34"/>
  <c r="W10" i="34" s="1"/>
  <c r="AB41" i="33"/>
  <c r="U41" i="33"/>
  <c r="W35" i="33"/>
  <c r="AC35" i="33"/>
  <c r="H111" i="33"/>
  <c r="I111" i="33"/>
  <c r="J111" i="33" s="1"/>
  <c r="K111" i="33" s="1"/>
  <c r="L111" i="33" s="1"/>
  <c r="M111" i="33" s="1"/>
  <c r="J36" i="33"/>
  <c r="H36" i="33"/>
  <c r="AB36" i="33" s="1"/>
  <c r="AC32" i="33"/>
  <c r="W32" i="33"/>
  <c r="AB27" i="33"/>
  <c r="H91" i="33"/>
  <c r="I91" i="33" s="1"/>
  <c r="J91" i="33"/>
  <c r="K91" i="33" s="1"/>
  <c r="L91" i="33" s="1"/>
  <c r="M91" i="33" s="1"/>
  <c r="J27" i="33"/>
  <c r="AC27" i="33" s="1"/>
  <c r="AB25" i="33"/>
  <c r="S25" i="33"/>
  <c r="AA25" i="33"/>
  <c r="G87" i="33"/>
  <c r="H87" i="33"/>
  <c r="I87" i="33" s="1"/>
  <c r="J87" i="33"/>
  <c r="K87" i="33" s="1"/>
  <c r="L87" i="33" s="1"/>
  <c r="M87" i="33" s="1"/>
  <c r="J25" i="33"/>
  <c r="AC25" i="33" s="1"/>
  <c r="U23" i="33"/>
  <c r="F23" i="33"/>
  <c r="G85" i="33"/>
  <c r="W23" i="33"/>
  <c r="H19" i="33"/>
  <c r="U19" i="33" s="1"/>
  <c r="G81" i="33"/>
  <c r="H17" i="33"/>
  <c r="F17" i="33"/>
  <c r="S17" i="33" s="1"/>
  <c r="W17" i="33"/>
  <c r="AC17" i="33"/>
  <c r="AB10" i="33"/>
  <c r="AC10" i="33"/>
  <c r="W10" i="33"/>
  <c r="J23" i="21"/>
  <c r="W23" i="21" s="1"/>
  <c r="H23" i="21"/>
  <c r="AB23" i="21" s="1"/>
  <c r="D6" i="52"/>
  <c r="D121" i="9"/>
  <c r="D7" i="52" s="1"/>
  <c r="K120" i="9"/>
  <c r="K14" i="1"/>
  <c r="M14" i="1" s="1"/>
  <c r="J61" i="9"/>
  <c r="AC33" i="21"/>
  <c r="AA33" i="21"/>
  <c r="W9" i="21"/>
  <c r="AC9" i="21"/>
  <c r="A18" i="62"/>
  <c r="B64" i="72" s="1"/>
  <c r="AC32" i="39"/>
  <c r="W32" i="39"/>
  <c r="W19" i="37"/>
  <c r="W23" i="37"/>
  <c r="AC23" i="37"/>
  <c r="AB11" i="37"/>
  <c r="H63" i="37"/>
  <c r="I63" i="37" s="1"/>
  <c r="J63" i="37" s="1"/>
  <c r="K63" i="37" s="1"/>
  <c r="L63" i="37" s="1"/>
  <c r="M63" i="37" s="1"/>
  <c r="J11" i="37"/>
  <c r="W11" i="37" s="1"/>
  <c r="W10" i="37"/>
  <c r="AC10" i="37"/>
  <c r="U11" i="34"/>
  <c r="AB11" i="34"/>
  <c r="J11" i="34"/>
  <c r="W11" i="34" s="1"/>
  <c r="AC36" i="33"/>
  <c r="W36" i="33"/>
  <c r="W27" i="33"/>
  <c r="AA23" i="33"/>
  <c r="S23" i="33"/>
  <c r="AB19" i="33"/>
  <c r="AA17" i="33"/>
  <c r="U17" i="33"/>
  <c r="AB17" i="33"/>
  <c r="AC11" i="37"/>
  <c r="F34" i="11"/>
  <c r="F11" i="12"/>
  <c r="F34" i="68"/>
  <c r="R8" i="1"/>
  <c r="AE8" i="1"/>
  <c r="AG6" i="1"/>
  <c r="H109" i="9"/>
  <c r="H110" i="9"/>
  <c r="D18" i="53" s="1"/>
  <c r="B35" i="72" s="1"/>
  <c r="D16" i="53"/>
  <c r="J7" i="33"/>
  <c r="W7" i="33" s="1"/>
  <c r="F7" i="33"/>
  <c r="S7" i="33" s="1"/>
  <c r="H7" i="33"/>
  <c r="AB7" i="33" s="1"/>
  <c r="T48" i="33" s="1"/>
  <c r="G48" i="33" s="1"/>
  <c r="H112" i="9"/>
  <c r="D21" i="53" s="1"/>
  <c r="B39" i="72" s="1"/>
  <c r="H111" i="9"/>
  <c r="D126" i="9" s="1"/>
  <c r="D59" i="9"/>
  <c r="M55" i="9" s="1"/>
  <c r="AD3" i="71"/>
  <c r="E2" i="68"/>
  <c r="AO13" i="1"/>
  <c r="B9" i="76"/>
  <c r="B11" i="76"/>
  <c r="E9" i="76"/>
  <c r="D2" i="34"/>
  <c r="D2" i="36"/>
  <c r="F6" i="73"/>
  <c r="AO10" i="1"/>
  <c r="AO9" i="1"/>
  <c r="AO12" i="1"/>
  <c r="F20" i="31"/>
  <c r="D2" i="21"/>
  <c r="E12" i="76"/>
  <c r="AO11" i="1"/>
  <c r="E8" i="76"/>
  <c r="M23" i="15"/>
  <c r="D2" i="35"/>
  <c r="F5" i="73"/>
  <c r="M8" i="67"/>
  <c r="M23" i="67"/>
  <c r="F3" i="73"/>
  <c r="D2" i="37"/>
  <c r="M29" i="67"/>
  <c r="M28" i="67"/>
  <c r="F7" i="73"/>
  <c r="L48" i="67"/>
  <c r="L48" i="15"/>
  <c r="E7" i="76"/>
  <c r="F38" i="15"/>
  <c r="F9" i="67"/>
  <c r="B13" i="76"/>
  <c r="M9" i="15"/>
  <c r="F38" i="67"/>
  <c r="B12" i="76"/>
  <c r="B8" i="76"/>
  <c r="E13" i="76"/>
  <c r="D2" i="33"/>
  <c r="F9" i="15"/>
  <c r="E11" i="76"/>
  <c r="F8" i="67"/>
  <c r="B10" i="76"/>
  <c r="F8" i="15"/>
  <c r="B7" i="76"/>
  <c r="M22" i="67"/>
  <c r="C76" i="15"/>
  <c r="F37" i="67"/>
  <c r="M27" i="15"/>
  <c r="M24" i="67"/>
  <c r="AO8" i="1"/>
  <c r="E10" i="76"/>
  <c r="F7" i="67"/>
  <c r="F4" i="73"/>
  <c r="E2" i="69"/>
  <c r="M28" i="15"/>
  <c r="F43" i="67"/>
  <c r="F40" i="67"/>
  <c r="AQ11" i="1" l="1"/>
  <c r="AR11" i="1"/>
  <c r="AQ10" i="1"/>
  <c r="T10" i="1"/>
  <c r="S35" i="33"/>
  <c r="AA35" i="33"/>
  <c r="S27" i="40"/>
  <c r="AA27" i="40"/>
  <c r="U27" i="40"/>
  <c r="AB27" i="40"/>
  <c r="H52" i="43"/>
  <c r="H56" i="43"/>
  <c r="H83" i="43"/>
  <c r="H81" i="43"/>
  <c r="H88" i="43"/>
  <c r="AB25" i="39"/>
  <c r="U25" i="39"/>
  <c r="S12" i="39"/>
  <c r="AA12" i="39"/>
  <c r="S36" i="35"/>
  <c r="AA36" i="35"/>
  <c r="U31" i="40"/>
  <c r="AB31" i="40"/>
  <c r="S10" i="35"/>
  <c r="AA10" i="35"/>
  <c r="U41" i="34"/>
  <c r="AB41" i="34"/>
  <c r="U35" i="34"/>
  <c r="AB35" i="34"/>
  <c r="AB43" i="33"/>
  <c r="U43" i="33"/>
  <c r="AZ557" i="3"/>
  <c r="AZ495" i="3"/>
  <c r="AZ499" i="3"/>
  <c r="AZ513" i="3"/>
  <c r="AZ517" i="3"/>
  <c r="AZ581" i="3"/>
  <c r="AZ518" i="3"/>
  <c r="AZ522" i="3"/>
  <c r="AB36" i="37"/>
  <c r="U36" i="37"/>
  <c r="U14" i="36"/>
  <c r="AB14" i="36"/>
  <c r="AB10" i="36"/>
  <c r="U10" i="36"/>
  <c r="W46" i="21"/>
  <c r="AC46" i="21"/>
  <c r="AB28" i="21"/>
  <c r="U28" i="21"/>
  <c r="S14" i="21"/>
  <c r="AA14" i="21"/>
  <c r="AB15" i="33"/>
  <c r="U15" i="33"/>
  <c r="S15" i="40"/>
  <c r="AA15" i="40"/>
  <c r="AA17" i="40"/>
  <c r="S17" i="40"/>
  <c r="U28" i="40"/>
  <c r="AB28" i="40"/>
  <c r="AB14" i="35"/>
  <c r="U14" i="35"/>
  <c r="AA14" i="35"/>
  <c r="S14" i="35"/>
  <c r="AA24" i="36"/>
  <c r="S24" i="36"/>
  <c r="AB16" i="36"/>
  <c r="U16" i="36"/>
  <c r="W30" i="35"/>
  <c r="AC30" i="35"/>
  <c r="AA26" i="33"/>
  <c r="S26" i="33"/>
  <c r="AB39" i="37"/>
  <c r="U39" i="37"/>
  <c r="B34" i="72"/>
  <c r="D17" i="53"/>
  <c r="B36" i="72" s="1"/>
  <c r="M49" i="9"/>
  <c r="D124" i="9"/>
  <c r="W25" i="33"/>
  <c r="U36" i="33"/>
  <c r="U32" i="39"/>
  <c r="S13" i="21"/>
  <c r="AA36" i="33"/>
  <c r="AC17" i="37"/>
  <c r="AB33" i="21"/>
  <c r="U33" i="21"/>
  <c r="S19" i="33"/>
  <c r="AA19" i="33"/>
  <c r="AQ12" i="1"/>
  <c r="AR12" i="1"/>
  <c r="S39" i="39"/>
  <c r="AA39" i="39"/>
  <c r="S10" i="33"/>
  <c r="AA10" i="33"/>
  <c r="AC30" i="40"/>
  <c r="W30" i="40"/>
  <c r="AC27" i="40"/>
  <c r="W27" i="40"/>
  <c r="E15" i="6"/>
  <c r="E13" i="6"/>
  <c r="E10" i="6"/>
  <c r="AZ321" i="3"/>
  <c r="AZ362" i="3"/>
  <c r="AA11" i="39"/>
  <c r="S11" i="39"/>
  <c r="AB37" i="39"/>
  <c r="U37" i="39"/>
  <c r="S31" i="37"/>
  <c r="AA31" i="37"/>
  <c r="AB12" i="37"/>
  <c r="U12" i="37"/>
  <c r="S9" i="37"/>
  <c r="AA9" i="37"/>
  <c r="W9" i="37"/>
  <c r="AC9" i="37"/>
  <c r="AA31" i="40"/>
  <c r="S31" i="40"/>
  <c r="AA36" i="37"/>
  <c r="S36" i="37"/>
  <c r="AB23" i="37"/>
  <c r="U23" i="37"/>
  <c r="AA24" i="35"/>
  <c r="S24" i="35"/>
  <c r="AA42" i="33"/>
  <c r="S42" i="33"/>
  <c r="U17" i="37"/>
  <c r="AB17" i="37"/>
  <c r="AC5" i="3"/>
  <c r="G509" i="3"/>
  <c r="AA17" i="21"/>
  <c r="S17" i="21"/>
  <c r="AC36" i="37"/>
  <c r="W36" i="37"/>
  <c r="AB30" i="33"/>
  <c r="U30" i="33"/>
  <c r="S13" i="36"/>
  <c r="AA13" i="36"/>
  <c r="AA45" i="21"/>
  <c r="S45" i="21"/>
  <c r="AC31" i="21"/>
  <c r="W31" i="21"/>
  <c r="AA28" i="36"/>
  <c r="S28" i="36"/>
  <c r="AB11" i="33"/>
  <c r="U11" i="33"/>
  <c r="AB37" i="33"/>
  <c r="U37" i="33"/>
  <c r="AA17" i="34"/>
  <c r="S17" i="34"/>
  <c r="AB15" i="40"/>
  <c r="U15" i="40"/>
  <c r="W17" i="40"/>
  <c r="AC17" i="40"/>
  <c r="AC19" i="39"/>
  <c r="W19" i="39"/>
  <c r="AB42" i="39"/>
  <c r="U42" i="39"/>
  <c r="AA21" i="40"/>
  <c r="S21" i="40"/>
  <c r="AA17" i="39"/>
  <c r="S17" i="39"/>
  <c r="AA19" i="39"/>
  <c r="S19" i="39"/>
  <c r="AA42" i="39"/>
  <c r="S42" i="39"/>
  <c r="AA29" i="36"/>
  <c r="S29" i="36"/>
  <c r="AC15" i="34"/>
  <c r="W15" i="34"/>
  <c r="BL547" i="3"/>
  <c r="AZ547" i="3" s="1"/>
  <c r="AZ545" i="3"/>
  <c r="BL543" i="3"/>
  <c r="AZ543" i="3" s="1"/>
  <c r="AZ541" i="3"/>
  <c r="BL539" i="3"/>
  <c r="AZ539" i="3" s="1"/>
  <c r="AZ537" i="3"/>
  <c r="BL535" i="3"/>
  <c r="AZ535" i="3" s="1"/>
  <c r="AZ533" i="3"/>
  <c r="BL531" i="3"/>
  <c r="AZ531" i="3" s="1"/>
  <c r="AZ529" i="3"/>
  <c r="BL527" i="3"/>
  <c r="AZ527" i="3" s="1"/>
  <c r="W12" i="34"/>
  <c r="AC12" i="34"/>
  <c r="E109" i="34"/>
  <c r="F109" i="34" s="1"/>
  <c r="G109" i="34" s="1"/>
  <c r="H109" i="34" s="1"/>
  <c r="I109" i="34" s="1"/>
  <c r="J109" i="34" s="1"/>
  <c r="K109" i="34" s="1"/>
  <c r="L109" i="34" s="1"/>
  <c r="M109" i="34" s="1"/>
  <c r="F36" i="34"/>
  <c r="H36" i="34"/>
  <c r="AA34" i="35"/>
  <c r="S34" i="35"/>
  <c r="AC26" i="21"/>
  <c r="AC45" i="21"/>
  <c r="W29" i="21"/>
  <c r="H45" i="21"/>
  <c r="J17" i="21"/>
  <c r="W8" i="33"/>
  <c r="S33" i="33"/>
  <c r="U9" i="33"/>
  <c r="W24" i="35"/>
  <c r="F30" i="68"/>
  <c r="D68" i="80"/>
  <c r="F54" i="80"/>
  <c r="F53" i="80"/>
  <c r="F52" i="80"/>
  <c r="H12" i="39"/>
  <c r="AC14" i="35"/>
  <c r="BN5" i="3"/>
  <c r="G29" i="6" s="1"/>
  <c r="G30" i="6" s="1"/>
  <c r="G31" i="6" s="1"/>
  <c r="H19" i="34"/>
  <c r="AB19" i="34" s="1"/>
  <c r="H17" i="21"/>
  <c r="AB17" i="21" s="1"/>
  <c r="J14" i="37"/>
  <c r="F14" i="40"/>
  <c r="J14" i="40"/>
  <c r="F14" i="37"/>
  <c r="H12" i="40"/>
  <c r="F12" i="40"/>
  <c r="H35" i="35"/>
  <c r="F35" i="35"/>
  <c r="H25" i="35"/>
  <c r="F25" i="35"/>
  <c r="H13" i="35"/>
  <c r="J13" i="35"/>
  <c r="J47" i="34"/>
  <c r="F47" i="34"/>
  <c r="F45" i="34"/>
  <c r="J45" i="34"/>
  <c r="F31" i="34"/>
  <c r="H31" i="34"/>
  <c r="F29" i="34"/>
  <c r="S29" i="34" s="1"/>
  <c r="F13" i="34"/>
  <c r="J13" i="34"/>
  <c r="H46" i="33"/>
  <c r="F46" i="33"/>
  <c r="F44" i="33"/>
  <c r="J14" i="33"/>
  <c r="F14" i="33"/>
  <c r="H27" i="21"/>
  <c r="AB27" i="21" s="1"/>
  <c r="J30" i="21"/>
  <c r="F30" i="21"/>
  <c r="J36" i="34"/>
  <c r="W36" i="34" s="1"/>
  <c r="W34" i="35"/>
  <c r="BL585" i="3"/>
  <c r="AZ585" i="3" s="1"/>
  <c r="F40" i="21"/>
  <c r="AA40" i="21" s="1"/>
  <c r="J40" i="21"/>
  <c r="B71" i="43"/>
  <c r="C21" i="39"/>
  <c r="H12" i="33"/>
  <c r="AB33" i="33"/>
  <c r="U33" i="33"/>
  <c r="AA38" i="33"/>
  <c r="S38" i="33"/>
  <c r="AC39" i="33"/>
  <c r="W39" i="33"/>
  <c r="AC9" i="34"/>
  <c r="W9" i="34"/>
  <c r="AB34" i="34"/>
  <c r="U34" i="34"/>
  <c r="E124" i="34"/>
  <c r="F124" i="34" s="1"/>
  <c r="G124" i="34" s="1"/>
  <c r="H124" i="34" s="1"/>
  <c r="I124" i="34" s="1"/>
  <c r="J124" i="34" s="1"/>
  <c r="K124" i="34" s="1"/>
  <c r="L124" i="34" s="1"/>
  <c r="M124" i="34" s="1"/>
  <c r="H43" i="34"/>
  <c r="G67" i="34"/>
  <c r="H67" i="34" s="1"/>
  <c r="I67" i="34" s="1"/>
  <c r="F10" i="34"/>
  <c r="AC36" i="35"/>
  <c r="W36" i="35"/>
  <c r="H23" i="35"/>
  <c r="J23" i="35"/>
  <c r="AB14" i="37"/>
  <c r="AA34" i="39"/>
  <c r="S34" i="39"/>
  <c r="F38" i="40"/>
  <c r="J38" i="40"/>
  <c r="H38" i="40"/>
  <c r="BA551" i="3"/>
  <c r="AZ551" i="3" s="1"/>
  <c r="AA8" i="33"/>
  <c r="S8" i="33"/>
  <c r="E78" i="34"/>
  <c r="F78" i="34" s="1"/>
  <c r="G78" i="34" s="1"/>
  <c r="F15" i="34"/>
  <c r="H15" i="34"/>
  <c r="AB15" i="34" s="1"/>
  <c r="E82" i="34"/>
  <c r="F82" i="34" s="1"/>
  <c r="G82" i="34" s="1"/>
  <c r="F19" i="34"/>
  <c r="J12" i="36"/>
  <c r="H12" i="36"/>
  <c r="F12" i="36"/>
  <c r="J24" i="36"/>
  <c r="H24" i="36"/>
  <c r="AB31" i="36"/>
  <c r="U31" i="36"/>
  <c r="J39" i="37"/>
  <c r="F39" i="37"/>
  <c r="AC32" i="40"/>
  <c r="W32" i="40"/>
  <c r="I4" i="6"/>
  <c r="G3" i="43" s="1"/>
  <c r="F20" i="6"/>
  <c r="BL550" i="3"/>
  <c r="AZ550" i="3" s="1"/>
  <c r="AZ398" i="3"/>
  <c r="AZ405" i="3"/>
  <c r="AZ407" i="3"/>
  <c r="AZ410" i="3"/>
  <c r="AZ415" i="3"/>
  <c r="AZ420" i="3"/>
  <c r="AZ472" i="3"/>
  <c r="AZ476" i="3"/>
  <c r="AZ489" i="3"/>
  <c r="AZ316" i="3"/>
  <c r="AZ332" i="3"/>
  <c r="AZ397" i="3"/>
  <c r="AZ424" i="3"/>
  <c r="AZ429" i="3"/>
  <c r="AZ439" i="3"/>
  <c r="AZ449" i="3"/>
  <c r="AZ452" i="3"/>
  <c r="AZ461" i="3"/>
  <c r="AZ463" i="3"/>
  <c r="AZ468" i="3"/>
  <c r="AZ480" i="3"/>
  <c r="AZ482" i="3"/>
  <c r="AZ485" i="3"/>
  <c r="AZ385" i="3"/>
  <c r="AZ210" i="3"/>
  <c r="AZ231" i="3"/>
  <c r="D78" i="9"/>
  <c r="D78" i="80"/>
  <c r="D93" i="80"/>
  <c r="AZ255" i="3"/>
  <c r="AZ267" i="3"/>
  <c r="AZ282" i="3"/>
  <c r="AZ285" i="3"/>
  <c r="AZ292" i="3"/>
  <c r="AZ302" i="3"/>
  <c r="AZ113" i="3"/>
  <c r="AZ129" i="3"/>
  <c r="AZ141" i="3"/>
  <c r="AZ23" i="3"/>
  <c r="AZ27" i="3"/>
  <c r="AZ52" i="3"/>
  <c r="AZ56" i="3"/>
  <c r="AZ68" i="3"/>
  <c r="AZ73" i="3"/>
  <c r="AZ87" i="3"/>
  <c r="BA18" i="3"/>
  <c r="AZ99" i="3"/>
  <c r="AZ103" i="3"/>
  <c r="AZ106" i="3"/>
  <c r="F3" i="35"/>
  <c r="D58" i="85"/>
  <c r="E58" i="85" s="1"/>
  <c r="F58" i="85" s="1"/>
  <c r="G58" i="85" s="1"/>
  <c r="H58" i="85" s="1"/>
  <c r="I58" i="85" s="1"/>
  <c r="J58" i="85" s="1"/>
  <c r="K58" i="85" s="1"/>
  <c r="L58" i="85" s="1"/>
  <c r="M58" i="85" s="1"/>
  <c r="N58" i="85" s="1"/>
  <c r="O58" i="85" s="1"/>
  <c r="F7" i="85"/>
  <c r="J7" i="85"/>
  <c r="H7" i="85"/>
  <c r="U21" i="21"/>
  <c r="AB21" i="21"/>
  <c r="D51" i="71"/>
  <c r="T51" i="71"/>
  <c r="P52" i="71"/>
  <c r="P53" i="71"/>
  <c r="G1" i="77"/>
  <c r="K108" i="43"/>
  <c r="K100" i="43"/>
  <c r="W21" i="33"/>
  <c r="AA21" i="33"/>
  <c r="S21" i="37"/>
  <c r="C27" i="71"/>
  <c r="D26" i="71"/>
  <c r="M19" i="43"/>
  <c r="U27" i="71"/>
  <c r="T15" i="71"/>
  <c r="D15" i="71"/>
  <c r="U15" i="71" s="1"/>
  <c r="C14" i="71"/>
  <c r="C31" i="71"/>
  <c r="D30" i="71"/>
  <c r="S18" i="35"/>
  <c r="S25" i="40"/>
  <c r="V15" i="71"/>
  <c r="AA15" i="71"/>
  <c r="AA13" i="71"/>
  <c r="AB15" i="71"/>
  <c r="AB13" i="71"/>
  <c r="C74" i="71"/>
  <c r="E66" i="71"/>
  <c r="E65" i="71" s="1"/>
  <c r="E58" i="71"/>
  <c r="E57" i="71" s="1"/>
  <c r="D33" i="71"/>
  <c r="X15" i="71"/>
  <c r="Y15" i="71"/>
  <c r="Z15" i="71" s="1"/>
  <c r="Y14" i="71"/>
  <c r="Z14" i="71" s="1"/>
  <c r="Y13" i="71"/>
  <c r="Z13" i="71" s="1"/>
  <c r="Y12" i="71"/>
  <c r="Z12" i="71" s="1"/>
  <c r="AA23" i="71"/>
  <c r="AB20" i="71"/>
  <c r="Y20" i="71"/>
  <c r="Z20" i="71" s="1"/>
  <c r="X19" i="71"/>
  <c r="X24" i="71"/>
  <c r="AA16" i="71"/>
  <c r="S55" i="71"/>
  <c r="B54" i="71"/>
  <c r="AB11" i="71"/>
  <c r="AA10" i="71"/>
  <c r="X5" i="71"/>
  <c r="X26" i="71"/>
  <c r="Y5" i="71"/>
  <c r="AA5" i="71"/>
  <c r="N56" i="80"/>
  <c r="K56" i="80"/>
  <c r="M56" i="80"/>
  <c r="J56" i="80"/>
  <c r="J57" i="80" s="1"/>
  <c r="J59" i="80" s="1"/>
  <c r="J61" i="80" s="1"/>
  <c r="M56" i="9"/>
  <c r="P61" i="67"/>
  <c r="P74" i="67"/>
  <c r="Y10" i="71"/>
  <c r="Z10" i="71" s="1"/>
  <c r="X11" i="71"/>
  <c r="AB10" i="71"/>
  <c r="Y8" i="71"/>
  <c r="Z8" i="71" s="1"/>
  <c r="AB8" i="71"/>
  <c r="AB5" i="71"/>
  <c r="Y9" i="71"/>
  <c r="Z9" i="71" s="1"/>
  <c r="X9" i="71"/>
  <c r="AA9" i="71"/>
  <c r="X8" i="71"/>
  <c r="AA8" i="71"/>
  <c r="U27" i="34"/>
  <c r="P61" i="15"/>
  <c r="J53" i="15"/>
  <c r="L56" i="15" s="1"/>
  <c r="AB29" i="21"/>
  <c r="AA29" i="21"/>
  <c r="W44" i="21"/>
  <c r="AB25" i="21"/>
  <c r="U23" i="21"/>
  <c r="C40" i="68"/>
  <c r="B55" i="43"/>
  <c r="C29" i="39"/>
  <c r="B66" i="43"/>
  <c r="C77" i="80"/>
  <c r="C74" i="80" s="1"/>
  <c r="C7" i="83"/>
  <c r="M47" i="80"/>
  <c r="J51" i="77"/>
  <c r="I7" i="34"/>
  <c r="E7" i="34"/>
  <c r="G7" i="34"/>
  <c r="G7" i="1"/>
  <c r="T35" i="4"/>
  <c r="A19" i="51" s="1"/>
  <c r="B14" i="72" s="1"/>
  <c r="C51" i="10"/>
  <c r="A118" i="80"/>
  <c r="A2" i="80"/>
  <c r="D19" i="53"/>
  <c r="I14" i="74"/>
  <c r="B8" i="74" s="1"/>
  <c r="D127" i="9"/>
  <c r="D13" i="52" s="1"/>
  <c r="D12" i="52"/>
  <c r="D3" i="83"/>
  <c r="M18" i="80"/>
  <c r="B118" i="80" s="1"/>
  <c r="T9" i="1"/>
  <c r="AQ9" i="1"/>
  <c r="T11" i="1"/>
  <c r="AR10" i="1"/>
  <c r="AQ8" i="1"/>
  <c r="BL15" i="3"/>
  <c r="AZ15" i="3" s="1"/>
  <c r="T8" i="1"/>
  <c r="F30" i="6"/>
  <c r="AZ14" i="3"/>
  <c r="E29" i="6"/>
  <c r="BL5" i="3"/>
  <c r="AA41" i="34"/>
  <c r="W41" i="34"/>
  <c r="AC29" i="34"/>
  <c r="W29" i="34"/>
  <c r="U29" i="34"/>
  <c r="AA29" i="34"/>
  <c r="AB17" i="34"/>
  <c r="AC17" i="34"/>
  <c r="U15" i="34"/>
  <c r="AC10" i="34"/>
  <c r="AC39" i="34"/>
  <c r="F112" i="34"/>
  <c r="G112" i="34" s="1"/>
  <c r="H112" i="34" s="1"/>
  <c r="I112" i="34" s="1"/>
  <c r="J112" i="34" s="1"/>
  <c r="K112" i="34" s="1"/>
  <c r="L112" i="34" s="1"/>
  <c r="M112" i="34" s="1"/>
  <c r="H37" i="34"/>
  <c r="J37" i="34"/>
  <c r="F37" i="34"/>
  <c r="AB33" i="34"/>
  <c r="AA33" i="34"/>
  <c r="F88" i="34"/>
  <c r="G88" i="34" s="1"/>
  <c r="H88" i="34" s="1"/>
  <c r="I88" i="34" s="1"/>
  <c r="J88" i="34" s="1"/>
  <c r="K88" i="34" s="1"/>
  <c r="L88" i="34" s="1"/>
  <c r="M88" i="34" s="1"/>
  <c r="H25" i="34"/>
  <c r="F25" i="34"/>
  <c r="S25" i="34" s="1"/>
  <c r="J25" i="34"/>
  <c r="AB23" i="34"/>
  <c r="S21" i="34"/>
  <c r="U19" i="34"/>
  <c r="AA39" i="34"/>
  <c r="AC36" i="34"/>
  <c r="S35" i="34"/>
  <c r="AA38" i="21"/>
  <c r="AB38" i="21"/>
  <c r="AC35" i="21"/>
  <c r="S34" i="21"/>
  <c r="U32" i="21"/>
  <c r="AA32" i="21"/>
  <c r="AC28" i="21"/>
  <c r="AB36" i="21"/>
  <c r="S21" i="21"/>
  <c r="U27" i="21"/>
  <c r="F113" i="21"/>
  <c r="G113" i="21" s="1"/>
  <c r="H113" i="21" s="1"/>
  <c r="H37" i="21"/>
  <c r="F37" i="21"/>
  <c r="J37" i="21"/>
  <c r="S35" i="21"/>
  <c r="U35" i="21"/>
  <c r="U34" i="21"/>
  <c r="W32" i="21"/>
  <c r="AC23" i="21"/>
  <c r="AA23" i="21"/>
  <c r="AC19" i="21"/>
  <c r="U17" i="21"/>
  <c r="F15" i="21"/>
  <c r="S15" i="21" s="1"/>
  <c r="F77" i="21"/>
  <c r="G77" i="21" s="1"/>
  <c r="J15" i="21"/>
  <c r="W15" i="21" s="1"/>
  <c r="H15" i="21"/>
  <c r="AB15" i="21" s="1"/>
  <c r="AC15" i="21"/>
  <c r="U15" i="21"/>
  <c r="W10" i="21"/>
  <c r="E10" i="43"/>
  <c r="E8" i="43"/>
  <c r="E11" i="43"/>
  <c r="E9" i="43"/>
  <c r="J53" i="67"/>
  <c r="F1" i="67" s="1"/>
  <c r="S43" i="34"/>
  <c r="S28" i="34"/>
  <c r="F27" i="34"/>
  <c r="AA27" i="34" s="1"/>
  <c r="F90" i="34"/>
  <c r="G90" i="34" s="1"/>
  <c r="H90" i="34" s="1"/>
  <c r="I90" i="34" s="1"/>
  <c r="J90" i="34" s="1"/>
  <c r="K90" i="34" s="1"/>
  <c r="L90" i="34" s="1"/>
  <c r="M90" i="34" s="1"/>
  <c r="J27" i="34"/>
  <c r="AC11" i="34"/>
  <c r="S9" i="34"/>
  <c r="W8" i="34"/>
  <c r="M100" i="43"/>
  <c r="I100" i="43"/>
  <c r="E100" i="43"/>
  <c r="D100" i="43"/>
  <c r="F34" i="77"/>
  <c r="F62" i="77" s="1"/>
  <c r="M20" i="77"/>
  <c r="F28" i="15"/>
  <c r="C28" i="15" s="1"/>
  <c r="F31" i="12"/>
  <c r="D68" i="9"/>
  <c r="M18" i="67"/>
  <c r="F32" i="77"/>
  <c r="F60" i="77" s="1"/>
  <c r="F28" i="77"/>
  <c r="C28" i="77" s="1"/>
  <c r="M18" i="77"/>
  <c r="C31" i="12"/>
  <c r="F54" i="9"/>
  <c r="M18" i="15"/>
  <c r="F32" i="15"/>
  <c r="F60" i="15" s="1"/>
  <c r="F30" i="69"/>
  <c r="C48" i="69" s="1"/>
  <c r="F32" i="67"/>
  <c r="F60" i="67" s="1"/>
  <c r="F52" i="9"/>
  <c r="F28" i="67"/>
  <c r="F30" i="11"/>
  <c r="F53" i="9"/>
  <c r="D23" i="67"/>
  <c r="J42" i="21"/>
  <c r="F123" i="21"/>
  <c r="G123" i="21" s="1"/>
  <c r="H123" i="21" s="1"/>
  <c r="I123" i="21" s="1"/>
  <c r="J123" i="21" s="1"/>
  <c r="K123" i="21" s="1"/>
  <c r="L123" i="21" s="1"/>
  <c r="M123" i="21" s="1"/>
  <c r="H42" i="21"/>
  <c r="W43" i="21"/>
  <c r="U43" i="21"/>
  <c r="AA43" i="21"/>
  <c r="S40" i="21"/>
  <c r="AA26" i="21"/>
  <c r="S42" i="21"/>
  <c r="U26" i="21"/>
  <c r="W25" i="21"/>
  <c r="AA25" i="21"/>
  <c r="AA10" i="21"/>
  <c r="U10" i="21"/>
  <c r="U9" i="21"/>
  <c r="H22" i="43"/>
  <c r="M101" i="43"/>
  <c r="M109" i="43" s="1"/>
  <c r="S5" i="43"/>
  <c r="H101" i="43"/>
  <c r="H102" i="43" s="1"/>
  <c r="E101" i="43"/>
  <c r="E102" i="43" s="1"/>
  <c r="AJ11" i="43"/>
  <c r="AJ13" i="43" s="1"/>
  <c r="S4" i="43"/>
  <c r="G5" i="3"/>
  <c r="B3" i="3" s="1"/>
  <c r="E8" i="6"/>
  <c r="F27" i="6" s="1"/>
  <c r="F31" i="6"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O7" i="1"/>
  <c r="P7" i="1" s="1"/>
  <c r="H103" i="43"/>
  <c r="E64" i="39"/>
  <c r="E59" i="40"/>
  <c r="M102" i="43"/>
  <c r="E61" i="39"/>
  <c r="E56" i="40"/>
  <c r="B113" i="43"/>
  <c r="F101" i="43"/>
  <c r="E22" i="43"/>
  <c r="C101" i="43"/>
  <c r="N104" i="46"/>
  <c r="F22" i="43"/>
  <c r="K101" i="43"/>
  <c r="N101" i="43"/>
  <c r="G101" i="43"/>
  <c r="J101" i="43"/>
  <c r="L101" i="43"/>
  <c r="D101" i="43"/>
  <c r="I101" i="43"/>
  <c r="G22" i="43"/>
  <c r="S2" i="43"/>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S3" i="43"/>
  <c r="AQ13" i="1"/>
  <c r="AZ18" i="3"/>
  <c r="BA5" i="3"/>
  <c r="O11" i="1"/>
  <c r="P11" i="1" s="1"/>
  <c r="O8" i="1"/>
  <c r="P8" i="1" s="1"/>
  <c r="O14" i="1"/>
  <c r="P14" i="1" s="1"/>
  <c r="K15" i="1"/>
  <c r="E30" i="6"/>
  <c r="O9" i="1"/>
  <c r="P9" i="1" s="1"/>
  <c r="H87" i="43"/>
  <c r="H86" i="43"/>
  <c r="H50" i="43"/>
  <c r="C65" i="40"/>
  <c r="D63" i="40"/>
  <c r="J1" i="73"/>
  <c r="AA7" i="33"/>
  <c r="R48" i="33" s="1"/>
  <c r="E48" i="33" s="1"/>
  <c r="C13" i="12"/>
  <c r="C30" i="69"/>
  <c r="C77" i="9"/>
  <c r="C74" i="9" s="1"/>
  <c r="C28" i="67"/>
  <c r="C30" i="68"/>
  <c r="H51" i="43"/>
  <c r="M4" i="43"/>
  <c r="M5" i="43"/>
  <c r="N12" i="43"/>
  <c r="N11" i="43"/>
  <c r="M10" i="43"/>
  <c r="M2" i="43"/>
  <c r="C6" i="43" s="1"/>
  <c r="M7" i="43"/>
  <c r="H54" i="43"/>
  <c r="N9" i="43"/>
  <c r="M8" i="43"/>
  <c r="N10" i="43"/>
  <c r="H48" i="43"/>
  <c r="M6" i="43"/>
  <c r="N7" i="43"/>
  <c r="N4" i="43"/>
  <c r="N2" i="43"/>
  <c r="H49" i="43"/>
  <c r="N17" i="43"/>
  <c r="L17" i="43"/>
  <c r="O17" i="43"/>
  <c r="M17" i="43"/>
  <c r="E17" i="43"/>
  <c r="R49" i="33"/>
  <c r="G52" i="33"/>
  <c r="H52" i="33" s="1"/>
  <c r="G59" i="34"/>
  <c r="C70" i="39"/>
  <c r="D68" i="39"/>
  <c r="U7" i="33"/>
  <c r="AC7" i="33"/>
  <c r="V48" i="33" s="1"/>
  <c r="I48" i="33" s="1"/>
  <c r="G53" i="33" s="1"/>
  <c r="H53" i="33" s="1"/>
  <c r="G52" i="37"/>
  <c r="H52" i="37" s="1"/>
  <c r="I52" i="37" s="1"/>
  <c r="J52" i="37" s="1"/>
  <c r="K52" i="37" s="1"/>
  <c r="L52" i="37" s="1"/>
  <c r="M52" i="37" s="1"/>
  <c r="N52" i="37" s="1"/>
  <c r="O52" i="37" s="1"/>
  <c r="J7" i="37"/>
  <c r="F48" i="35"/>
  <c r="G48" i="35" s="1"/>
  <c r="H48" i="35" s="1"/>
  <c r="I48" i="35" s="1"/>
  <c r="J48" i="35" s="1"/>
  <c r="K48" i="35" s="1"/>
  <c r="L48" i="35" s="1"/>
  <c r="M48" i="35" s="1"/>
  <c r="N48" i="35" s="1"/>
  <c r="O48" i="35" s="1"/>
  <c r="F7" i="35"/>
  <c r="E46" i="36"/>
  <c r="F46" i="36" s="1"/>
  <c r="G46" i="36" s="1"/>
  <c r="H46" i="36" s="1"/>
  <c r="I46" i="36" s="1"/>
  <c r="J46" i="36" s="1"/>
  <c r="K46" i="36" s="1"/>
  <c r="L46" i="36" s="1"/>
  <c r="M46" i="36" s="1"/>
  <c r="N46" i="36" s="1"/>
  <c r="O46" i="36" s="1"/>
  <c r="H7" i="36"/>
  <c r="D58" i="21"/>
  <c r="C24" i="12"/>
  <c r="C48" i="68"/>
  <c r="C9" i="71"/>
  <c r="D9" i="71" s="1"/>
  <c r="D10" i="71"/>
  <c r="D11" i="71"/>
  <c r="U11" i="71" s="1"/>
  <c r="S11" i="71"/>
  <c r="T11" i="71"/>
  <c r="AB9" i="71"/>
  <c r="X7" i="71"/>
  <c r="X6" i="71"/>
  <c r="AA7" i="71"/>
  <c r="AA6" i="71"/>
  <c r="X10" i="71"/>
  <c r="Z5" i="71"/>
  <c r="Y6" i="71"/>
  <c r="Z6" i="71" s="1"/>
  <c r="AB7" i="71"/>
  <c r="AB6" i="71"/>
  <c r="B6" i="71"/>
  <c r="B5" i="71" s="1"/>
  <c r="S7" i="71"/>
  <c r="C94" i="9"/>
  <c r="C92" i="9"/>
  <c r="F8" i="71"/>
  <c r="F7" i="71" s="1"/>
  <c r="F6" i="71" s="1"/>
  <c r="F5" i="71" s="1"/>
  <c r="Y7" i="71"/>
  <c r="Z7" i="71" s="1"/>
  <c r="B7" i="49"/>
  <c r="E7" i="49"/>
  <c r="B15" i="49"/>
  <c r="AB3" i="71"/>
  <c r="X3" i="71"/>
  <c r="C8" i="71"/>
  <c r="E8" i="71"/>
  <c r="E7" i="71" s="1"/>
  <c r="E10" i="49"/>
  <c r="B6" i="49"/>
  <c r="E14" i="49"/>
  <c r="AF3" i="71"/>
  <c r="P24" i="43" s="1"/>
  <c r="B66" i="40" s="1"/>
  <c r="P21" i="43"/>
  <c r="P22" i="43"/>
  <c r="C23" i="12"/>
  <c r="B13" i="49"/>
  <c r="C4" i="4" s="1"/>
  <c r="B4" i="62" s="1"/>
  <c r="B71" i="72" s="1"/>
  <c r="B4" i="49"/>
  <c r="B9" i="49"/>
  <c r="E4" i="4" s="1"/>
  <c r="B5" i="62" s="1"/>
  <c r="B73" i="72" s="1"/>
  <c r="E22" i="49"/>
  <c r="E16" i="49"/>
  <c r="E11" i="49"/>
  <c r="B10" i="49"/>
  <c r="E6" i="49"/>
  <c r="E8" i="49"/>
  <c r="E5" i="49"/>
  <c r="B8" i="49"/>
  <c r="B5" i="49"/>
  <c r="E21" i="49"/>
  <c r="E4" i="49"/>
  <c r="B11" i="49"/>
  <c r="B14" i="49"/>
  <c r="B16" i="49"/>
  <c r="E13" i="49"/>
  <c r="E15" i="49"/>
  <c r="E9" i="49"/>
  <c r="B22" i="49"/>
  <c r="C34" i="15"/>
  <c r="J57" i="15"/>
  <c r="J55" i="15" s="1"/>
  <c r="J58" i="15" s="1"/>
  <c r="Q50" i="15" s="1"/>
  <c r="I54" i="15"/>
  <c r="F71" i="67"/>
  <c r="F66" i="15"/>
  <c r="B10" i="70"/>
  <c r="F68" i="67"/>
  <c r="F66" i="67"/>
  <c r="B13" i="70"/>
  <c r="B8" i="70"/>
  <c r="C34" i="67"/>
  <c r="F65" i="67"/>
  <c r="Q71" i="15"/>
  <c r="M7" i="67"/>
  <c r="F50" i="67"/>
  <c r="F51" i="67"/>
  <c r="B11" i="70"/>
  <c r="I1" i="73"/>
  <c r="B39" i="1" s="1"/>
  <c r="F51" i="15"/>
  <c r="I54" i="67"/>
  <c r="J57" i="67"/>
  <c r="J55" i="67" s="1"/>
  <c r="J58" i="67" s="1"/>
  <c r="Q50" i="67" s="1"/>
  <c r="L56" i="67"/>
  <c r="B12" i="70"/>
  <c r="B9" i="70"/>
  <c r="F16" i="67"/>
  <c r="M6" i="67"/>
  <c r="F42" i="67"/>
  <c r="F13" i="67"/>
  <c r="M9" i="67"/>
  <c r="L47" i="67"/>
  <c r="F40" i="15"/>
  <c r="F36" i="15"/>
  <c r="M8" i="15"/>
  <c r="M26" i="15"/>
  <c r="L47" i="15"/>
  <c r="M22" i="15"/>
  <c r="F37" i="15"/>
  <c r="F26" i="67"/>
  <c r="C76" i="67"/>
  <c r="J15" i="67"/>
  <c r="F6" i="67"/>
  <c r="M26" i="67"/>
  <c r="M27" i="67"/>
  <c r="F36" i="67"/>
  <c r="F42" i="15"/>
  <c r="J15" i="15"/>
  <c r="M24" i="15"/>
  <c r="F26" i="15"/>
  <c r="M6" i="15"/>
  <c r="F16" i="15"/>
  <c r="F13" i="15"/>
  <c r="M17" i="15"/>
  <c r="D5" i="73"/>
  <c r="F59" i="15"/>
  <c r="F31" i="15"/>
  <c r="D4" i="73"/>
  <c r="D6" i="73"/>
  <c r="D7" i="73"/>
  <c r="D3" i="73"/>
  <c r="M17" i="67"/>
  <c r="F59" i="67"/>
  <c r="AE6" i="1"/>
  <c r="F27" i="68"/>
  <c r="F31" i="67"/>
  <c r="F27" i="69"/>
  <c r="C27" i="15" l="1"/>
  <c r="F64" i="67"/>
  <c r="C6" i="67"/>
  <c r="Q71" i="67"/>
  <c r="C27" i="67"/>
  <c r="F65" i="15"/>
  <c r="L59" i="15"/>
  <c r="L58" i="15"/>
  <c r="Q73" i="15" s="1"/>
  <c r="N59" i="15"/>
  <c r="M59" i="15"/>
  <c r="F64" i="15"/>
  <c r="F68" i="15"/>
  <c r="L59" i="67"/>
  <c r="N59" i="67"/>
  <c r="M59" i="67"/>
  <c r="L58" i="67"/>
  <c r="Q60" i="67" s="1"/>
  <c r="F70" i="67"/>
  <c r="J6" i="67"/>
  <c r="D31" i="71"/>
  <c r="T31" i="71"/>
  <c r="AB7" i="85"/>
  <c r="T48" i="85" s="1"/>
  <c r="G48" i="85" s="1"/>
  <c r="U7" i="85"/>
  <c r="S7" i="85"/>
  <c r="AA7" i="85"/>
  <c r="R48" i="85" s="1"/>
  <c r="S6" i="43"/>
  <c r="S7" i="43"/>
  <c r="AC39" i="37"/>
  <c r="W39" i="37"/>
  <c r="AC24" i="36"/>
  <c r="W24" i="36"/>
  <c r="U12" i="36"/>
  <c r="AB12" i="36"/>
  <c r="S19" i="34"/>
  <c r="AA19" i="34"/>
  <c r="AB38" i="40"/>
  <c r="U38" i="40"/>
  <c r="AA38" i="40"/>
  <c r="S38" i="40"/>
  <c r="AC23" i="35"/>
  <c r="W23" i="35"/>
  <c r="AA10" i="34"/>
  <c r="S10" i="34"/>
  <c r="AB43" i="34"/>
  <c r="U43" i="34"/>
  <c r="U12" i="33"/>
  <c r="AB12" i="33"/>
  <c r="AA30" i="21"/>
  <c r="S30" i="21"/>
  <c r="AC14" i="33"/>
  <c r="W14" i="33"/>
  <c r="AA46" i="33"/>
  <c r="S46" i="33"/>
  <c r="W13" i="34"/>
  <c r="AC13" i="34"/>
  <c r="S31" i="34"/>
  <c r="AA31" i="34"/>
  <c r="AA45" i="34"/>
  <c r="S45" i="34"/>
  <c r="W47" i="34"/>
  <c r="AC47" i="34"/>
  <c r="U13" i="35"/>
  <c r="AB13" i="35"/>
  <c r="AB25" i="35"/>
  <c r="U25" i="35"/>
  <c r="U35" i="35"/>
  <c r="AB35" i="35"/>
  <c r="U12" i="40"/>
  <c r="AB12" i="40"/>
  <c r="AC14" i="40"/>
  <c r="W14" i="40"/>
  <c r="W14" i="37"/>
  <c r="AC14" i="37"/>
  <c r="AB45" i="21"/>
  <c r="U45" i="21"/>
  <c r="U36" i="34"/>
  <c r="AB36" i="34"/>
  <c r="E58" i="40"/>
  <c r="E63" i="39"/>
  <c r="L65" i="9"/>
  <c r="M65" i="9" s="1"/>
  <c r="L64" i="9"/>
  <c r="M64" i="9" s="1"/>
  <c r="L67" i="9"/>
  <c r="M67" i="9" s="1"/>
  <c r="L66" i="9"/>
  <c r="M66" i="9" s="1"/>
  <c r="L68" i="9"/>
  <c r="M68" i="9" s="1"/>
  <c r="L63" i="9"/>
  <c r="M63" i="9" s="1"/>
  <c r="M69" i="9" s="1"/>
  <c r="N69" i="9" s="1"/>
  <c r="AZ5" i="3"/>
  <c r="N54" i="71"/>
  <c r="B53" i="71"/>
  <c r="C73" i="71"/>
  <c r="D73" i="71" s="1"/>
  <c r="D74" i="71"/>
  <c r="C13" i="71"/>
  <c r="D13" i="71" s="1"/>
  <c r="D14" i="71"/>
  <c r="D27" i="71"/>
  <c r="T27" i="71"/>
  <c r="W7" i="85"/>
  <c r="AC7" i="85"/>
  <c r="V48" i="85" s="1"/>
  <c r="I48" i="85" s="1"/>
  <c r="I52" i="85" s="1"/>
  <c r="J52" i="85" s="1"/>
  <c r="D29" i="43"/>
  <c r="D1" i="43" s="1"/>
  <c r="E20" i="6"/>
  <c r="S39" i="37"/>
  <c r="AA39" i="37"/>
  <c r="AB24" i="36"/>
  <c r="U24" i="36"/>
  <c r="S12" i="36"/>
  <c r="AA12" i="36"/>
  <c r="AC12" i="36"/>
  <c r="W12" i="36"/>
  <c r="S15" i="34"/>
  <c r="AA15" i="34"/>
  <c r="AC38" i="40"/>
  <c r="W38" i="40"/>
  <c r="U23" i="35"/>
  <c r="AB23" i="35"/>
  <c r="W40" i="21"/>
  <c r="AC40" i="21"/>
  <c r="W30" i="21"/>
  <c r="AC30" i="21"/>
  <c r="AA14" i="33"/>
  <c r="S14" i="33"/>
  <c r="AA44" i="33"/>
  <c r="S44" i="33"/>
  <c r="AB46" i="33"/>
  <c r="U46" i="33"/>
  <c r="AA13" i="34"/>
  <c r="S13" i="34"/>
  <c r="U31" i="34"/>
  <c r="AB31" i="34"/>
  <c r="AC45" i="34"/>
  <c r="W45" i="34"/>
  <c r="AA47" i="34"/>
  <c r="S47" i="34"/>
  <c r="AC13" i="35"/>
  <c r="W13" i="35"/>
  <c r="AA25" i="35"/>
  <c r="S25" i="35"/>
  <c r="S35" i="35"/>
  <c r="AA35" i="35"/>
  <c r="S12" i="40"/>
  <c r="AA12" i="40"/>
  <c r="AA14" i="37"/>
  <c r="S14" i="37"/>
  <c r="S14" i="40"/>
  <c r="AA14" i="40"/>
  <c r="U12" i="39"/>
  <c r="AB12" i="39"/>
  <c r="AC17" i="21"/>
  <c r="W17" i="21"/>
  <c r="S36" i="34"/>
  <c r="AA36" i="34"/>
  <c r="E60" i="40"/>
  <c r="E65" i="39"/>
  <c r="D10" i="52"/>
  <c r="D125" i="9"/>
  <c r="D11" i="52" s="1"/>
  <c r="H14" i="74"/>
  <c r="B7" i="74" s="1"/>
  <c r="Q52" i="15"/>
  <c r="F1" i="15"/>
  <c r="F7" i="36"/>
  <c r="J7" i="36"/>
  <c r="H7" i="35"/>
  <c r="J7" i="35"/>
  <c r="H7" i="37"/>
  <c r="F7" i="37"/>
  <c r="C59" i="83"/>
  <c r="D59" i="83" s="1"/>
  <c r="E59" i="83" s="1"/>
  <c r="F59" i="83" s="1"/>
  <c r="G59" i="83" s="1"/>
  <c r="H59" i="83" s="1"/>
  <c r="I59" i="83" s="1"/>
  <c r="J59" i="83" s="1"/>
  <c r="K59" i="83" s="1"/>
  <c r="L59" i="83" s="1"/>
  <c r="M59" i="83" s="1"/>
  <c r="N59" i="83" s="1"/>
  <c r="O59" i="83" s="1"/>
  <c r="E7" i="83"/>
  <c r="I7" i="83"/>
  <c r="J7" i="83" s="1"/>
  <c r="G7" i="83"/>
  <c r="B38" i="72"/>
  <c r="D20" i="53"/>
  <c r="B40" i="72" s="1"/>
  <c r="E106" i="43"/>
  <c r="E56" i="39"/>
  <c r="E66" i="39" s="1"/>
  <c r="E27" i="6"/>
  <c r="E16" i="6"/>
  <c r="E51" i="40"/>
  <c r="AA37" i="34"/>
  <c r="S37" i="34"/>
  <c r="U37" i="34"/>
  <c r="AB37" i="34"/>
  <c r="AC37" i="34"/>
  <c r="W37" i="34"/>
  <c r="AA25" i="34"/>
  <c r="AC25" i="34"/>
  <c r="W25" i="34"/>
  <c r="AB25" i="34"/>
  <c r="U25" i="34"/>
  <c r="W37" i="21"/>
  <c r="AC37" i="21"/>
  <c r="U37" i="21"/>
  <c r="AB37" i="21"/>
  <c r="S37" i="21"/>
  <c r="AA37" i="21"/>
  <c r="AA15" i="21"/>
  <c r="K4" i="4"/>
  <c r="B46" i="48" s="1"/>
  <c r="B4" i="72" s="1"/>
  <c r="C47" i="69"/>
  <c r="D45" i="69" s="1"/>
  <c r="C29" i="69"/>
  <c r="D27" i="69" s="1"/>
  <c r="F59" i="43"/>
  <c r="H62" i="43" s="1"/>
  <c r="G62" i="43" s="1"/>
  <c r="F70" i="43"/>
  <c r="C29" i="68"/>
  <c r="D27" i="68" s="1"/>
  <c r="C47" i="68"/>
  <c r="D45" i="68" s="1"/>
  <c r="C7" i="43"/>
  <c r="Q52" i="67"/>
  <c r="S27" i="34"/>
  <c r="AC27" i="34"/>
  <c r="W27" i="34"/>
  <c r="H66" i="43"/>
  <c r="G66" i="43" s="1"/>
  <c r="H60" i="43"/>
  <c r="G60" i="43" s="1"/>
  <c r="C30" i="11"/>
  <c r="C48" i="11"/>
  <c r="M11" i="77"/>
  <c r="J10" i="77" s="1"/>
  <c r="F11" i="77"/>
  <c r="U42" i="21"/>
  <c r="AB42" i="21"/>
  <c r="AC42" i="21"/>
  <c r="W42" i="21"/>
  <c r="M103" i="43"/>
  <c r="H109" i="43"/>
  <c r="M106" i="43"/>
  <c r="H104" i="43"/>
  <c r="E103" i="43"/>
  <c r="E128"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358" i="3"/>
  <c r="E559" i="3"/>
  <c r="E551" i="3"/>
  <c r="V6" i="3"/>
  <c r="E407" i="3"/>
  <c r="E320" i="3"/>
  <c r="E294" i="3"/>
  <c r="E230" i="3"/>
  <c r="E130" i="3"/>
  <c r="E254" i="3"/>
  <c r="E228" i="3"/>
  <c r="E181" i="3"/>
  <c r="E157" i="3"/>
  <c r="E311" i="3"/>
  <c r="E514" i="3"/>
  <c r="E570" i="3"/>
  <c r="M6" i="3"/>
  <c r="AB6" i="3"/>
  <c r="E387" i="3"/>
  <c r="E335" i="3"/>
  <c r="E215" i="3"/>
  <c r="E189" i="3"/>
  <c r="E134"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120" i="3"/>
  <c r="E277" i="3"/>
  <c r="E177" i="3"/>
  <c r="E133" i="3"/>
  <c r="E330" i="3"/>
  <c r="K6" i="3"/>
  <c r="Q6" i="3"/>
  <c r="E560" i="3"/>
  <c r="E437" i="3"/>
  <c r="E472" i="3"/>
  <c r="E481"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86" i="3"/>
  <c r="E310" i="3"/>
  <c r="E354" i="3"/>
  <c r="E492" i="3"/>
  <c r="E584" i="3"/>
  <c r="E23" i="3"/>
  <c r="E66" i="3"/>
  <c r="E84" i="3"/>
  <c r="E45" i="3"/>
  <c r="E224" i="3"/>
  <c r="E193" i="3"/>
  <c r="E313" i="3"/>
  <c r="E519" i="3"/>
  <c r="E532" i="3"/>
  <c r="E573" i="3"/>
  <c r="E529" i="3"/>
  <c r="E458" i="3"/>
  <c r="E474" i="3"/>
  <c r="E527"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4" i="3"/>
  <c r="E48" i="3"/>
  <c r="E87" i="3"/>
  <c r="E127" i="3"/>
  <c r="E250" i="3"/>
  <c r="E284" i="3"/>
  <c r="E341" i="3"/>
  <c r="Y6" i="3"/>
  <c r="E51" i="3"/>
  <c r="E19" i="3"/>
  <c r="E154" i="3"/>
  <c r="E179" i="3"/>
  <c r="E222" i="3"/>
  <c r="E323" i="3"/>
  <c r="E373" i="3"/>
  <c r="E82" i="3"/>
  <c r="E67" i="3"/>
  <c r="E33" i="3"/>
  <c r="E144" i="3"/>
  <c r="E184" i="3"/>
  <c r="E233" i="3"/>
  <c r="E355" i="3"/>
  <c r="E381" i="3"/>
  <c r="E68" i="3"/>
  <c r="E63" i="3"/>
  <c r="E81" i="3"/>
  <c r="E118" i="3"/>
  <c r="E264" i="3"/>
  <c r="E283" i="3"/>
  <c r="E309" i="3"/>
  <c r="E513" i="3"/>
  <c r="E21" i="3"/>
  <c r="H107" i="43"/>
  <c r="H105" i="43"/>
  <c r="H106" i="43"/>
  <c r="M107" i="43"/>
  <c r="M105" i="43"/>
  <c r="M104" i="43"/>
  <c r="K19" i="6"/>
  <c r="S6" i="1" s="1"/>
  <c r="E104" i="43"/>
  <c r="E105" i="43"/>
  <c r="E109" i="43"/>
  <c r="E107" i="43"/>
  <c r="H6" i="3"/>
  <c r="K23" i="6"/>
  <c r="M23" i="6" s="1"/>
  <c r="I23" i="6" s="1"/>
  <c r="K24" i="6"/>
  <c r="M24" i="6" s="1"/>
  <c r="I24" i="6" s="1"/>
  <c r="S24" i="6" s="1"/>
  <c r="K22" i="6"/>
  <c r="M22" i="6" s="1"/>
  <c r="I22" i="6" s="1"/>
  <c r="S22" i="6" s="1"/>
  <c r="I109" i="43"/>
  <c r="I104" i="43"/>
  <c r="I107" i="43"/>
  <c r="I105" i="43"/>
  <c r="I106" i="43"/>
  <c r="I102" i="43"/>
  <c r="I103" i="43"/>
  <c r="L109" i="43"/>
  <c r="L106" i="43"/>
  <c r="L107" i="43"/>
  <c r="L103" i="43"/>
  <c r="L105" i="43"/>
  <c r="L102" i="43"/>
  <c r="L104" i="43"/>
  <c r="G105" i="43"/>
  <c r="G107" i="43"/>
  <c r="G104" i="43"/>
  <c r="G106" i="43"/>
  <c r="G109" i="43"/>
  <c r="G102" i="43"/>
  <c r="G103" i="43"/>
  <c r="K103" i="43"/>
  <c r="K102" i="43"/>
  <c r="K105" i="43"/>
  <c r="K109" i="43"/>
  <c r="K107" i="43"/>
  <c r="K106" i="43"/>
  <c r="K104" i="43"/>
  <c r="D22" i="43"/>
  <c r="D109" i="43"/>
  <c r="D105" i="43"/>
  <c r="D106" i="43"/>
  <c r="D102" i="43"/>
  <c r="D103" i="43"/>
  <c r="D107" i="43"/>
  <c r="D104" i="43"/>
  <c r="J104" i="43"/>
  <c r="J107" i="43"/>
  <c r="J102" i="43"/>
  <c r="J109" i="43"/>
  <c r="J103" i="43"/>
  <c r="J105" i="43"/>
  <c r="J106" i="43"/>
  <c r="N102" i="43"/>
  <c r="N105" i="43"/>
  <c r="N104" i="43"/>
  <c r="N103" i="43"/>
  <c r="N107" i="43"/>
  <c r="N106" i="43"/>
  <c r="N109" i="43"/>
  <c r="C104" i="43"/>
  <c r="C106" i="43"/>
  <c r="C107" i="43"/>
  <c r="C103" i="43"/>
  <c r="C105" i="43"/>
  <c r="C102" i="43"/>
  <c r="C109" i="43"/>
  <c r="F104" i="43"/>
  <c r="F102" i="43"/>
  <c r="F105" i="43"/>
  <c r="F109" i="43"/>
  <c r="F106" i="43"/>
  <c r="F103" i="43"/>
  <c r="F107" i="43"/>
  <c r="B115" i="43"/>
  <c r="I115" i="43"/>
  <c r="J115" i="43" s="1"/>
  <c r="K115" i="43" s="1"/>
  <c r="L115" i="43" s="1"/>
  <c r="M115"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6" i="43"/>
  <c r="E116" i="43" s="1"/>
  <c r="F116" i="43" s="1"/>
  <c r="G116" i="43" s="1"/>
  <c r="H116" i="43" s="1"/>
  <c r="B118" i="43"/>
  <c r="C118" i="43" s="1"/>
  <c r="I116" i="43"/>
  <c r="J116" i="43" s="1"/>
  <c r="K116" i="43" s="1"/>
  <c r="L116" i="43" s="1"/>
  <c r="M116" i="43" s="1"/>
  <c r="I118" i="43"/>
  <c r="J118" i="43" s="1"/>
  <c r="K118" i="43" s="1"/>
  <c r="L118" i="43" s="1"/>
  <c r="M118" i="43" s="1"/>
  <c r="G118" i="43"/>
  <c r="H118" i="43" s="1"/>
  <c r="P16" i="1"/>
  <c r="C11" i="12" s="1"/>
  <c r="C12" i="12" s="1"/>
  <c r="K26" i="6"/>
  <c r="M26" i="6" s="1"/>
  <c r="I26" i="6" s="1"/>
  <c r="S26" i="6" s="1"/>
  <c r="K20" i="6"/>
  <c r="K25" i="6"/>
  <c r="M25" i="6" s="1"/>
  <c r="I25" i="6" s="1"/>
  <c r="S25" i="6" s="1"/>
  <c r="AY6" i="3"/>
  <c r="E3" i="6"/>
  <c r="O16" i="1"/>
  <c r="M19" i="6"/>
  <c r="S23" i="6"/>
  <c r="K1" i="73"/>
  <c r="E20" i="43"/>
  <c r="P28" i="43" s="1"/>
  <c r="D65" i="40"/>
  <c r="E63" i="40"/>
  <c r="G17" i="43"/>
  <c r="C16" i="43" s="1"/>
  <c r="D5" i="43" s="1"/>
  <c r="E58" i="21"/>
  <c r="F58" i="21" s="1"/>
  <c r="G58" i="21" s="1"/>
  <c r="H58" i="21" s="1"/>
  <c r="I58" i="21" s="1"/>
  <c r="J58" i="21" s="1"/>
  <c r="K58" i="21" s="1"/>
  <c r="L58" i="21" s="1"/>
  <c r="M58" i="21" s="1"/>
  <c r="N58" i="21" s="1"/>
  <c r="O58" i="21" s="1"/>
  <c r="H7" i="21"/>
  <c r="U7" i="36"/>
  <c r="AB7" i="36"/>
  <c r="T36" i="36" s="1"/>
  <c r="G36" i="36" s="1"/>
  <c r="AA7" i="35"/>
  <c r="R38" i="35" s="1"/>
  <c r="S7" i="35"/>
  <c r="AC7" i="37"/>
  <c r="V42" i="37" s="1"/>
  <c r="I42" i="37" s="1"/>
  <c r="W7" i="37"/>
  <c r="I52" i="33"/>
  <c r="J52" i="33" s="1"/>
  <c r="I53" i="33"/>
  <c r="J53" i="33" s="1"/>
  <c r="D70" i="39"/>
  <c r="E68" i="39"/>
  <c r="H59" i="34"/>
  <c r="C49" i="33"/>
  <c r="C48" i="33"/>
  <c r="J7" i="21"/>
  <c r="S7" i="36"/>
  <c r="AA7" i="36"/>
  <c r="R36" i="36" s="1"/>
  <c r="W7" i="36"/>
  <c r="AC7" i="36"/>
  <c r="V36" i="36" s="1"/>
  <c r="I36" i="36" s="1"/>
  <c r="AB7" i="35"/>
  <c r="T38" i="35" s="1"/>
  <c r="G38" i="35" s="1"/>
  <c r="U7" i="35"/>
  <c r="AC7" i="35"/>
  <c r="V38" i="35" s="1"/>
  <c r="I38" i="35" s="1"/>
  <c r="W7" i="35"/>
  <c r="U7" i="37"/>
  <c r="AB7" i="37"/>
  <c r="T42" i="37" s="1"/>
  <c r="G42" i="37" s="1"/>
  <c r="S7" i="37"/>
  <c r="AA7" i="37"/>
  <c r="R42" i="37" s="1"/>
  <c r="E53" i="33"/>
  <c r="F53" i="33" s="1"/>
  <c r="E52" i="33"/>
  <c r="F52" i="33" s="1"/>
  <c r="E6" i="71"/>
  <c r="E5" i="71" s="1"/>
  <c r="V7" i="71"/>
  <c r="P23" i="43"/>
  <c r="B71" i="39" s="1"/>
  <c r="C7" i="71"/>
  <c r="D8" i="71"/>
  <c r="P25" i="43"/>
  <c r="C49" i="67"/>
  <c r="M11" i="15"/>
  <c r="F11" i="67"/>
  <c r="F11" i="15"/>
  <c r="M11" i="67"/>
  <c r="J10" i="67" s="1"/>
  <c r="Q73" i="67"/>
  <c r="Q74" i="15"/>
  <c r="Q61" i="15"/>
  <c r="Q61" i="67"/>
  <c r="Q74" i="67"/>
  <c r="C16" i="67"/>
  <c r="F42" i="77"/>
  <c r="C76" i="77"/>
  <c r="M22" i="77"/>
  <c r="F40" i="77"/>
  <c r="F8" i="77"/>
  <c r="F26" i="77"/>
  <c r="M26" i="77"/>
  <c r="M17" i="77"/>
  <c r="F31" i="77"/>
  <c r="F38" i="77"/>
  <c r="M6" i="77"/>
  <c r="L47" i="77"/>
  <c r="M23" i="77"/>
  <c r="L48" i="77"/>
  <c r="C17" i="67"/>
  <c r="C14" i="67"/>
  <c r="F41" i="67"/>
  <c r="G1" i="73"/>
  <c r="F9" i="77"/>
  <c r="F36" i="77"/>
  <c r="F37" i="77"/>
  <c r="M24" i="77"/>
  <c r="F13" i="77"/>
  <c r="M8" i="77"/>
  <c r="J15" i="77"/>
  <c r="M9" i="77"/>
  <c r="M28" i="77"/>
  <c r="M27" i="77"/>
  <c r="F16" i="77"/>
  <c r="F59" i="77"/>
  <c r="Q60" i="15" l="1"/>
  <c r="J5" i="67"/>
  <c r="J24" i="67" s="1"/>
  <c r="F65" i="77"/>
  <c r="F64" i="77"/>
  <c r="L56" i="77"/>
  <c r="J53" i="77"/>
  <c r="Q52" i="77" s="1"/>
  <c r="J57" i="77"/>
  <c r="J55" i="77" s="1"/>
  <c r="J58" i="77" s="1"/>
  <c r="Q50" i="77" s="1"/>
  <c r="L58" i="77"/>
  <c r="M59" i="77"/>
  <c r="N59" i="77"/>
  <c r="L59" i="77"/>
  <c r="Q74" i="77" s="1"/>
  <c r="F66" i="77"/>
  <c r="C27" i="77"/>
  <c r="F51" i="77"/>
  <c r="F68" i="77"/>
  <c r="Q71" i="77"/>
  <c r="F70" i="77"/>
  <c r="D3" i="85"/>
  <c r="E32" i="6"/>
  <c r="K7" i="1"/>
  <c r="N53" i="71"/>
  <c r="N52" i="71"/>
  <c r="G53" i="85"/>
  <c r="H53" i="85" s="1"/>
  <c r="G52" i="85"/>
  <c r="H52" i="85" s="1"/>
  <c r="E48" i="85"/>
  <c r="R49" i="85"/>
  <c r="L20" i="6"/>
  <c r="L27" i="6" s="1"/>
  <c r="H7" i="83"/>
  <c r="AB7" i="83" s="1"/>
  <c r="T49" i="83" s="1"/>
  <c r="G49" i="83" s="1"/>
  <c r="F7" i="83"/>
  <c r="AA7" i="83" s="1"/>
  <c r="R49" i="83" s="1"/>
  <c r="AC7" i="83"/>
  <c r="V49" i="83" s="1"/>
  <c r="I49" i="83" s="1"/>
  <c r="W7" i="83"/>
  <c r="F1" i="77"/>
  <c r="U7" i="83"/>
  <c r="S7" i="83"/>
  <c r="Q61" i="77"/>
  <c r="AC6" i="3"/>
  <c r="E6" i="3" s="1"/>
  <c r="C18" i="67"/>
  <c r="C15" i="67"/>
  <c r="E6" i="70"/>
  <c r="K21" i="6"/>
  <c r="E31" i="6"/>
  <c r="H61" i="43"/>
  <c r="G61" i="43" s="1"/>
  <c r="H65" i="43"/>
  <c r="G65" i="43" s="1"/>
  <c r="H67" i="43"/>
  <c r="G67" i="43" s="1"/>
  <c r="H59" i="43"/>
  <c r="G59" i="43" s="1"/>
  <c r="H64" i="43"/>
  <c r="G64" i="43" s="1"/>
  <c r="H63" i="43"/>
  <c r="G63" i="43" s="1"/>
  <c r="H73" i="43"/>
  <c r="G73" i="43" s="1"/>
  <c r="H75" i="43"/>
  <c r="G75" i="43" s="1"/>
  <c r="H71" i="43"/>
  <c r="G71" i="43" s="1"/>
  <c r="H72" i="43"/>
  <c r="G72" i="43" s="1"/>
  <c r="H78" i="43"/>
  <c r="G78" i="43" s="1"/>
  <c r="H76" i="43"/>
  <c r="G76" i="43" s="1"/>
  <c r="H74" i="43"/>
  <c r="G74" i="43" s="1"/>
  <c r="H77" i="43"/>
  <c r="G77" i="43" s="1"/>
  <c r="H70" i="43"/>
  <c r="G70" i="43" s="1"/>
  <c r="M60" i="43"/>
  <c r="N60" i="43" s="1"/>
  <c r="K60" i="43"/>
  <c r="J60" i="43" s="1"/>
  <c r="D60" i="43" s="1"/>
  <c r="M65" i="43"/>
  <c r="N65" i="43" s="1"/>
  <c r="K65" i="43"/>
  <c r="J65" i="43" s="1"/>
  <c r="D65" i="43" s="1"/>
  <c r="M61" i="43"/>
  <c r="N61" i="43" s="1"/>
  <c r="K61" i="43"/>
  <c r="M66" i="43"/>
  <c r="N66" i="43" s="1"/>
  <c r="K66" i="43"/>
  <c r="J66" i="43" s="1"/>
  <c r="D66" i="43" s="1"/>
  <c r="M67" i="43"/>
  <c r="N67" i="43" s="1"/>
  <c r="K67" i="43"/>
  <c r="M59" i="43"/>
  <c r="N59" i="43" s="1"/>
  <c r="K59" i="43"/>
  <c r="M64" i="43"/>
  <c r="N64" i="43" s="1"/>
  <c r="K64" i="43"/>
  <c r="J64" i="43" s="1"/>
  <c r="D64" i="43" s="1"/>
  <c r="M63" i="43"/>
  <c r="N63" i="43" s="1"/>
  <c r="K63" i="43"/>
  <c r="J63" i="43" s="1"/>
  <c r="D63" i="43" s="1"/>
  <c r="M62" i="43"/>
  <c r="N62" i="43" s="1"/>
  <c r="K62" i="43"/>
  <c r="F69" i="67"/>
  <c r="C5" i="43"/>
  <c r="C53" i="77"/>
  <c r="C10" i="77"/>
  <c r="C15" i="12"/>
  <c r="AQ6" i="1"/>
  <c r="T6" i="1"/>
  <c r="AR6" i="1"/>
  <c r="M20" i="6"/>
  <c r="I20" i="6" s="1"/>
  <c r="S7" i="1"/>
  <c r="S16" i="1" s="1"/>
  <c r="O28" i="43"/>
  <c r="C115" i="43"/>
  <c r="D113" i="43" s="1"/>
  <c r="J22" i="43" s="1"/>
  <c r="C21" i="43" s="1"/>
  <c r="AY103" i="3"/>
  <c r="AY67" i="3"/>
  <c r="AY50" i="3"/>
  <c r="AY196" i="3"/>
  <c r="AY160" i="3"/>
  <c r="AY139" i="3"/>
  <c r="AY289" i="3"/>
  <c r="AY74" i="3"/>
  <c r="AY183" i="3"/>
  <c r="AY123" i="3"/>
  <c r="AY261" i="3"/>
  <c r="AY204" i="3"/>
  <c r="AY284" i="3"/>
  <c r="AY252" i="3"/>
  <c r="AY209" i="3"/>
  <c r="AY363" i="3"/>
  <c r="AY319"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98" i="3"/>
  <c r="AY82" i="3"/>
  <c r="AY18" i="3"/>
  <c r="AY191" i="3"/>
  <c r="AY171" i="3"/>
  <c r="AY132" i="3"/>
  <c r="AY90" i="3"/>
  <c r="AY31" i="3"/>
  <c r="AY163" i="3"/>
  <c r="AY292" i="3"/>
  <c r="AY75" i="3"/>
  <c r="AY147" i="3"/>
  <c r="AY237" i="3"/>
  <c r="AY220" i="3"/>
  <c r="AY387" i="3"/>
  <c r="AY350" i="3"/>
  <c r="AY334"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556" i="3"/>
  <c r="AY577" i="3"/>
  <c r="AY112" i="3"/>
  <c r="AY49" i="3"/>
  <c r="AY32" i="3"/>
  <c r="AY205" i="3"/>
  <c r="AY142" i="3"/>
  <c r="AY122" i="3"/>
  <c r="AY298" i="3"/>
  <c r="AY235" i="3"/>
  <c r="AY218" i="3"/>
  <c r="AY385" i="3"/>
  <c r="AY352" i="3"/>
  <c r="AY321" i="3"/>
  <c r="AY336" i="3"/>
  <c r="AY304" i="3"/>
  <c r="AY492" i="3"/>
  <c r="AY461" i="3"/>
  <c r="AY450" i="3"/>
  <c r="AY418"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96" i="3"/>
  <c r="AY523" i="3"/>
  <c r="AY81" i="3"/>
  <c r="AY64" i="3"/>
  <c r="AY21" i="3"/>
  <c r="AY174" i="3"/>
  <c r="AY153" i="3"/>
  <c r="AY113" i="3"/>
  <c r="AY267" i="3"/>
  <c r="AY250" i="3"/>
  <c r="AY396" i="3"/>
  <c r="AY361" i="3"/>
  <c r="AY337" i="3"/>
  <c r="AY305" i="3"/>
  <c r="AY320" i="3"/>
  <c r="AY479" i="3"/>
  <c r="AY476" i="3"/>
  <c r="AY445" i="3"/>
  <c r="AY434"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83" i="3"/>
  <c r="AY66" i="3"/>
  <c r="AY23" i="3"/>
  <c r="AY176" i="3"/>
  <c r="AY155" i="3"/>
  <c r="AY115" i="3"/>
  <c r="AY59" i="3"/>
  <c r="AY188" i="3"/>
  <c r="AY131" i="3"/>
  <c r="AY276" i="3"/>
  <c r="AY58" i="3"/>
  <c r="AY297" i="3"/>
  <c r="AY268" i="3"/>
  <c r="AY225" i="3"/>
  <c r="AY371" i="3"/>
  <c r="AY335" i="3"/>
  <c r="AY318" i="3"/>
  <c r="D3" i="34"/>
  <c r="D3" i="33"/>
  <c r="B2" i="33" s="1"/>
  <c r="B3" i="33" s="1"/>
  <c r="E6" i="6"/>
  <c r="D3" i="37"/>
  <c r="D3" i="21"/>
  <c r="D19" i="11"/>
  <c r="C19" i="11" s="1"/>
  <c r="C20" i="11" s="1"/>
  <c r="C17" i="4"/>
  <c r="B4" i="52" s="1"/>
  <c r="B43" i="72" s="1"/>
  <c r="D37" i="11"/>
  <c r="C37" i="11" s="1"/>
  <c r="D14" i="12"/>
  <c r="M18" i="9"/>
  <c r="B118" i="9" s="1"/>
  <c r="B14" i="74" s="1"/>
  <c r="B1" i="74" s="1"/>
  <c r="I19" i="6"/>
  <c r="L18" i="80" s="1"/>
  <c r="M28" i="43"/>
  <c r="N28" i="43"/>
  <c r="F7" i="21"/>
  <c r="AA7" i="21" s="1"/>
  <c r="R48" i="21" s="1"/>
  <c r="B40" i="1"/>
  <c r="E65" i="40"/>
  <c r="F63" i="40"/>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I47" i="37"/>
  <c r="J47" i="37" s="1"/>
  <c r="I46" i="37"/>
  <c r="J46" i="37" s="1"/>
  <c r="E38" i="35"/>
  <c r="R39" i="35"/>
  <c r="C6" i="71"/>
  <c r="C5" i="71" s="1"/>
  <c r="D5" i="71" s="1"/>
  <c r="T7" i="71"/>
  <c r="D6" i="71"/>
  <c r="D7" i="71"/>
  <c r="C53" i="67"/>
  <c r="C48" i="67" s="1"/>
  <c r="C10" i="67"/>
  <c r="C5" i="67" s="1"/>
  <c r="C53" i="15"/>
  <c r="F43" i="77"/>
  <c r="M29" i="77"/>
  <c r="F7" i="77"/>
  <c r="F7" i="15"/>
  <c r="F43" i="15"/>
  <c r="C36" i="69"/>
  <c r="D9" i="68"/>
  <c r="M29" i="15"/>
  <c r="D9" i="69"/>
  <c r="C34" i="69"/>
  <c r="AE7" i="1"/>
  <c r="J26" i="67" l="1"/>
  <c r="J29" i="67" s="1"/>
  <c r="J18" i="67"/>
  <c r="C9" i="69"/>
  <c r="C9" i="68"/>
  <c r="F71" i="15"/>
  <c r="M7" i="15"/>
  <c r="J6" i="15" s="1"/>
  <c r="J10" i="15" s="1"/>
  <c r="J5" i="15" s="1"/>
  <c r="F50" i="15"/>
  <c r="C49" i="15" s="1"/>
  <c r="C48" i="15" s="1"/>
  <c r="C66" i="15" s="1"/>
  <c r="M7" i="77"/>
  <c r="J6" i="77" s="1"/>
  <c r="J5" i="77" s="1"/>
  <c r="F50" i="77"/>
  <c r="C49" i="77" s="1"/>
  <c r="F71" i="77"/>
  <c r="C48" i="77"/>
  <c r="C66" i="77" s="1"/>
  <c r="M77" i="43"/>
  <c r="N77" i="43" s="1"/>
  <c r="K77" i="43"/>
  <c r="J77" i="43" s="1"/>
  <c r="D77" i="43" s="1"/>
  <c r="M76" i="43"/>
  <c r="N76" i="43" s="1"/>
  <c r="K76" i="43"/>
  <c r="J76" i="43" s="1"/>
  <c r="D76" i="43" s="1"/>
  <c r="M72" i="43"/>
  <c r="N72" i="43" s="1"/>
  <c r="K72" i="43"/>
  <c r="M75" i="43"/>
  <c r="N75" i="43" s="1"/>
  <c r="K75" i="43"/>
  <c r="J75" i="43" s="1"/>
  <c r="D75" i="43" s="1"/>
  <c r="C49" i="85"/>
  <c r="C48" i="85"/>
  <c r="Q73" i="77"/>
  <c r="Q60" i="77"/>
  <c r="K70" i="43"/>
  <c r="J70" i="43" s="1"/>
  <c r="D70" i="43" s="1"/>
  <c r="M70" i="43"/>
  <c r="N70" i="43" s="1"/>
  <c r="M74" i="43"/>
  <c r="N74" i="43" s="1"/>
  <c r="K74" i="43"/>
  <c r="J74" i="43" s="1"/>
  <c r="D74" i="43" s="1"/>
  <c r="K78" i="43"/>
  <c r="M78" i="43"/>
  <c r="N78" i="43" s="1"/>
  <c r="M71" i="43"/>
  <c r="N71" i="43" s="1"/>
  <c r="K71" i="43"/>
  <c r="J71" i="43" s="1"/>
  <c r="D71" i="43" s="1"/>
  <c r="M73" i="43"/>
  <c r="N73" i="43" s="1"/>
  <c r="K73" i="43"/>
  <c r="J73" i="43" s="1"/>
  <c r="D73" i="43" s="1"/>
  <c r="I53" i="85"/>
  <c r="J53" i="85" s="1"/>
  <c r="E53" i="85"/>
  <c r="F53" i="85" s="1"/>
  <c r="E52" i="85"/>
  <c r="F52" i="85" s="1"/>
  <c r="AP7" i="1"/>
  <c r="H16" i="1"/>
  <c r="G16" i="1"/>
  <c r="Q16" i="1"/>
  <c r="M7" i="1"/>
  <c r="K16" i="1"/>
  <c r="C19" i="67"/>
  <c r="C20" i="67" s="1"/>
  <c r="C26" i="67" s="1"/>
  <c r="R50" i="83"/>
  <c r="E49" i="83"/>
  <c r="I54" i="83" s="1"/>
  <c r="J54" i="83" s="1"/>
  <c r="G53" i="83"/>
  <c r="H53" i="83" s="1"/>
  <c r="G54" i="83"/>
  <c r="H54" i="83" s="1"/>
  <c r="I53" i="83"/>
  <c r="J53" i="83" s="1"/>
  <c r="M21" i="6"/>
  <c r="K27" i="6"/>
  <c r="C35" i="69"/>
  <c r="C38" i="69"/>
  <c r="E7" i="70"/>
  <c r="E2" i="70" s="1"/>
  <c r="L18" i="9"/>
  <c r="S20" i="6"/>
  <c r="D62" i="43"/>
  <c r="J62" i="43"/>
  <c r="D59" i="43"/>
  <c r="E59" i="43" s="1"/>
  <c r="B57" i="43" s="1"/>
  <c r="J59" i="43"/>
  <c r="D67" i="43"/>
  <c r="J67" i="43"/>
  <c r="D61" i="43"/>
  <c r="J61" i="43"/>
  <c r="G20" i="43"/>
  <c r="E41" i="43" s="1"/>
  <c r="C41" i="43" s="1"/>
  <c r="C59" i="77"/>
  <c r="F22" i="68"/>
  <c r="C26" i="68" s="1"/>
  <c r="D22" i="68" s="1"/>
  <c r="F24" i="77"/>
  <c r="S7" i="21"/>
  <c r="F24" i="67"/>
  <c r="C24" i="67" s="1"/>
  <c r="T7" i="1"/>
  <c r="AR7" i="1"/>
  <c r="AQ7" i="1"/>
  <c r="C7" i="74"/>
  <c r="C8" i="74"/>
  <c r="D20" i="12"/>
  <c r="C20" i="12" s="1"/>
  <c r="C18" i="12" s="1"/>
  <c r="D10" i="11"/>
  <c r="C10" i="11" s="1"/>
  <c r="D17" i="12"/>
  <c r="C17" i="12" s="1"/>
  <c r="C14" i="12"/>
  <c r="C16" i="12" s="1"/>
  <c r="D25" i="6"/>
  <c r="D15" i="6"/>
  <c r="D22" i="6"/>
  <c r="D21" i="6"/>
  <c r="D24" i="6"/>
  <c r="D20" i="6"/>
  <c r="D5" i="6"/>
  <c r="D12" i="6"/>
  <c r="D11" i="6"/>
  <c r="D13" i="6"/>
  <c r="D28" i="6"/>
  <c r="E61" i="40"/>
  <c r="D19" i="6"/>
  <c r="D26" i="6"/>
  <c r="C18" i="4"/>
  <c r="D8" i="6"/>
  <c r="D23" i="6"/>
  <c r="D14" i="6"/>
  <c r="D6" i="6"/>
  <c r="D9" i="6"/>
  <c r="D10" i="6"/>
  <c r="D29" i="6"/>
  <c r="H24" i="6"/>
  <c r="R24" i="6" s="1"/>
  <c r="H22" i="6"/>
  <c r="H26" i="6"/>
  <c r="H20" i="6"/>
  <c r="R20" i="6" s="1"/>
  <c r="R7" i="1" s="1"/>
  <c r="H25" i="6"/>
  <c r="R25" i="6" s="1"/>
  <c r="H23" i="6"/>
  <c r="S19" i="6"/>
  <c r="H19" i="6"/>
  <c r="F7" i="34"/>
  <c r="S7" i="34" s="1"/>
  <c r="F25" i="12"/>
  <c r="C26" i="12" s="1"/>
  <c r="D25" i="12" s="1"/>
  <c r="F22" i="11"/>
  <c r="C44" i="11" s="1"/>
  <c r="D41" i="11" s="1"/>
  <c r="F24" i="15"/>
  <c r="C24" i="15" s="1"/>
  <c r="F22" i="69"/>
  <c r="F65" i="40"/>
  <c r="G63" i="40"/>
  <c r="AC7" i="34"/>
  <c r="V49" i="34" s="1"/>
  <c r="I49" i="34" s="1"/>
  <c r="W7" i="34"/>
  <c r="E43" i="35"/>
  <c r="F43" i="35" s="1"/>
  <c r="E42" i="35"/>
  <c r="F42" i="35" s="1"/>
  <c r="C36" i="36"/>
  <c r="C37" i="36"/>
  <c r="B2" i="36" s="1"/>
  <c r="B3" i="36" s="1"/>
  <c r="C42" i="37"/>
  <c r="C43" i="37"/>
  <c r="B2" i="37" s="1"/>
  <c r="B3" i="37" s="1"/>
  <c r="G52" i="21"/>
  <c r="H52" i="21" s="1"/>
  <c r="G53" i="21"/>
  <c r="H53" i="21" s="1"/>
  <c r="I43" i="35"/>
  <c r="J43" i="35" s="1"/>
  <c r="H7" i="34"/>
  <c r="E48" i="21"/>
  <c r="I53" i="21" s="1"/>
  <c r="J53" i="21" s="1"/>
  <c r="R49" i="21"/>
  <c r="C38" i="35"/>
  <c r="C39" i="35"/>
  <c r="B2" i="35" s="1"/>
  <c r="B3" i="35" s="1"/>
  <c r="I52" i="21"/>
  <c r="J52" i="21" s="1"/>
  <c r="E40" i="36"/>
  <c r="F40" i="36" s="1"/>
  <c r="E41" i="36"/>
  <c r="F41" i="36" s="1"/>
  <c r="I41" i="36"/>
  <c r="J41" i="36" s="1"/>
  <c r="E47" i="37"/>
  <c r="F47" i="37" s="1"/>
  <c r="E46" i="37"/>
  <c r="F46" i="37" s="1"/>
  <c r="G68" i="39"/>
  <c r="F70" i="39"/>
  <c r="M20" i="43"/>
  <c r="C19" i="43" s="1"/>
  <c r="U7" i="71"/>
  <c r="C32" i="15"/>
  <c r="C60" i="15"/>
  <c r="C60" i="67"/>
  <c r="C66" i="67"/>
  <c r="C38" i="67"/>
  <c r="C32" i="67"/>
  <c r="C17" i="77"/>
  <c r="C17" i="15"/>
  <c r="C16" i="77"/>
  <c r="C14" i="77"/>
  <c r="C16" i="15"/>
  <c r="C14" i="15"/>
  <c r="C36" i="68"/>
  <c r="F35" i="77"/>
  <c r="F35" i="15"/>
  <c r="F41" i="77"/>
  <c r="D10" i="69"/>
  <c r="F41" i="15"/>
  <c r="C34" i="68"/>
  <c r="D10" i="68"/>
  <c r="M21" i="15"/>
  <c r="M21" i="77"/>
  <c r="C15" i="15" l="1"/>
  <c r="C18" i="15"/>
  <c r="C15" i="77"/>
  <c r="C18" i="77"/>
  <c r="M16" i="1"/>
  <c r="C36" i="11"/>
  <c r="F10" i="39"/>
  <c r="J10" i="39"/>
  <c r="J10" i="40"/>
  <c r="F10" i="40"/>
  <c r="H10" i="39"/>
  <c r="H10" i="40"/>
  <c r="B3" i="85"/>
  <c r="U7" i="1" s="1"/>
  <c r="B2" i="85"/>
  <c r="F27" i="11"/>
  <c r="F28" i="12"/>
  <c r="C29" i="12" s="1"/>
  <c r="D28" i="12" s="1"/>
  <c r="J78" i="43"/>
  <c r="D78" i="43"/>
  <c r="J72" i="43"/>
  <c r="D72" i="43"/>
  <c r="E70" i="43" s="1"/>
  <c r="B68" i="43" s="1"/>
  <c r="C24" i="43" s="1"/>
  <c r="J18" i="77"/>
  <c r="J26" i="77"/>
  <c r="J29" i="77" s="1"/>
  <c r="J24" i="77"/>
  <c r="J17" i="77"/>
  <c r="J24" i="15"/>
  <c r="J26" i="15"/>
  <c r="J18" i="15"/>
  <c r="J29" i="15"/>
  <c r="F69" i="15"/>
  <c r="F63" i="15"/>
  <c r="C62" i="15" s="1"/>
  <c r="J20" i="15"/>
  <c r="F69" i="77"/>
  <c r="C49" i="83"/>
  <c r="C50" i="83"/>
  <c r="E53" i="83"/>
  <c r="F53" i="83" s="1"/>
  <c r="E54" i="83"/>
  <c r="F54" i="83" s="1"/>
  <c r="R26" i="6"/>
  <c r="I21" i="6"/>
  <c r="M27" i="6"/>
  <c r="C35" i="68"/>
  <c r="C38" i="68"/>
  <c r="T16" i="1"/>
  <c r="M19" i="80"/>
  <c r="C118" i="80" s="1"/>
  <c r="L19" i="80"/>
  <c r="R23" i="6"/>
  <c r="L19" i="9"/>
  <c r="M19" i="9"/>
  <c r="C118" i="9" s="1"/>
  <c r="C14" i="74" s="1"/>
  <c r="D30" i="6"/>
  <c r="C15" i="74"/>
  <c r="AA7" i="34"/>
  <c r="R49" i="34" s="1"/>
  <c r="C20" i="43"/>
  <c r="J20" i="77"/>
  <c r="F63" i="77"/>
  <c r="C44" i="68"/>
  <c r="D41" i="68" s="1"/>
  <c r="C23" i="67"/>
  <c r="C29" i="67" s="1"/>
  <c r="C57" i="67" s="1"/>
  <c r="C24" i="77"/>
  <c r="D16" i="6"/>
  <c r="D27" i="6"/>
  <c r="C23" i="11"/>
  <c r="R22" i="6"/>
  <c r="C4" i="52"/>
  <c r="B45" i="72" s="1"/>
  <c r="A10" i="51"/>
  <c r="B9" i="72" s="1"/>
  <c r="A7" i="51"/>
  <c r="B7" i="72" s="1"/>
  <c r="C21" i="12"/>
  <c r="C10" i="69"/>
  <c r="C8" i="69" s="1"/>
  <c r="D19" i="69"/>
  <c r="C10" i="68"/>
  <c r="D19" i="68"/>
  <c r="R19" i="6"/>
  <c r="C44" i="69"/>
  <c r="D41" i="69" s="1"/>
  <c r="C25" i="11"/>
  <c r="C26" i="11"/>
  <c r="D22" i="11" s="1"/>
  <c r="C26" i="69"/>
  <c r="D22" i="69" s="1"/>
  <c r="C24" i="11"/>
  <c r="G65" i="40"/>
  <c r="H63" i="40"/>
  <c r="H68" i="39"/>
  <c r="G70" i="39"/>
  <c r="U7" i="34"/>
  <c r="AB7" i="34"/>
  <c r="T49" i="34" s="1"/>
  <c r="G49" i="34" s="1"/>
  <c r="E52" i="21"/>
  <c r="F52" i="21" s="1"/>
  <c r="E53" i="21"/>
  <c r="F53" i="21" s="1"/>
  <c r="I53" i="34"/>
  <c r="J53" i="34" s="1"/>
  <c r="C48" i="21"/>
  <c r="C49" i="21"/>
  <c r="B2" i="21" s="1"/>
  <c r="C33" i="15"/>
  <c r="C33" i="67"/>
  <c r="C31" i="67" s="1"/>
  <c r="F6" i="77"/>
  <c r="F6" i="15"/>
  <c r="C19" i="77" l="1"/>
  <c r="C20" i="77" s="1"/>
  <c r="C26" i="77" s="1"/>
  <c r="C19" i="15"/>
  <c r="C20" i="15" s="1"/>
  <c r="C6" i="15"/>
  <c r="C10" i="15" s="1"/>
  <c r="C5" i="15" s="1"/>
  <c r="C38" i="15" s="1"/>
  <c r="C6" i="77"/>
  <c r="C5" i="77" s="1"/>
  <c r="C39" i="43"/>
  <c r="E39" i="43" s="1"/>
  <c r="C38" i="43"/>
  <c r="G38" i="43" s="1"/>
  <c r="I38" i="43" s="1"/>
  <c r="C31" i="15"/>
  <c r="T14" i="43"/>
  <c r="V14" i="43" s="1"/>
  <c r="AB10" i="39"/>
  <c r="U10" i="39"/>
  <c r="AC10" i="40"/>
  <c r="W10" i="40"/>
  <c r="S10" i="39"/>
  <c r="AA10" i="39"/>
  <c r="C34" i="11"/>
  <c r="N16" i="1"/>
  <c r="L16" i="1"/>
  <c r="C29" i="11"/>
  <c r="D27" i="11" s="1"/>
  <c r="C47" i="11"/>
  <c r="D45" i="11" s="1"/>
  <c r="C28" i="11"/>
  <c r="C27" i="11" s="1"/>
  <c r="AB10" i="40"/>
  <c r="U10" i="40"/>
  <c r="AA10" i="40"/>
  <c r="S10" i="40"/>
  <c r="AC10" i="39"/>
  <c r="W10" i="39"/>
  <c r="B3" i="83"/>
  <c r="B2" i="83"/>
  <c r="C23" i="77"/>
  <c r="D31" i="6"/>
  <c r="S21" i="6"/>
  <c r="S27" i="6" s="1"/>
  <c r="I27" i="6"/>
  <c r="H21" i="6"/>
  <c r="B3" i="21"/>
  <c r="B2" i="74"/>
  <c r="T5" i="43"/>
  <c r="V5" i="43" s="1"/>
  <c r="T6" i="43"/>
  <c r="V6" i="43" s="1"/>
  <c r="Q49" i="67"/>
  <c r="C34" i="43"/>
  <c r="E34" i="43" s="1"/>
  <c r="T16" i="43"/>
  <c r="V16" i="43" s="1"/>
  <c r="T7" i="43"/>
  <c r="V7" i="43" s="1"/>
  <c r="T8" i="43"/>
  <c r="V8" i="43" s="1"/>
  <c r="R50" i="34"/>
  <c r="C49" i="34" s="1"/>
  <c r="J59" i="67"/>
  <c r="J60" i="67" s="1"/>
  <c r="Q48" i="67" s="1"/>
  <c r="J14" i="67"/>
  <c r="J22" i="67" s="1"/>
  <c r="T10" i="43"/>
  <c r="V10" i="43" s="1"/>
  <c r="C33" i="43"/>
  <c r="T13" i="43"/>
  <c r="V13" i="43" s="1"/>
  <c r="T2" i="43"/>
  <c r="V2" i="43" s="1"/>
  <c r="E49" i="34"/>
  <c r="I54" i="34" s="1"/>
  <c r="J54" i="34" s="1"/>
  <c r="C13" i="67"/>
  <c r="C37" i="67" s="1"/>
  <c r="T4" i="43"/>
  <c r="V4" i="43" s="1"/>
  <c r="T11" i="43"/>
  <c r="V11" i="43" s="1"/>
  <c r="T12" i="43"/>
  <c r="V12" i="43" s="1"/>
  <c r="T9" i="43"/>
  <c r="V9" i="43" s="1"/>
  <c r="T15" i="43"/>
  <c r="V15" i="43" s="1"/>
  <c r="C37" i="43"/>
  <c r="E37" i="43" s="1"/>
  <c r="C35" i="43"/>
  <c r="E35" i="43" s="1"/>
  <c r="C36" i="43"/>
  <c r="E36" i="43" s="1"/>
  <c r="C29" i="43"/>
  <c r="C30" i="43" s="1"/>
  <c r="E30" i="43" s="1"/>
  <c r="T3" i="43"/>
  <c r="V3" i="43" s="1"/>
  <c r="C36" i="67"/>
  <c r="J19" i="67"/>
  <c r="J17" i="67" s="1"/>
  <c r="C29" i="77"/>
  <c r="J59" i="15"/>
  <c r="J60" i="15" s="1"/>
  <c r="Q48" i="15" s="1"/>
  <c r="R6" i="1"/>
  <c r="C22" i="11"/>
  <c r="C31" i="11" s="1"/>
  <c r="C19" i="68"/>
  <c r="D37" i="68"/>
  <c r="C37" i="68" s="1"/>
  <c r="C33" i="68" s="1"/>
  <c r="C19" i="69"/>
  <c r="C24" i="69" s="1"/>
  <c r="D37" i="69"/>
  <c r="C37" i="69" s="1"/>
  <c r="C33" i="69" s="1"/>
  <c r="C22" i="12"/>
  <c r="C27" i="12" s="1"/>
  <c r="C25" i="12" s="1"/>
  <c r="I6" i="6"/>
  <c r="I5" i="6"/>
  <c r="H65" i="40"/>
  <c r="I63" i="40"/>
  <c r="C50" i="34"/>
  <c r="B2" i="34" s="1"/>
  <c r="I68" i="39"/>
  <c r="H70" i="39"/>
  <c r="G53" i="34"/>
  <c r="H53" i="34" s="1"/>
  <c r="G54" i="34"/>
  <c r="H54" i="34" s="1"/>
  <c r="G39" i="43"/>
  <c r="I39" i="43" s="1"/>
  <c r="C61" i="67"/>
  <c r="C59" i="67" s="1"/>
  <c r="C64" i="67"/>
  <c r="C61" i="15"/>
  <c r="C59" i="15" s="1"/>
  <c r="M21" i="67"/>
  <c r="C19" i="80"/>
  <c r="F35" i="67"/>
  <c r="E38" i="43" l="1"/>
  <c r="C26" i="15"/>
  <c r="C23" i="15"/>
  <c r="G35" i="43"/>
  <c r="I35" i="43" s="1"/>
  <c r="F50" i="68"/>
  <c r="F50" i="69"/>
  <c r="F50" i="11"/>
  <c r="C38" i="77"/>
  <c r="C31" i="77"/>
  <c r="C38" i="11"/>
  <c r="C35" i="11"/>
  <c r="C33" i="11" s="1"/>
  <c r="G37" i="43"/>
  <c r="I37" i="43" s="1"/>
  <c r="R21" i="6"/>
  <c r="R27" i="6" s="1"/>
  <c r="H27" i="6"/>
  <c r="Q70" i="67"/>
  <c r="J13" i="67"/>
  <c r="J23" i="67" s="1"/>
  <c r="J16" i="67" s="1"/>
  <c r="J25" i="67" s="1"/>
  <c r="C75" i="67"/>
  <c r="C102" i="80"/>
  <c r="C21" i="80"/>
  <c r="B3" i="34"/>
  <c r="C56" i="67"/>
  <c r="C65" i="67" s="1"/>
  <c r="C58" i="67" s="1"/>
  <c r="C67" i="67" s="1"/>
  <c r="C68" i="67" s="1"/>
  <c r="G34" i="43"/>
  <c r="I34" i="43" s="1"/>
  <c r="D7" i="74"/>
  <c r="D8" i="74"/>
  <c r="J20" i="67"/>
  <c r="F63" i="67"/>
  <c r="C62" i="67" s="1"/>
  <c r="R16" i="1"/>
  <c r="E54" i="34"/>
  <c r="F54" i="34" s="1"/>
  <c r="E33" i="43"/>
  <c r="G33" i="43"/>
  <c r="I33" i="43" s="1"/>
  <c r="E53" i="34"/>
  <c r="F53" i="34" s="1"/>
  <c r="E29" i="43"/>
  <c r="G36" i="43"/>
  <c r="I36" i="43" s="1"/>
  <c r="C30" i="67"/>
  <c r="C39" i="67" s="1"/>
  <c r="C40" i="67" s="1"/>
  <c r="C57" i="77"/>
  <c r="C64" i="77" s="1"/>
  <c r="Q49" i="77"/>
  <c r="C36" i="77"/>
  <c r="J19" i="77"/>
  <c r="J14" i="77"/>
  <c r="C13" i="77"/>
  <c r="J59" i="77"/>
  <c r="J60" i="77" s="1"/>
  <c r="L46" i="15"/>
  <c r="C30" i="12"/>
  <c r="C28" i="12" s="1"/>
  <c r="C32" i="12" s="1"/>
  <c r="B2" i="12" s="1"/>
  <c r="B3" i="12" s="1"/>
  <c r="C24" i="68"/>
  <c r="C39" i="69"/>
  <c r="C42" i="69"/>
  <c r="C39" i="68"/>
  <c r="C43" i="68" s="1"/>
  <c r="C42" i="68"/>
  <c r="I65" i="40"/>
  <c r="J63" i="40"/>
  <c r="J68" i="39"/>
  <c r="I70" i="39"/>
  <c r="C20" i="80"/>
  <c r="C29" i="15" l="1"/>
  <c r="J19" i="15" s="1"/>
  <c r="J17" i="15" s="1"/>
  <c r="C39" i="11"/>
  <c r="C42" i="11"/>
  <c r="C103" i="80"/>
  <c r="C27" i="43"/>
  <c r="C26" i="43"/>
  <c r="B2" i="43" s="1"/>
  <c r="C6" i="69" s="1"/>
  <c r="Q69" i="67"/>
  <c r="Q68" i="67" s="1"/>
  <c r="C80" i="67"/>
  <c r="C79" i="67" s="1"/>
  <c r="C41" i="68"/>
  <c r="Q48" i="77"/>
  <c r="L46" i="77"/>
  <c r="J22" i="77"/>
  <c r="J13" i="77"/>
  <c r="J23" i="77" s="1"/>
  <c r="C75" i="77"/>
  <c r="Q70" i="77"/>
  <c r="C56" i="77"/>
  <c r="C65" i="77" s="1"/>
  <c r="C58" i="77" s="1"/>
  <c r="C67" i="77" s="1"/>
  <c r="C68" i="77" s="1"/>
  <c r="C37" i="77"/>
  <c r="C30" i="77" s="1"/>
  <c r="C39" i="77" s="1"/>
  <c r="C46" i="69"/>
  <c r="C45" i="69" s="1"/>
  <c r="C43" i="69"/>
  <c r="C41" i="69" s="1"/>
  <c r="C46" i="68"/>
  <c r="C45" i="68" s="1"/>
  <c r="K63" i="40"/>
  <c r="J65" i="40"/>
  <c r="K68" i="39"/>
  <c r="J70" i="39"/>
  <c r="L57" i="67"/>
  <c r="L60" i="67" s="1"/>
  <c r="L46" i="67" s="1"/>
  <c r="D2" i="67" s="1"/>
  <c r="C71" i="67"/>
  <c r="C45" i="67"/>
  <c r="C46" i="67" s="1"/>
  <c r="Q56" i="67"/>
  <c r="Q47" i="67"/>
  <c r="Q53" i="67" s="1"/>
  <c r="Q65" i="67"/>
  <c r="C43" i="67"/>
  <c r="C83" i="67"/>
  <c r="C82" i="67" s="1"/>
  <c r="B6" i="76"/>
  <c r="E6" i="76"/>
  <c r="L51" i="67"/>
  <c r="Q49" i="15" l="1"/>
  <c r="C13" i="15"/>
  <c r="Q70" i="15" s="1"/>
  <c r="C36" i="15"/>
  <c r="J14" i="15"/>
  <c r="C57" i="15"/>
  <c r="C64" i="15" s="1"/>
  <c r="C56" i="15"/>
  <c r="C65" i="15" s="1"/>
  <c r="C58" i="15" s="1"/>
  <c r="C67" i="15" s="1"/>
  <c r="C68" i="15" s="1"/>
  <c r="C46" i="11"/>
  <c r="C45" i="11" s="1"/>
  <c r="C43" i="11"/>
  <c r="C41" i="11" s="1"/>
  <c r="C49" i="11" s="1"/>
  <c r="C51" i="11" s="1"/>
  <c r="H41" i="69"/>
  <c r="C7" i="69"/>
  <c r="C5" i="69" s="1"/>
  <c r="C6" i="68"/>
  <c r="C7" i="68" s="1"/>
  <c r="C5" i="68" s="1"/>
  <c r="C23" i="68" s="1"/>
  <c r="Q67" i="67"/>
  <c r="E2" i="76"/>
  <c r="B2" i="76"/>
  <c r="B3" i="43"/>
  <c r="C49" i="68"/>
  <c r="C51" i="68" s="1"/>
  <c r="C49" i="69"/>
  <c r="C51" i="69" s="1"/>
  <c r="J16" i="77"/>
  <c r="J25" i="77" s="1"/>
  <c r="C71" i="77"/>
  <c r="Q69" i="77"/>
  <c r="Q68" i="77" s="1"/>
  <c r="C40" i="77"/>
  <c r="C80" i="77"/>
  <c r="C79" i="77" s="1"/>
  <c r="L63" i="40"/>
  <c r="K65" i="40"/>
  <c r="L68" i="39"/>
  <c r="K70" i="39"/>
  <c r="Q66" i="67"/>
  <c r="Q75" i="67" s="1"/>
  <c r="Q57" i="67"/>
  <c r="Q62" i="67" s="1"/>
  <c r="B2" i="67"/>
  <c r="B3" i="67"/>
  <c r="D19" i="80"/>
  <c r="L51" i="77"/>
  <c r="AO6" i="1"/>
  <c r="D20" i="80"/>
  <c r="C75" i="15" l="1"/>
  <c r="J22" i="15"/>
  <c r="J13" i="15"/>
  <c r="J23" i="15" s="1"/>
  <c r="J16" i="15" s="1"/>
  <c r="J25" i="15" s="1"/>
  <c r="C37" i="15"/>
  <c r="C30" i="15" s="1"/>
  <c r="C39" i="15" s="1"/>
  <c r="C40" i="15"/>
  <c r="Q69" i="15"/>
  <c r="Q68" i="15" s="1"/>
  <c r="C46" i="15"/>
  <c r="C71" i="15"/>
  <c r="C52" i="11"/>
  <c r="B2" i="11" s="1"/>
  <c r="B3" i="11" s="1"/>
  <c r="C23" i="69"/>
  <c r="C20" i="69"/>
  <c r="C25" i="69" s="1"/>
  <c r="C20" i="68"/>
  <c r="C25" i="68" s="1"/>
  <c r="C22" i="68" s="1"/>
  <c r="D103" i="80"/>
  <c r="G20" i="80"/>
  <c r="R24" i="31" s="1"/>
  <c r="D102" i="80"/>
  <c r="D22" i="80"/>
  <c r="D21" i="80"/>
  <c r="G19" i="80"/>
  <c r="B6" i="70"/>
  <c r="B3" i="76"/>
  <c r="Q67" i="77"/>
  <c r="L57" i="77"/>
  <c r="L60" i="77" s="1"/>
  <c r="Q65" i="77"/>
  <c r="Q56" i="77"/>
  <c r="Q47" i="77"/>
  <c r="Q53" i="77" s="1"/>
  <c r="C43" i="77"/>
  <c r="D2" i="77"/>
  <c r="C83" i="77"/>
  <c r="C82" i="77" s="1"/>
  <c r="C45" i="77"/>
  <c r="C46" i="77" s="1"/>
  <c r="M63" i="40"/>
  <c r="L65" i="40"/>
  <c r="M68" i="39"/>
  <c r="L70" i="39"/>
  <c r="L51" i="15"/>
  <c r="C80" i="15" l="1"/>
  <c r="C79" i="15" s="1"/>
  <c r="Q67" i="15"/>
  <c r="L57" i="15"/>
  <c r="L60" i="15" s="1"/>
  <c r="Q57" i="15" s="1"/>
  <c r="C56" i="11"/>
  <c r="C57" i="11" s="1"/>
  <c r="Q66" i="15"/>
  <c r="B2" i="15"/>
  <c r="B3" i="15" s="1"/>
  <c r="Q47" i="15"/>
  <c r="Q53" i="15" s="1"/>
  <c r="C83" i="15"/>
  <c r="C82" i="15" s="1"/>
  <c r="Q65" i="15"/>
  <c r="C43" i="15"/>
  <c r="Q56" i="15"/>
  <c r="Q62" i="15" s="1"/>
  <c r="H25" i="69"/>
  <c r="C28" i="69"/>
  <c r="C27" i="69" s="1"/>
  <c r="C28" i="68"/>
  <c r="C27" i="68" s="1"/>
  <c r="C31" i="68" s="1"/>
  <c r="C52" i="68" s="1"/>
  <c r="C22" i="69"/>
  <c r="S24" i="31"/>
  <c r="R28" i="31"/>
  <c r="S28" i="31" s="1"/>
  <c r="R27" i="31"/>
  <c r="S27" i="31" s="1"/>
  <c r="R26" i="31"/>
  <c r="S26" i="31" s="1"/>
  <c r="R25" i="31"/>
  <c r="S25" i="31" s="1"/>
  <c r="G21" i="80"/>
  <c r="C32" i="80"/>
  <c r="B3" i="77"/>
  <c r="B2" i="77"/>
  <c r="Q57" i="77"/>
  <c r="Q62" i="77" s="1"/>
  <c r="Q66" i="77"/>
  <c r="Q75" i="77" s="1"/>
  <c r="N63" i="40"/>
  <c r="M65" i="40"/>
  <c r="N68" i="39"/>
  <c r="M70" i="39"/>
  <c r="D35" i="9"/>
  <c r="D34" i="9"/>
  <c r="AO7" i="1"/>
  <c r="Q75" i="15" l="1"/>
  <c r="C31" i="69"/>
  <c r="C52" i="69" s="1"/>
  <c r="B2" i="69" s="1"/>
  <c r="B2" i="68"/>
  <c r="C57" i="68"/>
  <c r="C56" i="68" s="1"/>
  <c r="S22" i="31"/>
  <c r="C35" i="80"/>
  <c r="B7" i="70"/>
  <c r="B2" i="70" s="1"/>
  <c r="B3" i="70" s="1"/>
  <c r="N65" i="40"/>
  <c r="O63" i="40"/>
  <c r="O65" i="40" s="1"/>
  <c r="F7" i="40" s="1"/>
  <c r="O68" i="39"/>
  <c r="O70" i="39" s="1"/>
  <c r="N70" i="39"/>
  <c r="B3" i="68"/>
  <c r="B3" i="69"/>
  <c r="J7" i="40" l="1"/>
  <c r="C57" i="69"/>
  <c r="C56" i="69" s="1"/>
  <c r="R22" i="31"/>
  <c r="B21" i="31" s="1"/>
  <c r="B20" i="31"/>
  <c r="G118" i="80"/>
  <c r="F118" i="80" s="1"/>
  <c r="F119" i="80" s="1"/>
  <c r="C34" i="80"/>
  <c r="I118" i="80"/>
  <c r="H118" i="80" s="1"/>
  <c r="H119" i="80" s="1"/>
  <c r="S7" i="40"/>
  <c r="AA7" i="40"/>
  <c r="R42" i="40" s="1"/>
  <c r="H7" i="40"/>
  <c r="W7" i="40"/>
  <c r="AC7" i="40"/>
  <c r="V42" i="40" s="1"/>
  <c r="I42" i="40" s="1"/>
  <c r="F7" i="39"/>
  <c r="J7" i="39"/>
  <c r="H7" i="39"/>
  <c r="D20" i="9"/>
  <c r="C19" i="9"/>
  <c r="C20" i="9"/>
  <c r="D19" i="9"/>
  <c r="D15" i="74" l="1"/>
  <c r="D103" i="9"/>
  <c r="D102" i="9"/>
  <c r="D21" i="9"/>
  <c r="G20" i="9"/>
  <c r="C103" i="9"/>
  <c r="C102" i="9"/>
  <c r="D22" i="9"/>
  <c r="G19" i="9"/>
  <c r="C21" i="9"/>
  <c r="C104" i="80"/>
  <c r="H101" i="80"/>
  <c r="H107" i="80" s="1"/>
  <c r="E118" i="80"/>
  <c r="D118" i="80" s="1"/>
  <c r="D119" i="80" s="1"/>
  <c r="H102" i="80"/>
  <c r="C105" i="80"/>
  <c r="E42" i="40"/>
  <c r="I47" i="40" s="1"/>
  <c r="J47" i="40" s="1"/>
  <c r="R43" i="40"/>
  <c r="I46" i="40"/>
  <c r="J46" i="40" s="1"/>
  <c r="U7" i="40"/>
  <c r="AB7" i="40"/>
  <c r="T42" i="40" s="1"/>
  <c r="G42" i="40" s="1"/>
  <c r="AB7" i="39"/>
  <c r="T47" i="39" s="1"/>
  <c r="G47" i="39" s="1"/>
  <c r="U7" i="39"/>
  <c r="AC7" i="39"/>
  <c r="V47" i="39" s="1"/>
  <c r="I47" i="39" s="1"/>
  <c r="W7" i="39"/>
  <c r="S7" i="39"/>
  <c r="AA7" i="39"/>
  <c r="R47" i="39" s="1"/>
  <c r="F15" i="74" l="1"/>
  <c r="E15" i="74"/>
  <c r="D45" i="80"/>
  <c r="C85" i="80" s="1"/>
  <c r="M48" i="80"/>
  <c r="C32" i="9"/>
  <c r="G21" i="9"/>
  <c r="H108" i="80"/>
  <c r="D122" i="80"/>
  <c r="D123" i="80" s="1"/>
  <c r="G47" i="40"/>
  <c r="H47" i="40" s="1"/>
  <c r="G46" i="40"/>
  <c r="H46" i="40" s="1"/>
  <c r="C43" i="40"/>
  <c r="C42" i="40"/>
  <c r="E47" i="40"/>
  <c r="F47" i="40" s="1"/>
  <c r="E46" i="40"/>
  <c r="F46" i="40" s="1"/>
  <c r="I51" i="39"/>
  <c r="J51" i="39" s="1"/>
  <c r="E47" i="39"/>
  <c r="I52" i="39" s="1"/>
  <c r="J52" i="39" s="1"/>
  <c r="R48" i="39"/>
  <c r="G51" i="39"/>
  <c r="H51" i="39" s="1"/>
  <c r="G52" i="39"/>
  <c r="H52" i="39" s="1"/>
  <c r="D52" i="80" l="1"/>
  <c r="C78" i="80"/>
  <c r="C73" i="80" s="1"/>
  <c r="C72" i="80"/>
  <c r="C64" i="80"/>
  <c r="C63" i="80" s="1"/>
  <c r="C67" i="80" s="1"/>
  <c r="C68" i="80" s="1"/>
  <c r="D54" i="80" s="1"/>
  <c r="D55" i="80"/>
  <c r="M53" i="80" s="1"/>
  <c r="C93" i="80"/>
  <c r="C86" i="80" s="1"/>
  <c r="C95" i="80" s="1"/>
  <c r="D53" i="80"/>
  <c r="C35" i="9"/>
  <c r="F118" i="9" s="1"/>
  <c r="H118" i="9"/>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C79" i="80" l="1"/>
  <c r="C80" i="80" s="1"/>
  <c r="E80" i="80" s="1"/>
  <c r="E81" i="80" s="1"/>
  <c r="C34" i="9"/>
  <c r="D118" i="9" s="1"/>
  <c r="D119" i="9" s="1"/>
  <c r="D5" i="52" s="1"/>
  <c r="B49" i="72" s="1"/>
  <c r="I118" i="9"/>
  <c r="H101" i="9"/>
  <c r="H4" i="52"/>
  <c r="D14" i="74"/>
  <c r="H119" i="9"/>
  <c r="H5" i="52" s="1"/>
  <c r="C104" i="9"/>
  <c r="F4" i="52"/>
  <c r="B51" i="72" s="1"/>
  <c r="G118" i="9"/>
  <c r="G4" i="52" s="1"/>
  <c r="B52" i="72" s="1"/>
  <c r="F119" i="9"/>
  <c r="F5" i="52" s="1"/>
  <c r="B53" i="72" s="1"/>
  <c r="C96" i="80"/>
  <c r="E96" i="80" s="1"/>
  <c r="E97" i="8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81" i="80" l="1"/>
  <c r="D4" i="52"/>
  <c r="B47" i="72" s="1"/>
  <c r="I4" i="52"/>
  <c r="C105" i="9"/>
  <c r="H102" i="9"/>
  <c r="D7" i="53" s="1"/>
  <c r="B21" i="72" s="1"/>
  <c r="E118" i="9"/>
  <c r="E4" i="52" s="1"/>
  <c r="B48" i="72" s="1"/>
  <c r="E14" i="74"/>
  <c r="F14" i="74"/>
  <c r="D45" i="9"/>
  <c r="H107" i="9"/>
  <c r="D5" i="53"/>
  <c r="M48" i="9"/>
  <c r="C97" i="80"/>
  <c r="D58" i="80" s="1"/>
  <c r="D56" i="80" s="1"/>
  <c r="M54" i="80" s="1"/>
  <c r="N57" i="80" s="1"/>
  <c r="P57" i="80" s="1"/>
  <c r="D6" i="53" l="1"/>
  <c r="B22" i="72" s="1"/>
  <c r="B20" i="72"/>
  <c r="C93" i="9"/>
  <c r="C86" i="9" s="1"/>
  <c r="D53" i="9"/>
  <c r="C64" i="9"/>
  <c r="C63" i="9" s="1"/>
  <c r="C67" i="9" s="1"/>
  <c r="C68" i="9" s="1"/>
  <c r="D54" i="9" s="1"/>
  <c r="D52" i="9"/>
  <c r="C85" i="9"/>
  <c r="C72" i="9"/>
  <c r="D55" i="9"/>
  <c r="M53" i="9" s="1"/>
  <c r="C78" i="9"/>
  <c r="C73" i="9" s="1"/>
  <c r="D13" i="53"/>
  <c r="H108" i="9"/>
  <c r="D15" i="53" s="1"/>
  <c r="B31" i="72" s="1"/>
  <c r="D122" i="9"/>
  <c r="N58" i="80"/>
  <c r="N59" i="80"/>
  <c r="N60" i="80" s="1"/>
  <c r="C95" i="9" l="1"/>
  <c r="C96" i="9" s="1"/>
  <c r="E96" i="9" s="1"/>
  <c r="E97" i="9" s="1"/>
  <c r="C79" i="9"/>
  <c r="D123" i="9"/>
  <c r="D9" i="52" s="1"/>
  <c r="G14" i="74"/>
  <c r="B6" i="74" s="1"/>
  <c r="D8" i="52"/>
  <c r="B30" i="72"/>
  <c r="D14" i="53"/>
  <c r="B32" i="72" s="1"/>
  <c r="N61" i="80"/>
  <c r="C97" i="9" l="1"/>
  <c r="D58" i="9" s="1"/>
  <c r="D56" i="9" s="1"/>
  <c r="M54" i="9" s="1"/>
  <c r="N57" i="9" s="1"/>
  <c r="N58" i="9" s="1"/>
  <c r="D6" i="74"/>
  <c r="C6" i="74"/>
  <c r="C80" i="9"/>
  <c r="E80" i="9" s="1"/>
  <c r="E81" i="9" s="1"/>
  <c r="P57" i="9" l="1"/>
  <c r="N59" i="9"/>
  <c r="N61" i="9" s="1"/>
  <c r="C81" i="9"/>
  <c r="N60" i="9" l="1"/>
  <c r="D17" i="74" l="1"/>
  <c r="F17" i="74" l="1"/>
  <c r="E17" i="74"/>
  <c r="D16" i="74" l="1"/>
  <c r="F16" i="74" l="1"/>
  <c r="E16" i="74"/>
  <c r="B5" i="74"/>
  <c r="D5" i="74" l="1"/>
  <c r="C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<sst xmlns="http://schemas.openxmlformats.org/spreadsheetml/2006/main" count="9192" uniqueCount="3285">
  <si>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</si>
  <si>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</si>
  <si>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</si>
  <si>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</si>
  <si>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</si>
  <si>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</si>
  <si>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</si>
  <si>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</si>
  <si>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</si>
  <si>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</si>
  <si>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</si>
  <si>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</si>
  <si>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</si>
  <si>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</si>
  <si>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</si>
  <si>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</si>
  <si>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</si>
  <si>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</si>
  <si>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</si>
  <si>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</si>
  <si>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</si>
  <si>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</si>
  <si>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</si>
  <si>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</si>
  <si>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</si>
  <si>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</si>
  <si>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</si>
  <si>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</si>
  <si>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</si>
  <si>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</si>
  <si>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</si>
  <si>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</si>
  <si>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</si>
  <si>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</si>
  <si>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</si>
  <si>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</si>
  <si>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</si>
  <si>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</si>
  <si>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</si>
  <si>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</si>
  <si>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</si>
  <si>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</si>
  <si>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</si>
  <si>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</si>
  <si>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</si>
  <si>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</si>
  <si>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</si>
  <si>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</si>
  <si>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</si>
  <si>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</si>
  <si>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</si>
  <si>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</si>
  <si>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</si>
  <si>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</si>
  <si>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</si>
  <si>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</si>
  <si>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</si>
  <si>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</si>
  <si>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</si>
  <si>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</si>
  <si>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</si>
  <si>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</si>
  <si>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</si>
  <si>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</si>
  <si>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</si>
  <si>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</si>
  <si>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</si>
  <si>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</si>
  <si>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</si>
  <si>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</si>
  <si>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</si>
  <si>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</si>
  <si>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</si>
  <si>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</si>
  <si>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</si>
  <si>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</si>
  <si>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</si>
  <si>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</si>
  <si>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</si>
  <si>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</si>
  <si>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</si>
  <si>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</si>
  <si>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</si>
  <si>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</si>
  <si>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</si>
  <si>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</si>
  <si>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</si>
  <si>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</si>
  <si>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</si>
  <si>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</si>
  <si>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</si>
  <si>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</si>
  <si>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</si>
  <si>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</si>
  <si>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</si>
  <si>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</si>
  <si>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</si>
  <si>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</si>
  <si>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</si>
  <si>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</si>
  <si>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</si>
  <si>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</si>
  <si>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</si>
  <si>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</si>
  <si>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</si>
  <si>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</si>
  <si>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</si>
  <si>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</si>
  <si>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</si>
  <si>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</si>
  <si>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</si>
  <si>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</si>
  <si>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</si>
  <si>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</si>
  <si>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</si>
  <si>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</si>
  <si>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</si>
  <si>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</si>
  <si>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</si>
  <si>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</si>
  <si>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</si>
  <si>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</si>
  <si>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</si>
  <si>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</si>
  <si>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</si>
  <si>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</si>
  <si>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</si>
  <si>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</si>
  <si>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</si>
  <si>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</si>
  <si>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</si>
  <si>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</si>
  <si>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</si>
  <si>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</si>
  <si>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</si>
  <si>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</si>
  <si>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</si>
  <si>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</si>
  <si>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</si>
  <si>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</si>
  <si>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</si>
  <si>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</si>
  <si>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</si>
  <si>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</si>
  <si>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</si>
  <si>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</si>
  <si>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</si>
  <si>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</si>
  <si>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</si>
  <si>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</si>
  <si>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</si>
  <si>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</si>
  <si>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</si>
  <si>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</si>
  <si>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</si>
  <si>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</si>
  <si>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</si>
  <si>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</si>
  <si>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</si>
  <si>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</si>
  <si>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</si>
  <si>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</si>
  <si>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</si>
  <si>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</si>
  <si>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</si>
  <si>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</si>
  <si>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</si>
  <si>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</si>
  <si>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</si>
  <si>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</si>
  <si>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</si>
  <si>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</si>
  <si>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</si>
  <si>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</si>
  <si>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</si>
  <si>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</si>
  <si>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</si>
  <si>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</si>
  <si>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</si>
  <si>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</si>
  <si>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</si>
  <si>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</si>
  <si>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</si>
  <si>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</si>
  <si>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</si>
  <si>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</si>
  <si>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</si>
  <si>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</si>
  <si>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</si>
  <si>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</si>
  <si>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</si>
  <si>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</si>
  <si>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</si>
  <si>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</si>
  <si>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</si>
  <si>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</si>
  <si>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</si>
  <si>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</si>
  <si>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</si>
  <si>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</si>
  <si>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</si>
  <si>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</si>
  <si>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</si>
  <si>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</si>
  <si>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</si>
  <si>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</si>
  <si>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</si>
  <si>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</si>
  <si>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</si>
  <si>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</si>
  <si>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</si>
  <si>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</si>
  <si>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</si>
  <si>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</si>
  <si>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</si>
  <si>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</si>
  <si>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</si>
  <si>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</si>
  <si>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</si>
  <si>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</si>
  <si>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</si>
  <si>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</si>
  <si>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</si>
  <si>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</si>
  <si>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</si>
  <si>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</si>
  <si>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</si>
  <si>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</si>
  <si>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</si>
  <si>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</si>
  <si>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</si>
  <si>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</si>
  <si>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</si>
  <si>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</si>
  <si>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</si>
  <si>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</si>
  <si>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</si>
  <si>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</si>
  <si>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</si>
  <si>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</si>
  <si>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</si>
  <si>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</si>
  <si>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</si>
  <si>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</si>
  <si>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</si>
  <si>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</si>
  <si>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</si>
  <si>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</si>
  <si>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</si>
  <si>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</si>
  <si>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</si>
  <si>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</si>
  <si>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</si>
  <si>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</si>
  <si>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</si>
  <si>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</si>
  <si>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</si>
  <si>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</si>
  <si>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</si>
  <si>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</si>
  <si>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</si>
  <si>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</si>
  <si>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</si>
  <si>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</si>
  <si>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</si>
  <si>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</si>
  <si>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</si>
  <si>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</si>
  <si>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</si>
  <si>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</si>
  <si>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</si>
  <si>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</si>
  <si>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</si>
  <si>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</si>
  <si>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</si>
  <si>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</si>
  <si>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</si>
  <si>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</si>
  <si>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</si>
  <si>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</si>
  <si>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</si>
  <si>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</si>
  <si>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</si>
  <si>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</si>
  <si>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</si>
  <si>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</si>
  <si>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</si>
  <si>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</si>
  <si>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</si>
  <si>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</si>
  <si>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</si>
  <si>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</si>
  <si>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</si>
  <si>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</si>
  <si>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</si>
  <si>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</si>
  <si>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</si>
  <si>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</si>
  <si>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</si>
  <si>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</si>
  <si>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</si>
  <si>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</si>
  <si>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</si>
  <si>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</si>
  <si>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</si>
  <si>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</si>
  <si>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</si>
  <si>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</si>
  <si>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</si>
  <si>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</si>
  <si>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</si>
  <si>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</si>
  <si>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</si>
  <si>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</si>
  <si>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</si>
  <si>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</si>
  <si>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</si>
  <si>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</si>
  <si>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</si>
  <si>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</si>
  <si>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</si>
  <si>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</si>
  <si>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</si>
  <si>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</si>
  <si>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</si>
  <si>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</si>
  <si>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</si>
  <si>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</si>
  <si>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</si>
  <si>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</si>
  <si>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</si>
  <si>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</si>
  <si>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</si>
  <si>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</si>
  <si>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</si>
  <si>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</si>
  <si>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</si>
  <si>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</si>
  <si>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</si>
  <si>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</si>
  <si>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</si>
  <si>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</si>
  <si>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</si>
  <si>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</si>
  <si>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</si>
  <si>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</si>
  <si>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</si>
  <si>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</si>
  <si>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</si>
  <si>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</si>
  <si>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</si>
  <si>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</si>
  <si>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</si>
  <si>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</si>
  <si>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</si>
  <si>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</si>
  <si>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</si>
  <si>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</si>
  <si>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</si>
  <si>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</si>
  <si>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</si>
  <si>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</si>
  <si>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</si>
  <si>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</si>
  <si>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</si>
  <si>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</si>
  <si>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</si>
  <si>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</si>
  <si>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</si>
  <si>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</si>
  <si>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</si>
  <si>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</si>
  <si>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</si>
  <si>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</si>
  <si>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</si>
  <si>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</si>
  <si>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</si>
  <si>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</si>
  <si>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</si>
  <si>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</si>
  <si>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</si>
  <si>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</si>
  <si>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</si>
  <si>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</si>
  <si>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</si>
  <si>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</si>
  <si>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</si>
  <si>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</si>
  <si>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</si>
  <si>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</si>
  <si>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</si>
  <si>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</si>
  <si>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</si>
  <si>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</si>
  <si>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</si>
  <si>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</si>
  <si>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</si>
  <si>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</si>
  <si>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</si>
  <si>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</si>
  <si>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</si>
  <si>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</si>
  <si>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</si>
  <si>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</si>
  <si>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</si>
  <si>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</si>
  <si>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</si>
  <si>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</si>
  <si>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</si>
  <si>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</si>
  <si>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</si>
  <si>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</si>
  <si>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</si>
  <si>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</si>
  <si>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</si>
  <si>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</si>
  <si>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</si>
  <si>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</si>
  <si>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</si>
  <si>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</si>
  <si>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</si>
  <si>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</si>
  <si>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</si>
  <si>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</si>
  <si>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</si>
  <si>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</si>
  <si>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</si>
  <si>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</si>
  <si>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</si>
  <si>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</si>
  <si>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</si>
  <si>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</si>
  <si>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</si>
  <si>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</si>
  <si>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</si>
  <si>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</si>
  <si>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</si>
  <si>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</si>
  <si>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</si>
  <si>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</si>
  <si>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</si>
  <si>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</si>
  <si>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</si>
  <si>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</si>
  <si>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</si>
  <si>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</si>
  <si>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</si>
  <si>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</si>
  <si>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</si>
  <si>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</si>
  <si>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</si>
  <si>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</si>
  <si>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</si>
  <si>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</si>
  <si>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</si>
  <si>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</si>
  <si>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</si>
  <si>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</si>
  <si>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</si>
  <si>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</si>
  <si>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</si>
  <si>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</si>
  <si>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</si>
  <si>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</si>
  <si>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</si>
  <si>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</si>
  <si>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</si>
  <si>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</si>
  <si>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</si>
  <si>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</si>
  <si>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</si>
  <si>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</si>
  <si>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</si>
  <si>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</si>
  <si>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</si>
  <si>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</si>
  <si>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</si>
  <si>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</si>
  <si>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</si>
  <si>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</si>
  <si>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</si>
  <si>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</si>
  <si>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</si>
  <si>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</si>
  <si>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</si>
  <si>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</si>
  <si>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</si>
  <si>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</si>
  <si>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</si>
  <si>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</si>
  <si>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</si>
  <si>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</si>
  <si>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</si>
  <si>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</si>
  <si>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</si>
  <si>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</si>
  <si>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</si>
  <si>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</si>
  <si>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</si>
  <si>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</si>
  <si>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</si>
  <si>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</si>
  <si>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</si>
  <si>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</si>
  <si>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</si>
  <si>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</si>
  <si>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</si>
  <si>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</si>
  <si>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</si>
  <si>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</si>
  <si>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</si>
  <si>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</si>
  <si>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</si>
  <si>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</si>
  <si>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</si>
  <si>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</si>
  <si>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</si>
  <si>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</si>
  <si>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</si>
  <si>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</si>
  <si>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</si>
  <si>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</si>
  <si>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</si>
  <si>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</si>
  <si>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</si>
  <si>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</si>
  <si>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</si>
  <si>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</si>
  <si>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</si>
  <si>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</si>
  <si>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</si>
  <si>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</si>
  <si>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</si>
  <si>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</si>
  <si>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</si>
  <si>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</si>
  <si>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</si>
  <si>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</si>
  <si>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</si>
  <si>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</si>
  <si>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</si>
  <si>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</si>
  <si>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</si>
  <si>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</si>
  <si>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</si>
  <si>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</si>
  <si>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</si>
  <si>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</si>
  <si>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</si>
  <si>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</si>
  <si>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</si>
  <si>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</si>
  <si>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</si>
  <si>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</si>
  <si>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</si>
  <si>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</si>
  <si>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</si>
  <si>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</si>
  <si>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</si>
  <si>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</si>
  <si>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</si>
  <si>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</si>
  <si>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</si>
  <si>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</si>
  <si>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</si>
  <si>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</si>
  <si>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</si>
  <si>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</si>
  <si>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</si>
  <si>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</si>
  <si>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</si>
  <si>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</si>
  <si>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</si>
  <si>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</si>
  <si>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</si>
  <si>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</si>
  <si>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</si>
  <si>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</si>
  <si>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</si>
  <si>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</si>
  <si>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</si>
  <si>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</si>
  <si>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</si>
  <si>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</si>
  <si>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</si>
  <si>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</si>
  <si>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</si>
  <si>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</si>
  <si>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</si>
  <si>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</si>
  <si>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</si>
  <si>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</si>
  <si>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</si>
  <si>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</si>
  <si>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</si>
  <si>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</si>
  <si>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</si>
  <si>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</si>
  <si>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</si>
  <si>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</si>
  <si>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</si>
  <si>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</si>
  <si>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</si>
  <si>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</si>
  <si>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</si>
  <si>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</si>
  <si>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</si>
  <si>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</si>
  <si>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</si>
  <si>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</si>
  <si>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</si>
  <si>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</si>
  <si>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</si>
  <si>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</si>
  <si>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</si>
  <si>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</si>
  <si>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</si>
  <si>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</si>
  <si>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</si>
  <si>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</si>
  <si>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</si>
  <si>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</si>
  <si>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</si>
  <si>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</si>
  <si>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</si>
  <si>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</si>
  <si>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</si>
  <si>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</si>
  <si>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</si>
  <si>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</si>
  <si>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</si>
  <si>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</si>
  <si>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</si>
  <si>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</si>
  <si>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</si>
  <si>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</si>
  <si>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</si>
  <si>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</si>
  <si>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</si>
  <si>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</si>
  <si>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</si>
  <si>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</si>
  <si>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</si>
  <si>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</si>
  <si>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</si>
  <si>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</si>
  <si>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</si>
  <si>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</si>
  <si>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</si>
  <si>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</si>
  <si>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</si>
  <si>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</si>
  <si>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</si>
  <si>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</si>
  <si>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</si>
  <si>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</si>
  <si>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</si>
  <si>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</si>
  <si>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</si>
  <si>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</si>
  <si>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</si>
  <si>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</si>
  <si>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</si>
  <si>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</si>
  <si>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</si>
  <si>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</si>
  <si>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</si>
  <si>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</si>
  <si>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</si>
  <si>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</si>
  <si>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</si>
  <si>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</si>
  <si>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</si>
  <si>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</si>
  <si>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</si>
  <si>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</si>
  <si>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</si>
  <si>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</si>
  <si>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</si>
  <si>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</si>
  <si>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</si>
  <si>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</si>
  <si>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</si>
  <si>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</si>
  <si>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</si>
  <si>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</si>
  <si>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</si>
  <si>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</si>
  <si>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</si>
  <si>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</si>
  <si>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</si>
  <si>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</si>
  <si>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</si>
  <si>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</si>
  <si>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</si>
  <si>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</si>
  <si>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</si>
  <si>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</si>
  <si>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</si>
  <si>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</si>
  <si>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</si>
  <si>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</si>
  <si>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</si>
  <si>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</si>
  <si>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</si>
  <si>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</si>
  <si>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</si>
  <si>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</si>
  <si>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</si>
  <si>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</si>
  <si>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</si>
  <si>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</si>
  <si>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</si>
  <si>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</si>
  <si>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</si>
  <si>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</si>
  <si>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</si>
  <si>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</si>
  <si>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</si>
  <si>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</si>
  <si>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</si>
  <si>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</si>
  <si>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</si>
  <si>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</si>
  <si>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</si>
  <si>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</si>
  <si>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</si>
  <si>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</si>
  <si>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</si>
  <si>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</si>
  <si>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</si>
  <si>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</si>
  <si>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</si>
  <si>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</si>
  <si>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</si>
  <si>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</si>
  <si>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</si>
  <si>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</si>
  <si>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</si>
  <si>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</si>
  <si>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</si>
  <si>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</si>
  <si>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</si>
  <si>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</si>
  <si>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</si>
  <si>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</si>
  <si>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</si>
  <si>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</si>
  <si>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</si>
  <si>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</si>
  <si>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</si>
  <si>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</si>
  <si>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</si>
  <si>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</si>
  <si>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</si>
  <si>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</si>
  <si>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</si>
  <si>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</si>
  <si>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</si>
  <si>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</si>
  <si>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</si>
  <si>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</si>
  <si>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</si>
  <si>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</si>
  <si>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</si>
  <si>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</si>
  <si>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</si>
  <si>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</si>
  <si>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</si>
  <si>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</si>
  <si>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</si>
  <si>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</si>
  <si>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</si>
  <si>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</si>
  <si>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</si>
  <si>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</si>
  <si>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</si>
  <si>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</si>
  <si>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</si>
  <si>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</si>
  <si>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</si>
  <si>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</si>
  <si>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</si>
  <si>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</si>
  <si>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</si>
  <si>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</si>
  <si>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</si>
  <si>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</si>
  <si>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</si>
  <si>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</si>
  <si>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</si>
  <si>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</si>
  <si>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</si>
  <si>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</si>
  <si>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</si>
  <si>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</si>
  <si>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</si>
  <si>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</si>
  <si>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</si>
  <si>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</si>
  <si>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</si>
  <si>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</si>
  <si>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</si>
  <si>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</si>
  <si>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</si>
  <si>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</si>
  <si>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</si>
  <si>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</si>
  <si>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</si>
  <si>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</si>
  <si>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</si>
  <si>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</si>
  <si>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</si>
  <si>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</si>
  <si>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</si>
  <si>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</si>
  <si>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</si>
  <si>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</si>
  <si>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</si>
  <si>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</si>
  <si>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</si>
  <si>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</si>
  <si>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</si>
  <si>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</si>
  <si>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</si>
  <si>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</si>
  <si>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</si>
  <si>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</si>
  <si>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</si>
  <si>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</si>
  <si>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</si>
  <si>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</si>
  <si>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</si>
  <si>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</si>
  <si>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</si>
  <si>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</si>
  <si>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</si>
  <si>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</si>
  <si>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</si>
  <si>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</si>
  <si>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</si>
  <si>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</si>
  <si>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</si>
  <si>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</si>
  <si>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</si>
  <si>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</si>
  <si>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</si>
  <si>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</si>
  <si>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</si>
  <si>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</si>
  <si>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</si>
  <si>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</si>
  <si>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</si>
  <si>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</si>
  <si>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</si>
  <si>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</si>
  <si>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</si>
  <si>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</si>
  <si>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</si>
  <si>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</si>
  <si>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</si>
  <si>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</si>
  <si>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</si>
  <si>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</si>
  <si>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</si>
  <si>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</si>
  <si>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</si>
  <si>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</si>
  <si>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</si>
  <si>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</si>
  <si>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</si>
  <si>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</si>
  <si>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</si>
  <si>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</si>
  <si>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</si>
  <si>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</si>
  <si>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</si>
  <si>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</si>
  <si>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</si>
  <si>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</si>
  <si>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</si>
  <si>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</si>
  <si>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</si>
  <si>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</si>
  <si>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</si>
  <si>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</si>
  <si>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</si>
  <si>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</si>
  <si>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</si>
  <si>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</si>
  <si>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</si>
  <si>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</si>
  <si>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</si>
  <si>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</si>
  <si>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</si>
  <si>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</si>
  <si>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</si>
  <si>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</si>
  <si>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</si>
  <si>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</si>
  <si>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</si>
  <si>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</si>
  <si>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</si>
  <si>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</si>
  <si>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</si>
  <si>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</si>
  <si>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</si>
  <si>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</si>
  <si>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</si>
  <si>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</si>
  <si>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</si>
  <si>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</si>
  <si>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</si>
  <si>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</si>
  <si>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</si>
  <si>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</si>
  <si>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</si>
  <si>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</si>
  <si>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</si>
  <si>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</si>
  <si>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</si>
  <si>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</si>
  <si>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</si>
  <si>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</si>
  <si>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</si>
  <si>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</si>
  <si>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</si>
  <si>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</si>
  <si>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</si>
  <si>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</si>
  <si>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</si>
  <si>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</si>
  <si>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</si>
  <si>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</si>
  <si>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</si>
  <si>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</si>
  <si>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</si>
  <si>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</si>
  <si>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</si>
  <si>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</si>
  <si>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</si>
  <si>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</si>
  <si>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</si>
  <si>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</si>
  <si>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</si>
  <si>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</si>
  <si>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</si>
  <si>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</si>
  <si>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</si>
  <si>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</si>
  <si>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</si>
  <si>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</si>
  <si>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</si>
  <si>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</si>
  <si>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</si>
  <si>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</si>
  <si>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</si>
  <si>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</si>
  <si>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</si>
  <si>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</si>
  <si>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</si>
  <si>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</si>
  <si>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</si>
  <si>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</si>
  <si>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</si>
  <si>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</si>
  <si>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</si>
  <si>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</si>
  <si>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</si>
  <si>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</si>
  <si>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</si>
  <si>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</si>
  <si>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</si>
  <si>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</si>
  <si>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</si>
  <si>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</si>
  <si>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</si>
  <si>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</si>
  <si>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</si>
  <si>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</si>
  <si>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</si>
  <si>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</si>
  <si>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</si>
  <si>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</si>
  <si>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</si>
  <si>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</si>
  <si>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</si>
  <si>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</si>
  <si>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</si>
  <si>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</si>
  <si>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</si>
  <si>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</si>
  <si>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</si>
  <si>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</si>
  <si>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</si>
  <si>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</si>
  <si>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</si>
  <si>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</si>
  <si>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</si>
  <si>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</si>
  <si>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</si>
  <si>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</si>
  <si>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</si>
  <si>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</si>
  <si>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</si>
  <si>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</si>
  <si>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</si>
  <si>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</si>
  <si>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</si>
  <si>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</si>
  <si>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</si>
  <si>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</si>
  <si>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</si>
  <si>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</si>
  <si>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</si>
  <si>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</si>
  <si>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</si>
  <si>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</si>
  <si>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</si>
  <si>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</si>
  <si>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</si>
  <si>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</si>
  <si>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</si>
  <si>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</si>
  <si>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</si>
  <si>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</si>
  <si>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</si>
  <si>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</si>
  <si>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</si>
  <si>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</si>
  <si>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</si>
  <si>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</si>
  <si>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</si>
  <si>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</si>
  <si>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</si>
  <si>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</si>
  <si>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</si>
  <si>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</si>
  <si>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</si>
  <si>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</si>
  <si>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</si>
  <si>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</si>
  <si>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</si>
  <si>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</si>
  <si>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</si>
  <si>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</si>
  <si>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</si>
  <si>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</si>
  <si>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</si>
  <si>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</si>
  <si>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</si>
  <si>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</si>
  <si>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</si>
  <si>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</si>
  <si>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</si>
  <si>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</si>
  <si>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</si>
  <si>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</si>
  <si>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</si>
  <si>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</si>
  <si>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</si>
  <si>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</si>
  <si>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</si>
  <si>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</si>
  <si>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</si>
  <si>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</si>
  <si>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</si>
  <si>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</si>
  <si>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</si>
  <si>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</si>
  <si>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</si>
  <si>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</si>
  <si>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</si>
  <si>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</si>
  <si>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</si>
  <si>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</si>
  <si>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</si>
  <si>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</si>
  <si>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</si>
  <si>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</si>
  <si>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</si>
  <si>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</si>
  <si>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</si>
  <si>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</si>
  <si>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</si>
  <si>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</si>
  <si>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</si>
  <si>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</si>
  <si>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</si>
  <si>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</si>
  <si>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</si>
  <si>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</si>
  <si>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</si>
  <si>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</si>
  <si>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</si>
  <si>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</si>
  <si>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</si>
  <si>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</si>
  <si>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</si>
  <si>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</si>
  <si>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</si>
  <si>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</si>
  <si>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</si>
  <si>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</si>
  <si>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</si>
  <si>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</si>
  <si>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</si>
  <si>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</si>
  <si>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</si>
  <si>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</si>
  <si>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</si>
  <si>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</si>
  <si>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</si>
  <si>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</si>
  <si>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</si>
  <si>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</si>
  <si>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</si>
  <si>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</si>
  <si>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</si>
  <si>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</si>
  <si>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</si>
  <si>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</si>
  <si>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</si>
  <si>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</si>
  <si>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</si>
  <si>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</si>
  <si>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</si>
  <si>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</si>
  <si>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</si>
  <si>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</si>
  <si>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</si>
  <si>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</si>
  <si>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</si>
  <si>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</si>
  <si>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</si>
  <si>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</si>
  <si>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</si>
  <si>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</si>
  <si>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</si>
  <si>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</si>
  <si>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</si>
  <si>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</si>
  <si>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</si>
  <si>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</si>
  <si>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</si>
  <si>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</si>
  <si>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</si>
  <si>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</si>
  <si>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</si>
  <si>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</si>
  <si>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</si>
  <si>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</si>
  <si>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</si>
  <si>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</si>
  <si>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</si>
  <si>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</si>
  <si>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</si>
  <si>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</si>
  <si>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</si>
  <si>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</si>
  <si>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</si>
  <si>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</si>
  <si>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</si>
  <si>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</si>
  <si>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</si>
  <si>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</si>
  <si>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</si>
  <si>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</si>
  <si>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</si>
  <si>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</si>
  <si>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</si>
  <si>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</si>
  <si>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</si>
  <si>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</si>
  <si>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</si>
  <si>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</si>
  <si>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</si>
  <si>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</si>
  <si>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</si>
  <si>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</si>
  <si>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</si>
  <si>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</si>
  <si>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</si>
  <si>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</si>
  <si>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</si>
  <si>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</si>
  <si>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</si>
  <si>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</si>
  <si>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</si>
  <si>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</si>
  <si>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</si>
  <si>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</si>
  <si>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</si>
  <si>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</si>
  <si>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</si>
  <si>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</si>
  <si>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</si>
  <si>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</si>
  <si>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</si>
  <si>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</si>
  <si>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</si>
  <si>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</si>
  <si>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</si>
  <si>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</si>
  <si>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</si>
  <si>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</si>
  <si>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</si>
  <si>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</si>
  <si>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</si>
  <si>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</si>
  <si>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</si>
  <si>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</si>
  <si>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</si>
  <si>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</si>
  <si>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</si>
  <si>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</si>
  <si>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</si>
  <si>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</si>
  <si>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</si>
  <si>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</si>
  <si>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</si>
  <si>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</si>
  <si>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</si>
  <si>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</si>
  <si>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</si>
  <si>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</si>
  <si>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</si>
  <si>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</si>
  <si>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</si>
  <si>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</si>
  <si>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</si>
  <si>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</si>
  <si>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</si>
  <si>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</si>
  <si>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</si>
  <si>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</si>
  <si>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</si>
  <si>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</si>
  <si>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</si>
  <si>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</si>
  <si>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</si>
  <si>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</si>
  <si>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</si>
  <si>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</si>
  <si>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</si>
  <si>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</si>
  <si>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</si>
  <si>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</si>
  <si>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</si>
  <si>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</si>
  <si>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</si>
  <si>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</si>
  <si>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</si>
  <si>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</si>
  <si>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</si>
  <si>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</si>
  <si>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</si>
  <si>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</si>
  <si>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</si>
  <si>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</si>
  <si>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</si>
  <si>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</si>
  <si>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</si>
  <si>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</si>
  <si>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</si>
  <si>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</si>
  <si>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</si>
  <si>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</si>
  <si>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</si>
  <si>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</si>
  <si>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</si>
  <si>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</si>
  <si>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</si>
  <si>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</si>
  <si>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</si>
  <si>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</si>
  <si>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</si>
  <si>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</si>
  <si>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</si>
  <si>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</si>
  <si>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</si>
  <si>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</si>
  <si>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</si>
  <si>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</si>
  <si>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</si>
  <si>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</si>
  <si>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</si>
  <si>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</si>
  <si>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</si>
  <si>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</si>
  <si>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</si>
  <si>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</si>
  <si>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</si>
  <si>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</si>
  <si>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</si>
  <si>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</si>
  <si>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</si>
  <si>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</si>
  <si>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</si>
  <si>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</si>
  <si>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</si>
  <si>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</si>
  <si>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</si>
  <si>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</si>
  <si>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</si>
  <si>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</si>
  <si>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</si>
  <si>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</si>
  <si>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</si>
  <si>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</si>
  <si>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</si>
  <si>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</si>
  <si>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</si>
  <si>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</si>
  <si>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</si>
  <si>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</si>
  <si>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</si>
  <si>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</si>
  <si>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</si>
  <si>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</si>
  <si>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</si>
  <si>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</si>
  <si>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</si>
  <si>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</si>
  <si>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</si>
  <si>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</si>
  <si>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</si>
  <si>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</si>
  <si>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</si>
  <si>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</si>
  <si>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</si>
  <si>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</si>
  <si>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</si>
  <si>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</si>
  <si>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</si>
  <si>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</si>
  <si>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</si>
  <si>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</si>
  <si>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</si>
  <si>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</si>
  <si>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</si>
  <si>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</si>
  <si>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</si>
  <si>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</si>
  <si>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</si>
  <si>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</si>
  <si>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</si>
  <si>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</si>
  <si>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</si>
  <si>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</si>
  <si>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</si>
  <si>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</si>
  <si>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</si>
  <si>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</si>
  <si>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</si>
  <si>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</si>
  <si>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</si>
  <si>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</si>
  <si>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</si>
  <si>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</si>
  <si>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</si>
  <si>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</si>
  <si>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</si>
  <si>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</si>
  <si>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</si>
  <si>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</si>
  <si>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</si>
  <si>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</si>
  <si>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</si>
  <si>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</si>
  <si>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</si>
  <si>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</si>
  <si>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</si>
  <si>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</si>
  <si>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</si>
  <si>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</si>
  <si>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</si>
  <si>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</si>
  <si>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</si>
  <si>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</si>
  <si>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</si>
  <si>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</si>
  <si>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</si>
  <si>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</si>
  <si>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</si>
  <si>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</si>
  <si>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</si>
  <si>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</si>
  <si>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</si>
  <si>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</si>
  <si>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</si>
  <si>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</si>
  <si>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</si>
  <si>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</si>
  <si>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</si>
  <si>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</si>
  <si>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</si>
  <si>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</si>
  <si>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</si>
  <si>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</si>
  <si>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</si>
  <si>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</si>
  <si>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</si>
  <si>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</si>
  <si>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</si>
  <si>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</si>
  <si>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</si>
  <si>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</si>
  <si>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</si>
  <si>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</si>
  <si>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</si>
  <si>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</si>
  <si>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</si>
  <si>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</si>
  <si>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</si>
  <si>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</si>
  <si>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</si>
  <si>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</si>
  <si>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</si>
  <si>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</si>
  <si>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</si>
  <si>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</si>
  <si>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</si>
  <si>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</si>
  <si>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</si>
  <si>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</si>
  <si>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</si>
  <si>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</si>
  <si>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</si>
  <si>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</si>
  <si>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</si>
  <si>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</si>
  <si>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</si>
  <si>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</si>
  <si>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</si>
  <si>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</si>
  <si>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</si>
  <si>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</si>
  <si>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</si>
  <si>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</si>
  <si>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</si>
  <si>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</si>
  <si>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</si>
  <si>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</si>
  <si>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</si>
  <si>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</si>
  <si>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</si>
  <si>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</si>
  <si>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</si>
  <si>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</si>
  <si>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</si>
  <si>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</si>
  <si>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</si>
  <si>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</si>
  <si>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</si>
  <si>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</si>
  <si>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</si>
  <si>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</si>
  <si>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</si>
  <si>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</si>
  <si>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</si>
  <si>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</si>
  <si>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</si>
  <si>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</si>
  <si>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</si>
  <si>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</si>
  <si>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</si>
  <si>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</si>
  <si>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</si>
  <si>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</si>
  <si>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</si>
  <si>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</si>
  <si>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</si>
  <si>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</si>
  <si>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</si>
  <si>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</si>
  <si>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</si>
  <si>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</si>
  <si>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</si>
  <si>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</si>
  <si>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</si>
  <si>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</si>
  <si>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</si>
  <si>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</si>
  <si>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</si>
  <si>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</si>
  <si>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</si>
  <si>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</si>
  <si>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</si>
  <si>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</si>
  <si>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</si>
  <si>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</si>
  <si>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</si>
  <si>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</si>
  <si>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</si>
  <si>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</si>
  <si>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</si>
  <si>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</si>
  <si>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</si>
  <si>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</si>
  <si>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</si>
  <si>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</si>
  <si>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</si>
  <si>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</si>
  <si>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</si>
  <si>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</si>
  <si>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</si>
  <si>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</si>
  <si>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</si>
  <si>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</si>
  <si>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</si>
  <si>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</si>
  <si>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</si>
  <si>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</si>
  <si>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</si>
  <si>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</si>
  <si>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</si>
  <si>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</si>
  <si>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</si>
  <si>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</si>
  <si>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</si>
  <si>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</si>
  <si>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</si>
  <si>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</si>
  <si>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</si>
  <si>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</si>
  <si>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</si>
  <si>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</si>
  <si>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</si>
  <si>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</si>
  <si>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</si>
  <si>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</si>
  <si>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</si>
  <si>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</si>
  <si>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</si>
  <si>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</si>
  <si>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</si>
  <si>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</si>
  <si>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</si>
  <si>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</si>
  <si>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</si>
  <si>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</si>
  <si>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</si>
  <si>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</si>
  <si>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</si>
  <si>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</si>
  <si>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</si>
  <si>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</si>
  <si>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</si>
  <si>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</si>
  <si>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</si>
  <si>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</si>
  <si>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</si>
  <si>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</si>
  <si>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</si>
  <si>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</si>
  <si>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</si>
  <si>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</si>
  <si>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</si>
  <si>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</si>
  <si>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</si>
  <si>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</si>
  <si>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</si>
  <si>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</si>
  <si>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</si>
  <si>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</si>
  <si>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</si>
  <si>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</si>
  <si>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</si>
  <si>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</si>
  <si>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</si>
  <si>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</si>
  <si>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</si>
  <si>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</si>
  <si>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</si>
  <si>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</si>
  <si>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</si>
  <si>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</si>
  <si>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</si>
  <si>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</si>
  <si>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</si>
  <si>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</si>
  <si>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</si>
  <si>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</si>
  <si>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</si>
  <si>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</si>
  <si>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</si>
  <si>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</si>
  <si>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</si>
  <si>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</si>
  <si>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</si>
  <si>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</si>
  <si>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</si>
  <si>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</si>
  <si>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</si>
  <si>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</si>
  <si>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</si>
  <si>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</si>
  <si>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</si>
  <si>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</si>
  <si>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</si>
  <si>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</si>
  <si>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</si>
  <si>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</si>
  <si>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</si>
  <si>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</si>
  <si>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</si>
  <si>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</si>
  <si>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</si>
  <si>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</si>
  <si>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</si>
  <si>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</si>
  <si>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</si>
  <si>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</si>
  <si>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</si>
  <si>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</si>
  <si>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</si>
  <si>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</si>
  <si>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</si>
  <si>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</si>
  <si>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</si>
  <si>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</si>
  <si>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</si>
  <si>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</si>
  <si>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</si>
  <si>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</si>
  <si>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</si>
  <si>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</si>
  <si>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</si>
  <si>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</si>
  <si>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</si>
  <si>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</si>
  <si>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</si>
  <si>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</si>
  <si>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</si>
  <si>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</si>
  <si>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</si>
  <si>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</si>
  <si>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</si>
  <si>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</si>
  <si>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</si>
  <si>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</si>
  <si>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</si>
  <si>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</si>
  <si>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</si>
  <si>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</si>
  <si>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</si>
  <si>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</si>
  <si>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</si>
  <si>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</si>
  <si>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</si>
  <si>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</si>
  <si>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</si>
  <si>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</si>
  <si>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</si>
  <si>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</si>
  <si>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</si>
  <si>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</si>
  <si>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</si>
  <si>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</si>
  <si>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</si>
  <si>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</si>
  <si>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</si>
  <si>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</si>
  <si>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</si>
  <si>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</si>
  <si>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</si>
  <si>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</si>
  <si>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</si>
  <si>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</si>
  <si>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</si>
  <si>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</si>
  <si>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</si>
  <si>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</si>
  <si>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</si>
  <si>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</si>
  <si>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</si>
  <si>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</si>
  <si>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</si>
  <si>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</si>
  <si>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</si>
  <si>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</si>
  <si>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</si>
  <si>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</si>
  <si>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</si>
  <si>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</si>
  <si>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</si>
  <si>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</si>
  <si>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</si>
  <si>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</si>
  <si>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</si>
  <si>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</si>
  <si>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</si>
  <si>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</si>
  <si>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</si>
  <si>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</si>
  <si>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</si>
  <si>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</si>
  <si>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</si>
  <si>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</si>
  <si>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</si>
  <si>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</si>
  <si>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</si>
  <si>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</si>
  <si>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</si>
  <si>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</si>
  <si>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</si>
  <si>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</si>
  <si>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</si>
  <si>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</si>
  <si>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</si>
  <si>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</si>
  <si>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</si>
  <si>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</si>
  <si>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</si>
  <si>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</si>
  <si>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</si>
  <si>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</si>
  <si>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</si>
  <si>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</si>
  <si>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</si>
  <si>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</si>
  <si>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</si>
  <si>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</si>
  <si>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</si>
  <si>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</si>
  <si>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</si>
  <si>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</si>
  <si>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</si>
  <si>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</si>
  <si>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</si>
  <si>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</si>
  <si>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</si>
  <si>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</si>
  <si>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</si>
  <si>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</si>
  <si>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</si>
  <si>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</si>
  <si>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</si>
  <si>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</si>
  <si>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</si>
  <si>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</si>
  <si>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</si>
  <si>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</si>
  <si>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</si>
  <si>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</si>
  <si>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</si>
  <si>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</si>
  <si>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</si>
  <si>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</si>
  <si>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</si>
  <si>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</si>
  <si>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</si>
  <si>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</si>
  <si>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</si>
  <si>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</si>
  <si>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</si>
  <si>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</si>
  <si>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</si>
  <si>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</si>
  <si>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</si>
  <si>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</si>
  <si>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</si>
  <si>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</si>
  <si>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</si>
  <si>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</si>
  <si>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</si>
  <si>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</si>
  <si>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</si>
  <si>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</si>
  <si>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</si>
  <si>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</si>
  <si>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</si>
  <si>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</si>
  <si>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</si>
  <si>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</si>
  <si>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</si>
  <si>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</si>
  <si>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</si>
  <si>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</si>
  <si>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</si>
  <si>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</si>
  <si>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</si>
  <si>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</si>
  <si>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</si>
  <si>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</si>
  <si>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</si>
  <si>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</si>
  <si>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</si>
  <si>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</si>
  <si>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</si>
  <si>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</si>
  <si>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</si>
  <si>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</si>
  <si>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</si>
  <si>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</si>
  <si>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</si>
  <si>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</si>
  <si>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</si>
  <si>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</si>
  <si>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</si>
  <si>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</si>
  <si>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</si>
  <si>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</si>
  <si>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</si>
  <si>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</si>
  <si>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</si>
  <si>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</si>
  <si>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</si>
  <si>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</si>
  <si>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</si>
  <si>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</si>
  <si>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</si>
  <si>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</si>
  <si>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</si>
  <si>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</si>
  <si>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</si>
  <si>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</si>
  <si>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</si>
  <si>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</si>
  <si>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</si>
  <si>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</si>
  <si>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</si>
  <si>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</si>
  <si>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</si>
  <si>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</si>
  <si>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</si>
  <si>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</si>
  <si>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</si>
  <si>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</si>
  <si>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</si>
  <si>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</si>
  <si>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</si>
  <si>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</si>
  <si>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</si>
  <si>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</si>
  <si>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</si>
  <si>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</si>
  <si>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</si>
  <si>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</si>
  <si>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</si>
  <si>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</si>
  <si>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</si>
  <si>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</si>
  <si>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</si>
  <si>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</si>
  <si>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</si>
  <si>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</si>
  <si>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</si>
  <si>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</si>
  <si>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</si>
  <si>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</si>
  <si>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</si>
  <si>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</si>
  <si>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</si>
  <si>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</si>
  <si>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</si>
  <si>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</si>
  <si>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</si>
  <si>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</si>
  <si>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</si>
  <si>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</si>
  <si>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</si>
  <si>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</si>
  <si>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</si>
  <si>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</si>
  <si>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</si>
  <si>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</si>
  <si>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</si>
  <si>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</si>
  <si>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</si>
  <si>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</si>
  <si>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</si>
  <si>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</si>
  <si>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</si>
  <si>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</si>
  <si>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</si>
  <si>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</si>
  <si>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</si>
  <si>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</si>
  <si>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</si>
  <si>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</si>
  <si>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</si>
  <si>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</si>
  <si>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</si>
  <si>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</si>
  <si>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</si>
  <si>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</si>
  <si>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</si>
  <si>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</si>
  <si>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</si>
  <si>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</si>
  <si>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</si>
  <si>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</si>
  <si>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</si>
  <si>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</si>
  <si>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</si>
  <si>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</si>
  <si>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</si>
  <si>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</si>
  <si>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</si>
  <si>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</si>
  <si>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</si>
  <si>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</si>
  <si>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</si>
  <si>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</si>
  <si>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</si>
  <si>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</si>
  <si>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</si>
  <si>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</si>
  <si>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</si>
  <si>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</si>
  <si>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</si>
  <si>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</si>
  <si>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</si>
  <si>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</si>
  <si>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</si>
  <si>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</si>
  <si>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</si>
  <si>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</si>
  <si>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</si>
  <si>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</si>
  <si>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</si>
  <si>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</si>
  <si>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</si>
  <si>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</si>
  <si>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</si>
  <si>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</si>
  <si>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</si>
  <si>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</si>
  <si>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</si>
  <si>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</si>
  <si>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</si>
  <si>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</si>
  <si>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</si>
  <si>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</si>
  <si>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</si>
  <si>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</si>
  <si>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</si>
  <si>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</si>
  <si>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</si>
  <si>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</si>
  <si>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</si>
  <si>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</si>
  <si>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</si>
  <si>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</si>
  <si>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</si>
  <si>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</si>
  <si>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</si>
  <si>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</si>
  <si>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</si>
  <si>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</si>
  <si>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</si>
  <si>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</si>
  <si>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</si>
  <si>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</si>
  <si>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</si>
  <si>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</si>
  <si>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</si>
  <si>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</si>
  <si>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</si>
  <si>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</si>
  <si>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</si>
  <si>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</si>
  <si>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</si>
  <si>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</si>
  <si>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</si>
  <si>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</si>
  <si>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</si>
  <si>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</si>
  <si>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</si>
  <si>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</si>
  <si>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</si>
  <si>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</si>
  <si>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</si>
  <si>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</si>
  <si>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</si>
  <si>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</si>
  <si>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</si>
  <si>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</si>
  <si>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</si>
  <si>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</si>
  <si>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</si>
  <si>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</si>
  <si>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</si>
  <si>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</si>
  <si>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</si>
  <si>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</si>
  <si>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</si>
  <si>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</si>
  <si>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</si>
  <si>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</si>
  <si>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</si>
  <si>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</si>
  <si>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</si>
  <si>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</si>
  <si>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</si>
  <si>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</si>
  <si>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</si>
  <si>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</si>
  <si>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</si>
  <si>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</si>
  <si>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</si>
  <si>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</si>
  <si>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</si>
  <si>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</si>
  <si>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</si>
  <si>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</si>
  <si>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</si>
  <si>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</si>
  <si>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</si>
  <si>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</si>
  <si>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</si>
  <si>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</si>
  <si>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</si>
  <si>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</si>
  <si>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</si>
  <si>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</si>
  <si>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</si>
  <si>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</si>
  <si>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</si>
  <si>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</si>
  <si>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</si>
  <si>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</si>
  <si>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</si>
  <si>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</si>
  <si>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</si>
  <si>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</si>
  <si>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</si>
  <si>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</si>
  <si>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</si>
  <si>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</si>
  <si>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</si>
  <si>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</si>
  <si>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</si>
  <si>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</si>
  <si>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</si>
  <si>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</si>
  <si>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</si>
  <si>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</si>
  <si>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</si>
  <si>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</si>
  <si>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</si>
  <si>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</si>
  <si>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</si>
  <si>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</si>
  <si>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</si>
  <si>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</si>
  <si>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</si>
  <si>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</si>
  <si>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</si>
  <si>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</si>
  <si>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</si>
  <si>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</si>
  <si>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</si>
  <si>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</si>
  <si>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</si>
  <si>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</si>
  <si>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</si>
  <si>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</si>
  <si>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</si>
  <si>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</si>
  <si>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</si>
  <si>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</si>
  <si>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</si>
  <si>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</si>
  <si>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</si>
  <si>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</si>
  <si>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</si>
  <si>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</si>
  <si>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</si>
  <si>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</si>
  <si>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</si>
  <si>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</si>
  <si>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</si>
  <si>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</si>
  <si>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</si>
  <si>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</si>
  <si>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</si>
  <si>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</si>
  <si>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</si>
  <si>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</si>
  <si>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</si>
  <si>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</si>
  <si>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</si>
  <si>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</si>
  <si>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</si>
  <si>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</si>
  <si>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</si>
  <si>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</si>
  <si>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</si>
  <si>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</si>
  <si>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</si>
  <si>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</si>
  <si>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</si>
  <si>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</si>
  <si>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</si>
  <si>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</si>
  <si>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</si>
  <si>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</si>
  <si>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</si>
  <si>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</si>
  <si>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</si>
  <si>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</si>
  <si>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</si>
  <si>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</si>
  <si>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</si>
  <si>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</si>
  <si>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</si>
  <si>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</si>
  <si>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</si>
  <si>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</si>
  <si>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</si>
  <si>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</si>
  <si>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</si>
  <si>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</si>
  <si>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</si>
  <si>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</si>
  <si>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</si>
  <si>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</si>
  <si>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</si>
  <si>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</si>
  <si>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</si>
  <si>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</si>
  <si>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</si>
  <si>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</si>
  <si>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</si>
  <si>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</si>
  <si>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</si>
  <si>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</si>
  <si>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</si>
  <si>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</si>
  <si>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</si>
  <si>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</si>
  <si>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</si>
  <si>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</si>
  <si>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</si>
  <si>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</si>
  <si>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</si>
  <si>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</si>
  <si>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</si>
  <si>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</si>
  <si>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</si>
  <si>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</si>
  <si>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</si>
  <si>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</si>
  <si>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</si>
  <si>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</si>
  <si>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</si>
  <si>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</si>
  <si>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</si>
  <si>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</si>
  <si>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</si>
  <si>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</si>
  <si>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</si>
  <si>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</si>
  <si>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</si>
  <si>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</si>
  <si>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</si>
  <si>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</si>
  <si>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</si>
  <si>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</si>
  <si>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</si>
  <si>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</si>
  <si>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</si>
  <si>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</si>
  <si>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</si>
  <si>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</si>
  <si>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</si>
  <si>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</si>
  <si>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</si>
  <si>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</si>
  <si>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</si>
  <si>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</si>
  <si>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</si>
  <si>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</si>
  <si>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</si>
  <si>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</si>
  <si>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</si>
  <si>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</si>
  <si>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</si>
  <si>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</si>
  <si>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</si>
  <si>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</si>
  <si>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</si>
  <si>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</si>
  <si>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</si>
  <si>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</si>
  <si>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</si>
  <si>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</si>
  <si>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</si>
  <si>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</si>
  <si>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</si>
  <si>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</si>
  <si>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</si>
  <si>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</si>
  <si>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</si>
  <si>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</si>
  <si>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</si>
  <si>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</si>
  <si>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</si>
  <si>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</si>
  <si>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</si>
  <si>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</si>
  <si>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</si>
  <si>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</si>
  <si>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</si>
  <si>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</si>
  <si>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</si>
  <si>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</si>
  <si>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</si>
  <si>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</si>
  <si>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</si>
  <si>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</si>
  <si>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</si>
  <si>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</si>
  <si>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</si>
  <si>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</si>
  <si>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</si>
  <si>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</si>
  <si>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</si>
  <si>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</si>
  <si>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</si>
  <si>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</si>
  <si>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</si>
  <si>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</si>
  <si>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</si>
  <si>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</si>
  <si>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</si>
  <si>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</si>
  <si>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</si>
  <si>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</si>
  <si>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</si>
  <si>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</si>
  <si>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</si>
  <si>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</si>
  <si>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</si>
  <si>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</si>
  <si>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</si>
  <si>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</si>
  <si>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</si>
  <si>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</si>
  <si>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</si>
  <si>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</si>
  <si>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</si>
  <si>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</si>
  <si>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</si>
  <si>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</si>
  <si>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</si>
  <si>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</si>
  <si>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</si>
  <si>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</si>
  <si>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</si>
  <si>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</si>
  <si>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</si>
  <si>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</si>
  <si>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</si>
  <si>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</si>
  <si>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</si>
  <si>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</si>
  <si>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</si>
  <si>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</si>
  <si>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</si>
  <si>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</si>
  <si>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</si>
  <si>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</si>
  <si>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</si>
  <si>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</si>
  <si>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</si>
  <si>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</si>
  <si>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</si>
  <si>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</si>
  <si>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</si>
  <si>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</si>
  <si>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</si>
  <si>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</si>
  <si>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</si>
  <si>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</si>
  <si>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</si>
  <si>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</si>
  <si>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</si>
  <si>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</si>
  <si>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</si>
  <si>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</si>
  <si>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</si>
  <si>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</si>
  <si>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</si>
  <si>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</si>
  <si>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</si>
  <si>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</si>
  <si>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</si>
  <si>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</si>
  <si>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</si>
  <si>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</si>
  <si>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</si>
  <si>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</si>
  <si>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</si>
  <si>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</si>
  <si>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</si>
  <si>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</si>
  <si>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</si>
  <si>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</si>
  <si>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</si>
  <si>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</si>
  <si>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</si>
  <si>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</si>
  <si>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</si>
  <si>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</si>
  <si>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</si>
  <si>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</si>
  <si>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</si>
  <si>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</si>
  <si>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</si>
  <si>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</si>
  <si>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</si>
  <si>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</si>
  <si>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</si>
  <si>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</si>
  <si>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</si>
  <si>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</si>
  <si>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</si>
  <si>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</si>
  <si>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</si>
  <si>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</si>
  <si>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</si>
  <si>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</si>
  <si>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</si>
  <si>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</si>
  <si>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</si>
  <si>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</si>
  <si>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</si>
  <si>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</si>
  <si>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</si>
  <si>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</si>
  <si>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</si>
  <si>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</si>
  <si>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</si>
  <si>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</si>
  <si>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</si>
  <si>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</si>
  <si>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</si>
  <si>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</si>
  <si>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</si>
  <si>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</si>
  <si>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</si>
  <si>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</si>
  <si>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</si>
  <si>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</si>
  <si>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</si>
  <si>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</si>
  <si>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</si>
  <si>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</si>
  <si>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</si>
  <si>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</si>
  <si>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</si>
  <si>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</si>
  <si>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</si>
  <si>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</si>
  <si>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</si>
  <si>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</si>
  <si>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</si>
  <si>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</si>
  <si>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</si>
  <si>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</si>
  <si>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</si>
  <si>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</si>
  <si>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</si>
  <si>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</si>
  <si>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</si>
  <si>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</si>
  <si>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</si>
  <si>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</si>
  <si>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</si>
  <si>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</si>
  <si>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</si>
  <si>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</si>
  <si>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</si>
  <si>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</si>
  <si>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</si>
  <si>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</si>
  <si>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</si>
  <si>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</si>
  <si>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</si>
  <si>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</si>
  <si>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</si>
  <si>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</si>
  <si>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</si>
  <si>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</si>
  <si>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</si>
  <si>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</si>
  <si>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</si>
  <si>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</si>
  <si>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</si>
  <si>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</si>
  <si>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</si>
  <si>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</si>
  <si>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</si>
  <si>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</si>
  <si>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</si>
  <si>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</si>
  <si>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</si>
  <si>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</si>
  <si>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</si>
  <si>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</si>
  <si>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</si>
  <si>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</si>
  <si>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</si>
  <si>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</si>
  <si>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</si>
  <si>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</si>
  <si>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</si>
  <si>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</si>
  <si>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</si>
  <si>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</si>
  <si>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</si>
  <si>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</si>
  <si>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</si>
  <si>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</si>
  <si>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</si>
  <si>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</si>
  <si>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</si>
  <si>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</si>
  <si>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</si>
  <si>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</si>
  <si>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</si>
  <si>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</si>
  <si>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</si>
  <si>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</si>
  <si>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</si>
  <si>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</si>
  <si>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</si>
  <si>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</si>
  <si>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</si>
  <si>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</si>
  <si>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</si>
  <si>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</si>
  <si>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</si>
  <si>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</si>
  <si>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</si>
  <si>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</si>
  <si>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</si>
  <si>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</si>
  <si>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</si>
  <si>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</si>
  <si>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</si>
  <si>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</si>
  <si>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</si>
  <si>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</si>
  <si>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</si>
  <si>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</si>
  <si>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</si>
  <si>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</si>
  <si>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</si>
  <si>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</si>
  <si>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</si>
  <si>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</si>
  <si>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</si>
  <si>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</si>
  <si>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</si>
  <si>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</si>
  <si>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</si>
  <si>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</si>
  <si>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</si>
  <si>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</si>
  <si>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</si>
  <si>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</si>
  <si>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</si>
  <si>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</si>
  <si>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</si>
  <si>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</si>
  <si>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</si>
  <si>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</si>
  <si>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</si>
  <si>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</si>
  <si>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</si>
  <si>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</si>
  <si>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</si>
  <si>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</si>
  <si>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</si>
  <si>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</si>
  <si>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</si>
  <si>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</si>
  <si>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</si>
  <si>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</si>
  <si>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</si>
  <si>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</si>
  <si>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</si>
  <si>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</si>
  <si>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</si>
  <si>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</si>
  <si>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</si>
  <si>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</si>
  <si>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</si>
  <si>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</si>
  <si>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</si>
  <si>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</si>
  <si>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</si>
  <si>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</si>
  <si>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</si>
  <si>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</si>
  <si>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</si>
  <si>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</si>
  <si>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</si>
  <si>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</si>
  <si>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</si>
  <si>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</si>
  <si>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</si>
  <si>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</si>
  <si>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</si>
  <si>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</si>
  <si>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</si>
  <si>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</si>
  <si>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</si>
  <si>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</si>
  <si>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</si>
  <si>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</si>
  <si>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</si>
  <si>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</si>
  <si>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</si>
  <si>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</si>
  <si>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</si>
  <si>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</si>
  <si>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</si>
  <si>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</si>
  <si>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</si>
  <si>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</si>
  <si>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</si>
  <si>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</si>
  <si>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</si>
  <si>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</si>
  <si>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</si>
  <si>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</si>
  <si>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</si>
  <si>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</si>
  <si>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</si>
  <si>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</si>
  <si>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</si>
  <si>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</si>
  <si>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</si>
  <si>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</si>
  <si>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</si>
  <si>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</si>
  <si>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</si>
  <si>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</si>
  <si>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</si>
  <si>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</si>
  <si>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</si>
  <si>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</si>
  <si>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</si>
  <si>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</si>
  <si>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</si>
  <si>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</si>
  <si>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</si>
  <si>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</si>
  <si>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</si>
  <si>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</si>
  <si>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</si>
  <si>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</si>
  <si>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</si>
  <si>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</si>
  <si>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</si>
  <si>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</si>
  <si>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</si>
  <si>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</si>
  <si>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</si>
  <si>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</si>
  <si>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</si>
  <si>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</si>
  <si>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</si>
  <si>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</si>
  <si>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</si>
  <si>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</si>
  <si>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</si>
  <si>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</si>
  <si>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</si>
  <si>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</si>
  <si>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</si>
  <si>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</si>
  <si>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</si>
  <si>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</si>
  <si>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</si>
  <si>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</si>
  <si>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</si>
  <si>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</si>
  <si>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</si>
  <si>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</si>
  <si>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</si>
  <si>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</si>
  <si>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</si>
  <si>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</si>
  <si>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</si>
  <si>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</si>
  <si>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</si>
  <si>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</si>
  <si>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</si>
  <si>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</si>
  <si>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</si>
  <si>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</si>
  <si>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</si>
  <si>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</si>
  <si>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</si>
  <si>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</si>
  <si>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</si>
  <si>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</si>
  <si>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</si>
  <si>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</si>
  <si>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</si>
  <si>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</si>
  <si>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</si>
  <si>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</si>
  <si>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</si>
  <si>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</si>
  <si>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</si>
  <si>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</si>
  <si>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</si>
  <si>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</si>
  <si>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</si>
  <si>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</si>
  <si>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</si>
  <si>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</si>
  <si>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</si>
  <si>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</si>
  <si>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</si>
  <si>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</si>
  <si>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</si>
  <si>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</si>
  <si>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</si>
  <si>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</si>
  <si>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</si>
  <si>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</si>
  <si>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</si>
  <si>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</si>
  <si>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</si>
  <si>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</si>
  <si>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</si>
  <si>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</si>
  <si>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</si>
  <si>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</si>
  <si>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</si>
  <si>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</si>
  <si>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</si>
  <si>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</si>
  <si>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</si>
  <si>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</si>
  <si>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</si>
  <si>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</si>
  <si>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</si>
  <si>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</si>
  <si>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</si>
  <si>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</si>
  <si>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</si>
  <si>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</si>
  <si>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</si>
  <si>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</si>
  <si>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</si>
  <si>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</si>
  <si>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</si>
  <si>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</si>
  <si>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</si>
  <si>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</si>
  <si>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</si>
  <si>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</si>
  <si>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</si>
  <si>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</si>
  <si>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</si>
  <si>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</si>
  <si>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</si>
  <si>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</si>
  <si>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</si>
  <si>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</si>
  <si>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</si>
  <si>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</si>
  <si>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</si>
  <si>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</si>
  <si>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</si>
  <si>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</si>
  <si>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</si>
  <si>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</si>
  <si>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</si>
  <si>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</si>
  <si>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</si>
  <si>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</si>
  <si>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</si>
  <si>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</si>
  <si>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</si>
  <si>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</si>
  <si>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</si>
  <si>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</si>
  <si>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</si>
  <si>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</si>
  <si>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</si>
  <si>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</si>
  <si>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</si>
  <si>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</si>
  <si>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</si>
  <si>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</si>
  <si>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</si>
  <si>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</si>
  <si>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</si>
  <si>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</si>
  <si>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</si>
  <si>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</si>
  <si>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</si>
  <si>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</si>
  <si>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</si>
  <si>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</si>
  <si>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</si>
  <si>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</si>
  <si>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</si>
  <si>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</si>
  <si>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</si>
  <si>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</si>
  <si>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</si>
  <si>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</si>
  <si>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</si>
  <si>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</si>
  <si>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</si>
  <si>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</si>
  <si>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</si>
  <si>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</si>
  <si>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</si>
  <si>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</si>
  <si>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</si>
  <si>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</si>
  <si>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</si>
  <si>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</si>
  <si>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</si>
  <si>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</si>
  <si>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</si>
  <si>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</si>
  <si>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</si>
  <si>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</si>
  <si>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</si>
  <si>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</si>
  <si>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</si>
  <si>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</si>
  <si>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</si>
  <si>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</si>
  <si>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</si>
  <si>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</si>
  <si>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</si>
  <si>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</si>
  <si>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</si>
  <si>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</si>
  <si>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</si>
  <si>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</si>
  <si>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</si>
  <si>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</si>
  <si>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</si>
  <si>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</si>
  <si>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</si>
  <si>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</si>
  <si>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</si>
  <si>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</si>
  <si>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</si>
  <si>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</si>
  <si>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</si>
  <si>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</si>
  <si>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</si>
  <si>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</si>
  <si>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</si>
  <si>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</si>
  <si>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</si>
  <si>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</si>
  <si>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</si>
  <si>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</si>
  <si>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</si>
  <si>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</si>
  <si>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</si>
  <si>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</si>
  <si>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</si>
  <si>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</si>
  <si>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</si>
  <si>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</si>
  <si>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</si>
  <si>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</si>
  <si>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</si>
  <si>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</si>
  <si>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</si>
  <si>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</si>
  <si>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</si>
  <si>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</si>
  <si>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</si>
  <si>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</si>
  <si>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</si>
  <si>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</si>
  <si>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</si>
  <si>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</si>
  <si>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</si>
  <si>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</si>
  <si>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</si>
  <si>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</si>
  <si>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</si>
  <si>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</si>
  <si>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</si>
  <si>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</si>
  <si>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</si>
  <si>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</si>
  <si>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</si>
  <si>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</si>
  <si>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</si>
  <si>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</si>
  <si>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</si>
  <si>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</si>
  <si>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</si>
  <si>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</si>
  <si>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</si>
  <si>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</si>
  <si>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</si>
  <si>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</si>
  <si>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</si>
  <si>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</si>
  <si>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</si>
  <si>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</si>
  <si>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</si>
  <si>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</si>
  <si>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</si>
  <si>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</si>
  <si>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</si>
  <si>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</si>
  <si>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</si>
  <si>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</si>
  <si>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</si>
  <si>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</si>
  <si>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</si>
  <si>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</si>
  <si>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</si>
  <si>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</si>
  <si>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</si>
  <si>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</si>
  <si>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</si>
  <si>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</si>
  <si>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</si>
  <si>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</si>
  <si>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</si>
  <si>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</si>
  <si>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</si>
  <si>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</si>
  <si>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</si>
  <si>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</si>
  <si>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</si>
  <si>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</si>
  <si>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</si>
  <si>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</si>
  <si>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</si>
  <si>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</si>
  <si>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</si>
  <si>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</si>
  <si>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</si>
  <si>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</si>
  <si>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</si>
  <si>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</si>
  <si>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</si>
  <si>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</si>
  <si>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</si>
  <si>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</si>
  <si>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</si>
  <si>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</si>
  <si>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</si>
  <si>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</si>
  <si>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</si>
  <si>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</si>
  <si>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</si>
  <si>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</si>
  <si>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</si>
  <si>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</si>
  <si>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</si>
  <si>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</si>
  <si>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</si>
  <si>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</si>
  <si>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</si>
  <si>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</si>
  <si>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</si>
  <si>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</si>
  <si>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</si>
  <si>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</si>
  <si>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</si>
  <si>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</si>
  <si>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</si>
  <si>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</si>
  <si>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</si>
  <si>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</si>
  <si>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</si>
  <si>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</si>
  <si>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</si>
  <si>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</si>
  <si>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</si>
  <si>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</si>
  <si>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</si>
  <si>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</si>
  <si>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</si>
  <si>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</si>
  <si>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</si>
  <si>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</si>
  <si>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</si>
  <si>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</si>
  <si>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</si>
  <si>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</si>
  <si>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</si>
  <si>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</si>
  <si>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</si>
  <si>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</si>
  <si>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</si>
  <si>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</si>
  <si>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</si>
  <si>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</si>
  <si>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</si>
  <si>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</si>
  <si>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</si>
  <si>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</si>
  <si>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</si>
  <si>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</si>
  <si>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</si>
  <si>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</si>
  <si>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</si>
  <si>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</si>
  <si>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</si>
  <si>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</si>
  <si>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</si>
  <si>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</si>
  <si>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</si>
  <si>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</si>
  <si>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</si>
  <si>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</si>
  <si>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</si>
  <si>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</si>
  <si>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</si>
  <si>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</si>
  <si>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</si>
  <si>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</si>
  <si>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</si>
  <si>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</si>
  <si>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</si>
  <si>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</si>
  <si>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</si>
  <si>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</si>
  <si>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</si>
  <si>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</si>
  <si>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</si>
  <si>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</si>
  <si>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</si>
  <si>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</si>
  <si>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</si>
  <si>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</si>
  <si>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</si>
  <si>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</si>
  <si>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</si>
  <si>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</si>
  <si>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</si>
  <si>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</si>
  <si>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</si>
  <si>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</si>
  <si>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</si>
  <si>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</si>
  <si>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</si>
  <si>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</si>
  <si>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</si>
  <si>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</si>
  <si>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</si>
  <si>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</si>
  <si>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</si>
  <si>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</si>
  <si>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</si>
  <si>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</si>
  <si>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</si>
  <si>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</si>
  <si>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</si>
  <si>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</si>
  <si>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</si>
  <si>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</si>
  <si>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</si>
  <si>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</si>
  <si>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</si>
  <si>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</si>
  <si>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</si>
  <si>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</si>
  <si>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</si>
  <si>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</si>
  <si>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</si>
  <si>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</si>
  <si>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</si>
  <si>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</si>
  <si>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</si>
  <si>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</si>
  <si>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</si>
  <si>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</si>
  <si>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</si>
  <si>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</si>
  <si>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</si>
  <si>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</si>
  <si>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</si>
  <si>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</si>
  <si>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</si>
  <si>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</si>
  <si>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</si>
  <si>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</si>
  <si>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</si>
  <si>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</si>
  <si>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</si>
  <si>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</si>
  <si>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</si>
  <si>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</si>
  <si>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</si>
  <si>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</si>
  <si>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</si>
  <si>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</si>
  <si>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</si>
  <si>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</si>
  <si>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</si>
  <si>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</si>
  <si>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</si>
  <si>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</si>
  <si>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</si>
  <si>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</si>
  <si>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</si>
  <si>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</si>
  <si>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</si>
  <si>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</si>
  <si>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</si>
  <si>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</si>
  <si>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</si>
  <si>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</si>
  <si>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</si>
  <si>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</si>
  <si>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</si>
  <si>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</si>
  <si>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</si>
  <si>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</si>
  <si>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</si>
  <si>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</si>
  <si>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</si>
  <si>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</si>
  <si>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</si>
  <si>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</si>
  <si>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</si>
  <si>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</si>
  <si>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</si>
  <si>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</si>
  <si>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</si>
  <si>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</si>
  <si>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</si>
  <si>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</si>
  <si>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北京市</t>
  </si>
  <si>
    <t>自然人</t>
  </si>
  <si>
    <t>出让</t>
  </si>
  <si>
    <t>16A</t>
    <phoneticPr fontId="3" type="noConversion"/>
  </si>
  <si>
    <t>16B</t>
    <phoneticPr fontId="3" type="noConversion"/>
  </si>
  <si>
    <t>16C</t>
    <phoneticPr fontId="3" type="noConversion"/>
  </si>
  <si>
    <t>16D</t>
    <phoneticPr fontId="3" type="noConversion"/>
  </si>
  <si>
    <t>16E</t>
    <phoneticPr fontId="3" type="noConversion"/>
  </si>
  <si>
    <t>29F</t>
    <phoneticPr fontId="3" type="noConversion"/>
  </si>
  <si>
    <t>是</t>
  </si>
  <si>
    <t>地上</t>
  </si>
  <si>
    <t>住宅</t>
  </si>
  <si>
    <t>办公</t>
    <phoneticPr fontId="7" type="noConversion"/>
  </si>
  <si>
    <t>住宅</t>
    <phoneticPr fontId="7" type="noConversion"/>
  </si>
  <si>
    <t>成新度</t>
  </si>
  <si>
    <t>银座</t>
    <phoneticPr fontId="3" type="noConversion"/>
  </si>
  <si>
    <t>正常</t>
  </si>
  <si>
    <t>公寓</t>
  </si>
  <si>
    <t>公寓</t>
    <phoneticPr fontId="25" type="noConversion"/>
  </si>
  <si>
    <t>跃层</t>
  </si>
  <si>
    <t>跃层</t>
    <phoneticPr fontId="25" type="noConversion"/>
  </si>
  <si>
    <t>平层</t>
  </si>
  <si>
    <t>平层</t>
    <phoneticPr fontId="25" type="noConversion"/>
  </si>
  <si>
    <t>精装修</t>
  </si>
  <si>
    <t>精装修</t>
    <phoneticPr fontId="25" type="noConversion"/>
  </si>
  <si>
    <t>普通装修</t>
  </si>
  <si>
    <t>普通装修</t>
    <phoneticPr fontId="25" type="noConversion"/>
  </si>
  <si>
    <t>简单装修</t>
  </si>
  <si>
    <t>简单装修</t>
    <phoneticPr fontId="25" type="noConversion"/>
  </si>
  <si>
    <t>毛坯</t>
    <phoneticPr fontId="25" type="noConversion"/>
  </si>
  <si>
    <t>好</t>
  </si>
  <si>
    <t>收益法-住宅</t>
  </si>
  <si>
    <t>按租金收入计税</t>
  </si>
  <si>
    <t>钢混</t>
  </si>
  <si>
    <t>非生产用房</t>
  </si>
  <si>
    <t>现房</t>
  </si>
  <si>
    <t>比较法-住宅</t>
  </si>
  <si>
    <t>办公</t>
    <phoneticPr fontId="32" type="noConversion"/>
  </si>
  <si>
    <t>高层区</t>
    <phoneticPr fontId="32" type="noConversion"/>
  </si>
  <si>
    <t>中层区</t>
  </si>
  <si>
    <t>中层区</t>
    <phoneticPr fontId="32" type="noConversion"/>
  </si>
  <si>
    <t>低层区</t>
  </si>
  <si>
    <t>低层区</t>
    <phoneticPr fontId="32" type="noConversion"/>
  </si>
  <si>
    <t>南</t>
    <phoneticPr fontId="32" type="noConversion"/>
  </si>
  <si>
    <t>东南</t>
    <phoneticPr fontId="32" type="noConversion"/>
  </si>
  <si>
    <t>西</t>
    <phoneticPr fontId="32" type="noConversion"/>
  </si>
  <si>
    <t>北</t>
    <phoneticPr fontId="32" type="noConversion"/>
  </si>
  <si>
    <t>东、西南</t>
    <phoneticPr fontId="32" type="noConversion"/>
  </si>
  <si>
    <t>售价</t>
  </si>
  <si>
    <t>精装修</t>
    <phoneticPr fontId="32" type="noConversion"/>
  </si>
  <si>
    <t>普通装修</t>
    <phoneticPr fontId="32" type="noConversion"/>
  </si>
  <si>
    <t>简单装修</t>
    <phoneticPr fontId="32" type="noConversion"/>
  </si>
  <si>
    <t>毛坯</t>
    <phoneticPr fontId="32" type="noConversion"/>
  </si>
  <si>
    <t>收益法-办公</t>
  </si>
  <si>
    <t>比较法-办公</t>
  </si>
  <si>
    <t>楼面单价</t>
  </si>
  <si>
    <t>朝向</t>
    <phoneticPr fontId="3" type="noConversion"/>
  </si>
  <si>
    <t>南</t>
    <phoneticPr fontId="25" type="noConversion"/>
  </si>
  <si>
    <t>东南</t>
    <phoneticPr fontId="25" type="noConversion"/>
  </si>
  <si>
    <t>东，西南</t>
    <phoneticPr fontId="25" type="noConversion"/>
  </si>
  <si>
    <t>西</t>
    <phoneticPr fontId="25" type="noConversion"/>
  </si>
  <si>
    <t>北</t>
    <phoneticPr fontId="25" type="noConversion"/>
  </si>
  <si>
    <t>16A</t>
    <phoneticPr fontId="25" type="noConversion"/>
  </si>
  <si>
    <t>16B</t>
    <phoneticPr fontId="25" type="noConversion"/>
  </si>
  <si>
    <t>16C</t>
    <phoneticPr fontId="25" type="noConversion"/>
  </si>
  <si>
    <t>16D</t>
    <phoneticPr fontId="25" type="noConversion"/>
  </si>
  <si>
    <t>16E</t>
    <phoneticPr fontId="25" type="noConversion"/>
  </si>
  <si>
    <t>典型户型修正</t>
  </si>
  <si>
    <t>与级别开发程度一致</t>
  </si>
  <si>
    <t>地价指数</t>
  </si>
  <si>
    <t>较好</t>
  </si>
  <si>
    <t>全部缴纳</t>
  </si>
  <si>
    <t>西北</t>
    <phoneticPr fontId="25" type="noConversion"/>
  </si>
  <si>
    <t>居住用地（指二类居住用地）</t>
  </si>
  <si>
    <t>无</t>
  </si>
  <si>
    <t>有</t>
  </si>
  <si>
    <t>500米范围内</t>
  </si>
  <si>
    <t>容积率修正</t>
  </si>
  <si>
    <t>房屋性质</t>
    <phoneticPr fontId="143" type="noConversion"/>
  </si>
  <si>
    <t>办公</t>
    <phoneticPr fontId="143" type="noConversion"/>
  </si>
  <si>
    <t>住宅</t>
    <phoneticPr fontId="143" type="noConversion"/>
  </si>
  <si>
    <t>坐落</t>
    <phoneticPr fontId="143" type="noConversion"/>
  </si>
  <si>
    <t>序号</t>
    <phoneticPr fontId="143" type="noConversion"/>
  </si>
  <si>
    <t>分摊土地面积</t>
    <phoneticPr fontId="143" type="noConversion"/>
  </si>
  <si>
    <t>京（2019）朝不动产权第0056195号</t>
    <phoneticPr fontId="143" type="noConversion"/>
  </si>
  <si>
    <t>北京市朝阳区建国路18号院11号楼6层606</t>
    <phoneticPr fontId="143" type="noConversion"/>
  </si>
  <si>
    <t>北京市朝阳区建国路18号院11号楼7层706</t>
    <phoneticPr fontId="143" type="noConversion"/>
  </si>
  <si>
    <t>京（2019）朝不动产权第0056198号</t>
    <phoneticPr fontId="143" type="noConversion"/>
  </si>
  <si>
    <t>四川省成都市高新区锦城大道666号2栋23层1号</t>
    <phoneticPr fontId="143" type="noConversion"/>
  </si>
  <si>
    <t>不动产权证号、房屋所有权证</t>
    <phoneticPr fontId="143" type="noConversion"/>
  </si>
  <si>
    <t>成房权证监证字第3924430号</t>
    <phoneticPr fontId="143" type="noConversion"/>
  </si>
  <si>
    <t>京（2019）东不动产权第0008638号</t>
    <phoneticPr fontId="143" type="noConversion"/>
  </si>
  <si>
    <t>北京市东城区东直门外大街48号1幢14层办公楼16B</t>
    <phoneticPr fontId="143" type="noConversion"/>
  </si>
  <si>
    <t>北京市东城区东直门外大街48号1幢14层办公楼16C</t>
    <phoneticPr fontId="143" type="noConversion"/>
  </si>
  <si>
    <t>北京市东城区东直门外大街48号1幢14层办公楼16D</t>
    <phoneticPr fontId="143" type="noConversion"/>
  </si>
  <si>
    <t>北京市东城区东直门外大街48号1幢14层办公楼16E</t>
    <phoneticPr fontId="143" type="noConversion"/>
  </si>
  <si>
    <t>京（2019）东不动产权第0008637号</t>
    <phoneticPr fontId="143" type="noConversion"/>
  </si>
  <si>
    <t>京（2019）东不动产权第0008640号</t>
    <phoneticPr fontId="143" type="noConversion"/>
  </si>
  <si>
    <t>京（2019）东不动产权第0008641号</t>
    <phoneticPr fontId="143" type="noConversion"/>
  </si>
  <si>
    <t>京（2019）东不动产权第0008639号</t>
    <phoneticPr fontId="143" type="noConversion"/>
  </si>
  <si>
    <t>建筑面积</t>
    <phoneticPr fontId="143" type="noConversion"/>
  </si>
  <si>
    <t>北京市东城区东直门外大街48号1幢26层C29F</t>
    <phoneticPr fontId="143" type="noConversion"/>
  </si>
  <si>
    <t>京（2019）东不动产权第0008636号</t>
    <phoneticPr fontId="143" type="noConversion"/>
  </si>
  <si>
    <t>公寓</t>
    <phoneticPr fontId="143" type="noConversion"/>
  </si>
  <si>
    <t>四川省成都市高新区锦城大道666号2栋23层2号</t>
  </si>
  <si>
    <t>四川省成都市高新区锦城大道666号2栋23层3号</t>
  </si>
  <si>
    <t>四川省成都市高新区锦城大道666号2栋23层4号</t>
  </si>
  <si>
    <t>四川省成都市高新区锦城大道666号2栋23层5号</t>
  </si>
  <si>
    <t>四川省成都市高新区锦城大道666号2栋23层6号</t>
  </si>
  <si>
    <t>四川省成都市高新区锦城大道666号2栋23层7号</t>
  </si>
  <si>
    <t>四川省成都市高新区锦城大道666号2栋23层8号</t>
  </si>
  <si>
    <t>成房权证监证字第3924428号</t>
    <phoneticPr fontId="143" type="noConversion"/>
  </si>
  <si>
    <t>成房权证监证字第3924425号</t>
    <phoneticPr fontId="143" type="noConversion"/>
  </si>
  <si>
    <t>成房权证监证字第3924423号</t>
    <phoneticPr fontId="143" type="noConversion"/>
  </si>
  <si>
    <t>成房权证监证字第3925047号</t>
    <phoneticPr fontId="143" type="noConversion"/>
  </si>
  <si>
    <t>成房权证监证字第3925045号</t>
    <phoneticPr fontId="143" type="noConversion"/>
  </si>
  <si>
    <t>成房权证监证字第3925044号</t>
    <phoneticPr fontId="143" type="noConversion"/>
  </si>
  <si>
    <t>成房权证监证字第3925046号</t>
    <phoneticPr fontId="143" type="noConversion"/>
  </si>
  <si>
    <t>办公</t>
    <phoneticPr fontId="143" type="noConversion"/>
  </si>
  <si>
    <t>现状用途</t>
    <phoneticPr fontId="143" type="noConversion"/>
  </si>
  <si>
    <t>郑燚</t>
  </si>
  <si>
    <t>吴薇</t>
  </si>
  <si>
    <t>50-60（含）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</si>
  <si>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</si>
  <si>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</si>
  <si>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</si>
  <si>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</si>
  <si>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</si>
  <si>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phoneticPr fontId="25" type="noConversion"/>
  </si>
  <si>
    <t>价对象周边有十字坡西里、民安小区、万国城MOMA等住宅成熟小区，居住用地比例较好，居住小区规模和社区发展完善程度较高，综合评价居住社区成熟度较好。</t>
    <phoneticPr fontId="25" type="noConversion"/>
  </si>
  <si>
    <r>
      <rPr>
        <sz val="11"/>
        <rFont val="宋体"/>
        <family val="3"/>
        <charset val="134"/>
      </rPr>
      <t>估价对象周边有东直门外大街等交通主干道，交通便捷度好；有东直门、东直门内、东直门枢纽站等多条公共交通线路及地铁</t>
    </r>
    <r>
      <rPr>
        <sz val="11"/>
        <rFont val="Arial"/>
        <family val="2"/>
      </rPr>
      <t>2</t>
    </r>
    <r>
      <rPr>
        <sz val="11"/>
        <rFont val="宋体"/>
        <family val="3"/>
        <charset val="134"/>
      </rPr>
      <t>号线、</t>
    </r>
    <r>
      <rPr>
        <sz val="11"/>
        <rFont val="Arial"/>
        <family val="2"/>
      </rPr>
      <t>13</t>
    </r>
    <r>
      <rPr>
        <sz val="11"/>
        <rFont val="宋体"/>
        <family val="3"/>
        <charset val="134"/>
      </rPr>
      <t>号线及机场线等地铁线路；及地上、地下停车场，停车便捷程度较高，综合评价交通便捷度好。</t>
    </r>
    <phoneticPr fontId="25" type="noConversion"/>
  </si>
  <si>
    <r>
      <rPr>
        <sz val="11"/>
        <rFont val="宋体"/>
        <family val="3"/>
        <charset val="134"/>
      </rPr>
      <t>估价对象周边有东直门外大街等交通主干道，交通便捷度好；有东直门、东直门内、东直门枢纽站等多条公共交通线路及地铁</t>
    </r>
    <r>
      <rPr>
        <sz val="11"/>
        <rFont val="Arial"/>
        <family val="2"/>
      </rPr>
      <t>2</t>
    </r>
    <r>
      <rPr>
        <sz val="11"/>
        <rFont val="宋体"/>
        <family val="3"/>
        <charset val="134"/>
      </rPr>
      <t>号线、</t>
    </r>
    <r>
      <rPr>
        <sz val="11"/>
        <rFont val="Arial"/>
        <family val="2"/>
      </rPr>
      <t>13</t>
    </r>
    <r>
      <rPr>
        <sz val="11"/>
        <rFont val="宋体"/>
        <family val="3"/>
        <charset val="134"/>
      </rPr>
      <t>号线及机场线等地铁线路；及地上、地下停车场，停车便捷程度较高，综合评价交通便捷度好。</t>
    </r>
    <phoneticPr fontId="25" type="noConversion"/>
  </si>
  <si>
    <t>区域内有新中街幼儿园、西中街小学、东直门中学、北京中医药大学东直门医院、招商银行、华联超市等，公共服务设施较完善</t>
    <phoneticPr fontId="25" type="noConversion"/>
  </si>
  <si>
    <t>估价对象所在区域红线内外七通，市政供暖，基础设施水平较好。</t>
    <phoneticPr fontId="25" type="noConversion"/>
  </si>
  <si>
    <t>七通</t>
  </si>
  <si>
    <t>区域内有新中街城市森林公园等，街道整洁，相邻路段无污染源，自然环境较好；区域内区域无特别人文景观，人文环境较一般；综合评价环境状况一般。</t>
    <phoneticPr fontId="25" type="noConversion"/>
  </si>
  <si>
    <t>钢混</t>
    <phoneticPr fontId="25" type="noConversion"/>
  </si>
  <si>
    <t>高档</t>
  </si>
  <si>
    <t>高档</t>
    <phoneticPr fontId="25" type="noConversion"/>
  </si>
  <si>
    <t>精装</t>
    <phoneticPr fontId="3" type="noConversion"/>
  </si>
  <si>
    <t>普装</t>
    <phoneticPr fontId="3" type="noConversion"/>
  </si>
  <si>
    <t>简装</t>
    <phoneticPr fontId="3" type="noConversion"/>
  </si>
  <si>
    <t>毛坯</t>
    <phoneticPr fontId="3" type="noConversion"/>
  </si>
  <si>
    <t>道路级别</t>
    <phoneticPr fontId="25" type="noConversion"/>
  </si>
  <si>
    <t>人流量</t>
    <phoneticPr fontId="25" type="noConversion"/>
  </si>
  <si>
    <t>大</t>
    <phoneticPr fontId="25" type="noConversion"/>
  </si>
  <si>
    <t>较大</t>
    <phoneticPr fontId="25" type="noConversion"/>
  </si>
  <si>
    <t>一般</t>
    <phoneticPr fontId="25" type="noConversion"/>
  </si>
  <si>
    <t>较小</t>
    <phoneticPr fontId="25" type="noConversion"/>
  </si>
  <si>
    <t>小</t>
    <phoneticPr fontId="25" type="noConversion"/>
  </si>
  <si>
    <t>塔楼</t>
  </si>
  <si>
    <t>塔楼</t>
    <phoneticPr fontId="25" type="noConversion"/>
  </si>
  <si>
    <t>普装</t>
  </si>
  <si>
    <t>专业</t>
  </si>
  <si>
    <t>专业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</si>
  <si>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</si>
  <si>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</si>
  <si>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</si>
  <si>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</si>
  <si>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</si>
  <si>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塔楼</t>
    <phoneticPr fontId="32" type="noConversion"/>
  </si>
  <si>
    <t>钢混</t>
    <phoneticPr fontId="32" type="noConversion"/>
  </si>
  <si>
    <t>甲级</t>
  </si>
  <si>
    <t>甲级</t>
    <phoneticPr fontId="32" type="noConversion"/>
  </si>
  <si>
    <t>乙级</t>
    <phoneticPr fontId="32" type="noConversion"/>
  </si>
  <si>
    <t>专业</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</si>
  <si>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</si>
  <si>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</si>
  <si>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</si>
  <si>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</si>
  <si>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</si>
  <si>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主干道</t>
  </si>
  <si>
    <r>
      <rPr>
        <sz val="11"/>
        <rFont val="宋体"/>
        <family val="3"/>
        <charset val="134"/>
      </rPr>
      <t>城市主干道</t>
    </r>
    <r>
      <rPr>
        <sz val="11"/>
        <rFont val="Arial"/>
        <family val="2"/>
      </rPr>
      <t>-</t>
    </r>
    <r>
      <rPr>
        <sz val="11"/>
        <rFont val="宋体"/>
        <family val="3"/>
        <charset val="134"/>
      </rPr>
      <t>东直门外大街</t>
    </r>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</si>
  <si>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</si>
  <si>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t>估价对象位于东直门商圈，周边办公楼项目较多，入驻率高，办公集聚程度较好</t>
    <phoneticPr fontId="25" type="noConversion"/>
  </si>
  <si>
    <t>估价对象位于东直门商圈，周边办公楼项目较多，入驻率高，办公集聚程度较好</t>
    <phoneticPr fontId="32" type="noConversion"/>
  </si>
  <si>
    <r>
      <rPr>
        <sz val="11"/>
        <rFont val="宋体"/>
        <family val="3"/>
        <charset val="134"/>
      </rPr>
      <t>估价对象周边有东直门外大街等交通主干道，交通便捷度好；有东直门、东直门内、东直门枢纽站等多条公共交通线路及地铁</t>
    </r>
    <r>
      <rPr>
        <sz val="11"/>
        <rFont val="Arial"/>
        <family val="2"/>
      </rPr>
      <t>2</t>
    </r>
    <r>
      <rPr>
        <sz val="11"/>
        <rFont val="宋体"/>
        <family val="3"/>
        <charset val="134"/>
      </rPr>
      <t>号线、</t>
    </r>
    <r>
      <rPr>
        <sz val="11"/>
        <rFont val="Arial"/>
        <family val="2"/>
      </rPr>
      <t>13</t>
    </r>
    <r>
      <rPr>
        <sz val="11"/>
        <rFont val="宋体"/>
        <family val="3"/>
        <charset val="134"/>
      </rPr>
      <t>号线及机场线等地铁线路；及地上、地下停车场，停车便捷程度较高，综合评价交通便捷度好。</t>
    </r>
    <phoneticPr fontId="32" type="noConversion"/>
  </si>
  <si>
    <r>
      <rPr>
        <sz val="11"/>
        <rFont val="宋体"/>
        <family val="3"/>
        <charset val="134"/>
      </rPr>
      <t>估价对象周边有东直门外大街等交通主干道，交通便捷度好；有东直门、东直门内、东直门枢纽站等多条公共交通线路及地铁</t>
    </r>
    <r>
      <rPr>
        <sz val="11"/>
        <rFont val="Arial"/>
        <family val="2"/>
      </rPr>
      <t>2</t>
    </r>
    <r>
      <rPr>
        <sz val="11"/>
        <rFont val="宋体"/>
        <family val="3"/>
        <charset val="134"/>
      </rPr>
      <t>号线、</t>
    </r>
    <r>
      <rPr>
        <sz val="11"/>
        <rFont val="Arial"/>
        <family val="2"/>
      </rPr>
      <t>13</t>
    </r>
    <r>
      <rPr>
        <sz val="11"/>
        <rFont val="宋体"/>
        <family val="3"/>
        <charset val="134"/>
      </rPr>
      <t>号线及机场线等地铁线路；及地上、地下停车场，停车便捷程度较高，综合评价交通便捷度好。</t>
    </r>
    <phoneticPr fontId="32" type="noConversion"/>
  </si>
  <si>
    <t>区域内有新中街幼儿园、西中街小学、东直门中学、北京中医药大学东直门医院、招商银行、华联超市等，公共服务设施较完善</t>
    <phoneticPr fontId="32" type="noConversion"/>
  </si>
  <si>
    <t>区域内有新中街幼儿园、西中街小学、东直门中学、北京中医药大学东直门医院、招商银行、华联超市等，公共服务设施较完善</t>
    <phoneticPr fontId="32" type="noConversion"/>
  </si>
  <si>
    <t>30-40（含）</t>
  </si>
  <si>
    <t>租金</t>
  </si>
  <si>
    <t>未包含在土地购买价格中</t>
  </si>
  <si>
    <t>已包含在土地取得成本中</t>
  </si>
  <si>
    <t>估价对象位于东直门商圈，周边办公楼项目较多，入驻率高，办公集聚程度较好</t>
    <phoneticPr fontId="32" type="noConversion"/>
  </si>
  <si>
    <t>估价对象位于东直门商圈，周边办公楼项目较多，入驻率高，办公集聚程度较好</t>
    <phoneticPr fontId="32" type="noConversion"/>
  </si>
  <si>
    <r>
      <rPr>
        <sz val="11"/>
        <rFont val="宋体"/>
        <family val="3"/>
        <charset val="134"/>
      </rPr>
      <t>城市主干道</t>
    </r>
    <r>
      <rPr>
        <sz val="11"/>
        <rFont val="Arial"/>
        <family val="2"/>
      </rPr>
      <t>-</t>
    </r>
    <r>
      <rPr>
        <sz val="11"/>
        <rFont val="宋体"/>
        <family val="3"/>
        <charset val="134"/>
      </rPr>
      <t>东直门外大街</t>
    </r>
    <phoneticPr fontId="32" type="noConversion"/>
  </si>
  <si>
    <t>人流量</t>
    <phoneticPr fontId="32" type="noConversion"/>
  </si>
  <si>
    <t>大</t>
    <phoneticPr fontId="32" type="noConversion"/>
  </si>
  <si>
    <t>较大</t>
    <phoneticPr fontId="32" type="noConversion"/>
  </si>
  <si>
    <t>一般</t>
    <phoneticPr fontId="32" type="noConversion"/>
  </si>
  <si>
    <t>较小</t>
    <phoneticPr fontId="32" type="noConversion"/>
  </si>
  <si>
    <t>小</t>
    <phoneticPr fontId="32" type="noConversion"/>
  </si>
  <si>
    <t>较大</t>
    <phoneticPr fontId="32" type="noConversion"/>
  </si>
  <si>
    <t>标准</t>
  </si>
  <si>
    <t>标准</t>
    <phoneticPr fontId="32" type="noConversion"/>
  </si>
  <si>
    <t>超高</t>
    <phoneticPr fontId="32" type="noConversion"/>
  </si>
  <si>
    <t>否</t>
  </si>
  <si>
    <t>北京市东城区东直门外大街48号1幢14层办公楼16A</t>
    <phoneticPr fontId="143" type="noConversion"/>
  </si>
  <si>
    <t>辽宁米高化工有限公司</t>
    <phoneticPr fontId="6" type="noConversion"/>
  </si>
  <si>
    <t>核定资产</t>
  </si>
  <si>
    <t>房地产市场价值</t>
  </si>
  <si>
    <r>
      <rPr>
        <sz val="12"/>
        <color theme="9" tint="-0.249977111117893"/>
        <rFont val="宋体"/>
        <family val="3"/>
        <charset val="134"/>
      </rPr>
      <t>东城区东直门外大街</t>
    </r>
    <r>
      <rPr>
        <sz val="12"/>
        <color theme="9" tint="-0.249977111117893"/>
        <rFont val="Arial"/>
        <family val="2"/>
      </rPr>
      <t>48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26</t>
    </r>
    <r>
      <rPr>
        <sz val="12"/>
        <color theme="9" tint="-0.249977111117893"/>
        <rFont val="宋体"/>
        <family val="3"/>
        <charset val="134"/>
      </rPr>
      <t>层</t>
    </r>
    <r>
      <rPr>
        <sz val="12"/>
        <color theme="9" tint="-0.249977111117893"/>
        <rFont val="Arial"/>
        <family val="2"/>
      </rPr>
      <t>C29F</t>
    </r>
    <r>
      <rPr>
        <sz val="12"/>
        <color theme="9" tint="-0.249977111117893"/>
        <rFont val="宋体"/>
        <family val="3"/>
        <charset val="134"/>
      </rPr>
      <t>住宅（公寓）用房及</t>
    </r>
    <r>
      <rPr>
        <sz val="12"/>
        <color theme="9" tint="-0.249977111117893"/>
        <rFont val="Arial"/>
        <family val="2"/>
      </rPr>
      <t>14</t>
    </r>
    <r>
      <rPr>
        <sz val="12"/>
        <color theme="9" tint="-0.249977111117893"/>
        <rFont val="宋体"/>
        <family val="3"/>
        <charset val="134"/>
      </rPr>
      <t>层办公楼</t>
    </r>
    <r>
      <rPr>
        <sz val="12"/>
        <color theme="9" tint="-0.249977111117893"/>
        <rFont val="Arial"/>
        <family val="2"/>
      </rPr>
      <t>16A</t>
    </r>
    <r>
      <rPr>
        <sz val="12"/>
        <color theme="9" tint="-0.249977111117893"/>
        <rFont val="宋体"/>
        <family val="3"/>
        <charset val="134"/>
      </rPr>
      <t>至</t>
    </r>
    <r>
      <rPr>
        <sz val="12"/>
        <color theme="9" tint="-0.249977111117893"/>
        <rFont val="Arial"/>
        <family val="2"/>
      </rPr>
      <t>16E</t>
    </r>
    <r>
      <rPr>
        <sz val="12"/>
        <color theme="9" tint="-0.249977111117893"/>
        <rFont val="宋体"/>
        <family val="3"/>
        <charset val="134"/>
      </rPr>
      <t>共计</t>
    </r>
    <r>
      <rPr>
        <sz val="12"/>
        <color theme="9" tint="-0.249977111117893"/>
        <rFont val="Arial"/>
        <family val="2"/>
      </rPr>
      <t>5</t>
    </r>
    <r>
      <rPr>
        <sz val="12"/>
        <color theme="9" tint="-0.249977111117893"/>
        <rFont val="宋体"/>
        <family val="3"/>
        <charset val="134"/>
      </rPr>
      <t>套办公用房</t>
    </r>
    <phoneticPr fontId="6" type="noConversion"/>
  </si>
  <si>
    <r>
      <rPr>
        <sz val="12"/>
        <color theme="9" tint="-0.249977111117893"/>
        <rFont val="宋体"/>
        <family val="3"/>
        <charset val="134"/>
      </rPr>
      <t>住宅</t>
    </r>
    <r>
      <rPr>
        <sz val="12"/>
        <color theme="9" tint="-0.249977111117893"/>
        <rFont val="Arial"/>
        <family val="2"/>
      </rPr>
      <t>52.35</t>
    </r>
    <r>
      <rPr>
        <sz val="12"/>
        <color theme="9" tint="-0.249977111117893"/>
        <rFont val="宋体"/>
        <family val="3"/>
        <charset val="134"/>
      </rPr>
      <t>、办公</t>
    </r>
    <r>
      <rPr>
        <sz val="12"/>
        <color theme="9" tint="-0.249977111117893"/>
        <rFont val="Arial"/>
        <family val="2"/>
      </rPr>
      <t>32.34</t>
    </r>
    <phoneticPr fontId="6" type="noConversion"/>
  </si>
  <si>
    <r>
      <rPr>
        <sz val="12"/>
        <color theme="9" tint="-0.249977111117893"/>
        <rFont val="宋体"/>
        <family val="3"/>
        <charset val="134"/>
      </rPr>
      <t>住宅</t>
    </r>
    <r>
      <rPr>
        <sz val="12"/>
        <color theme="9" tint="-0.249977111117893"/>
        <rFont val="宋体"/>
        <family val="3"/>
        <charset val="134"/>
      </rPr>
      <t>、办公</t>
    </r>
    <phoneticPr fontId="6" type="noConversion"/>
  </si>
  <si>
    <t>《不动产权证书》[京（2019）东不动产权第0008636号]等6套</t>
    <phoneticPr fontId="6" type="noConversion"/>
  </si>
  <si>
    <t>《不动产权证书》</t>
  </si>
  <si>
    <t>办公项目</t>
  </si>
  <si>
    <t>通路</t>
  </si>
  <si>
    <t>通电</t>
  </si>
  <si>
    <t>通讯</t>
  </si>
  <si>
    <t>通上水</t>
  </si>
  <si>
    <t>通下水</t>
  </si>
  <si>
    <t>通热</t>
  </si>
  <si>
    <t>燃气</t>
  </si>
  <si>
    <t>辽宁米高化工有限公司</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</si>
  <si>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2019</t>
    </r>
    <r>
      <rPr>
        <sz val="12"/>
        <color theme="9" tint="-0.249977111117893"/>
        <rFont val="宋体"/>
        <family val="3"/>
        <charset val="134"/>
      </rPr>
      <t>）东不动产权第</t>
    </r>
    <r>
      <rPr>
        <sz val="12"/>
        <color theme="9" tint="-0.249977111117893"/>
        <rFont val="Arial"/>
        <family val="2"/>
      </rPr>
      <t>0008636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6</t>
    </r>
    <r>
      <rPr>
        <sz val="12"/>
        <color theme="9" tint="-0.249977111117893"/>
        <rFont val="宋体"/>
        <family val="3"/>
        <charset val="134"/>
      </rPr>
      <t>套</t>
    </r>
    <phoneticPr fontId="6" type="noConversion"/>
  </si>
  <si>
    <t>价对象周边有十字坡西里、民安小区、万国城MOMA等住宅成熟小区，居住用地比例较好，居住小区规模和社区发展完善程度较高，综合评价居住社区成熟度较好。</t>
    <phoneticPr fontId="41" type="noConversion"/>
  </si>
  <si>
    <t>估价对象周边有东直门外大街等交通主干道，交通便捷度好；有东直门、东直门内、东直门枢纽站等多条公共交通线路及地铁2号线、13号线及机场线等地铁线路；及地上、地下停车场，停车便捷程度较高，综合评价交通便捷度好。</t>
    <phoneticPr fontId="41" type="noConversion"/>
  </si>
  <si>
    <t>区域内有新中街幼儿园、西中街小学、东直门中学、北京中医药大学东直门医院、招商银行、华联超市等，公共服务设施较完善</t>
    <phoneticPr fontId="41" type="noConversion"/>
  </si>
  <si>
    <t>复印件</t>
  </si>
  <si>
    <t>楼层</t>
    <phoneticPr fontId="25" type="noConversion"/>
  </si>
  <si>
    <t>平整</t>
  </si>
  <si>
    <t>区域内有新中街城市森林公园等，街道整洁，相邻路段无污染源，自然环境较好；区域内有保利剧院、中国医史博物馆等，人文环境较较好；综合评价环境状况较好。</t>
    <phoneticPr fontId="41" type="noConversion"/>
  </si>
  <si>
    <t>南北</t>
    <phoneticPr fontId="25" type="noConversion"/>
  </si>
  <si>
    <t>东西</t>
    <phoneticPr fontId="25" type="noConversion"/>
  </si>
  <si>
    <t>东南、西南</t>
    <phoneticPr fontId="25" type="noConversion"/>
  </si>
  <si>
    <t>南</t>
    <phoneticPr fontId="25" type="noConversion"/>
  </si>
  <si>
    <t>东北、西北</t>
    <phoneticPr fontId="25" type="noConversion"/>
  </si>
  <si>
    <t>东</t>
    <phoneticPr fontId="25" type="noConversion"/>
  </si>
  <si>
    <t>西</t>
    <phoneticPr fontId="25" type="noConversion"/>
  </si>
  <si>
    <t>北</t>
    <phoneticPr fontId="25" type="noConversion"/>
  </si>
  <si>
    <r>
      <t>东、</t>
    </r>
    <r>
      <rPr>
        <sz val="11"/>
        <color rgb="FFFF0000"/>
        <rFont val="宋体"/>
        <family val="3"/>
        <charset val="134"/>
      </rPr>
      <t>西</t>
    </r>
    <phoneticPr fontId="25" type="noConversion"/>
  </si>
  <si>
    <t>西南</t>
    <phoneticPr fontId="25" type="noConversion"/>
  </si>
  <si>
    <t>东北</t>
    <phoneticPr fontId="25" type="noConversion"/>
  </si>
  <si>
    <t>西北</t>
    <phoneticPr fontId="25" type="noConversion"/>
  </si>
  <si>
    <t>南</t>
    <phoneticPr fontId="25" type="noConversion"/>
  </si>
  <si>
    <t>朝向</t>
    <phoneticPr fontId="25" type="noConversion"/>
  </si>
  <si>
    <t>估价对象所在区域红线内外七通，市政供暖，基础设施水平好。</t>
    <phoneticPr fontId="25" type="noConversion"/>
  </si>
  <si>
    <t>东南</t>
    <phoneticPr fontId="25" type="noConversion"/>
  </si>
  <si>
    <t>东</t>
    <phoneticPr fontId="25" type="noConversion"/>
  </si>
  <si>
    <t>押二</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</si>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</sst>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theme="1"/>
      <name val="仿宋"/>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254" fillId="0" borderId="0" applyFont="0" applyFill="0" applyBorder="0" applyAlignment="0" applyProtection="0">
      <alignment vertical="center"/>
    </xf>
  </cellStyleXfs>
  <cellXfs count="33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6" fontId="255" fillId="7" borderId="1" xfId="17" applyFont="1" applyFill="1" applyBorder="1" applyAlignment="1" applyProtection="1">
      <protection locked="0"/>
    </xf>
    <xf numFmtId="176" fontId="255" fillId="7" borderId="2" xfId="17" applyFont="1" applyFill="1" applyBorder="1" applyAlignment="1" applyProtection="1">
      <protection locked="0"/>
    </xf>
    <xf numFmtId="178"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176" fontId="63" fillId="0" borderId="1" xfId="0" applyNumberFormat="1" applyFont="1" applyFill="1" applyBorder="1" applyAlignment="1" applyProtection="1">
      <alignment horizontal="center" vertical="center"/>
      <protection locked="0"/>
    </xf>
    <xf numFmtId="176" fontId="50" fillId="0" borderId="1" xfId="0" applyNumberFormat="1" applyFont="1" applyBorder="1" applyAlignment="1" applyProtection="1">
      <alignment horizontal="center" vertical="center"/>
      <protection locked="0"/>
    </xf>
    <xf numFmtId="10" fontId="104" fillId="6" borderId="1" xfId="0" applyNumberFormat="1" applyFont="1" applyFill="1" applyBorder="1" applyAlignment="1" applyProtection="1">
      <alignment horizontal="center" vertical="center"/>
      <protection locked="0"/>
    </xf>
    <xf numFmtId="0" fontId="99" fillId="0" borderId="1" xfId="0" applyFont="1" applyBorder="1" applyAlignment="1">
      <alignment horizontal="left" vertical="center"/>
    </xf>
    <xf numFmtId="0" fontId="99" fillId="0" borderId="1" xfId="0" applyFont="1" applyBorder="1" applyAlignment="1">
      <alignment horizontal="left" vertical="center"/>
    </xf>
    <xf numFmtId="176" fontId="99" fillId="7" borderId="1" xfId="17" applyFont="1" applyFill="1" applyBorder="1" applyAlignment="1" applyProtection="1">
      <alignment horizontal="left"/>
      <protection locked="0"/>
    </xf>
    <xf numFmtId="177" fontId="234" fillId="0" borderId="1" xfId="0" applyNumberFormat="1" applyFont="1" applyBorder="1" applyAlignment="1" applyProtection="1">
      <alignment horizontal="left"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137" fillId="0" borderId="5"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8" fillId="0" borderId="9"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176" fontId="50" fillId="3" borderId="3" xfId="0" applyNumberFormat="1" applyFont="1" applyFill="1" applyBorder="1" applyProtection="1">
      <alignment vertical="center"/>
      <protection locked="0"/>
    </xf>
    <xf numFmtId="176" fontId="0" fillId="0" borderId="0" xfId="0" applyNumberFormat="1" applyAlignment="1">
      <alignment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left" vertical="center"/>
    </xf>
    <xf numFmtId="0" fontId="50" fillId="9" borderId="2" xfId="0" applyFont="1" applyFill="1" applyBorder="1" applyAlignment="1" applyProtection="1">
      <alignment horizontal="center" vertical="center" wrapText="1"/>
      <protection locked="0"/>
    </xf>
    <xf numFmtId="180" fontId="50" fillId="9" borderId="1" xfId="0" applyNumberFormat="1" applyFont="1" applyFill="1" applyBorder="1" applyAlignment="1" applyProtection="1">
      <alignment horizontal="center" vertical="center" wrapText="1"/>
      <protection locked="0"/>
    </xf>
    <xf numFmtId="0" fontId="137" fillId="9" borderId="5" xfId="0"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182" fontId="55" fillId="9" borderId="61" xfId="0" applyNumberFormat="1" applyFont="1" applyFill="1" applyBorder="1" applyAlignment="1" applyProtection="1">
      <alignment horizontal="center" vertical="center"/>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5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588002</xdr:colOff>
      <xdr:row>1</xdr:row>
      <xdr:rowOff>19049</xdr:rowOff>
    </xdr:from>
    <xdr:to>
      <xdr:col>8</xdr:col>
      <xdr:colOff>446578</xdr:colOff>
      <xdr:row>28</xdr:row>
      <xdr:rowOff>27622</xdr:rowOff>
    </xdr:to>
    <xdr:pic>
      <xdr:nvPicPr>
        <xdr:cNvPr id="3" name="图片 2"/>
        <xdr:cNvPicPr>
          <a:picLocks noChangeAspect="1"/>
        </xdr:cNvPicPr>
      </xdr:nvPicPr>
      <xdr:blipFill>
        <a:blip xmlns:r="http://schemas.openxmlformats.org/officeDocument/2006/relationships" r:embed="rId1"/>
        <a:stretch>
          <a:fillRect/>
        </a:stretch>
      </xdr:blipFill>
      <xdr:spPr>
        <a:xfrm>
          <a:off x="588002" y="190499"/>
          <a:ext cx="5344976" cy="4637723"/>
        </a:xfrm>
        <a:prstGeom prst="rect">
          <a:avLst/>
        </a:prstGeom>
      </xdr:spPr>
    </xdr:pic>
    <xdr:clientData/>
  </xdr:twoCellAnchor>
  <xdr:twoCellAnchor editAs="oneCell">
    <xdr:from>
      <xdr:col>0</xdr:col>
      <xdr:colOff>579830</xdr:colOff>
      <xdr:row>61</xdr:row>
      <xdr:rowOff>76199</xdr:rowOff>
    </xdr:from>
    <xdr:to>
      <xdr:col>8</xdr:col>
      <xdr:colOff>427523</xdr:colOff>
      <xdr:row>86</xdr:row>
      <xdr:rowOff>161022</xdr:rowOff>
    </xdr:to>
    <xdr:pic>
      <xdr:nvPicPr>
        <xdr:cNvPr id="6" name="图片 5"/>
        <xdr:cNvPicPr>
          <a:picLocks noChangeAspect="1"/>
        </xdr:cNvPicPr>
      </xdr:nvPicPr>
      <xdr:blipFill>
        <a:blip xmlns:r="http://schemas.openxmlformats.org/officeDocument/2006/relationships" r:embed="rId2"/>
        <a:stretch>
          <a:fillRect/>
        </a:stretch>
      </xdr:blipFill>
      <xdr:spPr>
        <a:xfrm>
          <a:off x="579830" y="10534649"/>
          <a:ext cx="5334093" cy="4371073"/>
        </a:xfrm>
        <a:prstGeom prst="rect">
          <a:avLst/>
        </a:prstGeom>
      </xdr:spPr>
    </xdr:pic>
    <xdr:clientData/>
  </xdr:twoCellAnchor>
  <xdr:twoCellAnchor editAs="oneCell">
    <xdr:from>
      <xdr:col>9</xdr:col>
      <xdr:colOff>285750</xdr:colOff>
      <xdr:row>6</xdr:row>
      <xdr:rowOff>47625</xdr:rowOff>
    </xdr:from>
    <xdr:to>
      <xdr:col>17</xdr:col>
      <xdr:colOff>370779</xdr:colOff>
      <xdr:row>24</xdr:row>
      <xdr:rowOff>56763</xdr:rowOff>
    </xdr:to>
    <xdr:pic>
      <xdr:nvPicPr>
        <xdr:cNvPr id="7" name="图片 6"/>
        <xdr:cNvPicPr>
          <a:picLocks noChangeAspect="1"/>
        </xdr:cNvPicPr>
      </xdr:nvPicPr>
      <xdr:blipFill>
        <a:blip xmlns:r="http://schemas.openxmlformats.org/officeDocument/2006/relationships" r:embed="rId3"/>
        <a:stretch>
          <a:fillRect/>
        </a:stretch>
      </xdr:blipFill>
      <xdr:spPr>
        <a:xfrm>
          <a:off x="6457950" y="1076325"/>
          <a:ext cx="5571429" cy="3095238"/>
        </a:xfrm>
        <a:prstGeom prst="rect">
          <a:avLst/>
        </a:prstGeom>
      </xdr:spPr>
    </xdr:pic>
    <xdr:clientData/>
  </xdr:twoCellAnchor>
  <xdr:twoCellAnchor editAs="oneCell">
    <xdr:from>
      <xdr:col>9</xdr:col>
      <xdr:colOff>76200</xdr:colOff>
      <xdr:row>62</xdr:row>
      <xdr:rowOff>152400</xdr:rowOff>
    </xdr:from>
    <xdr:to>
      <xdr:col>21</xdr:col>
      <xdr:colOff>198982</xdr:colOff>
      <xdr:row>85</xdr:row>
      <xdr:rowOff>66193</xdr:rowOff>
    </xdr:to>
    <xdr:pic>
      <xdr:nvPicPr>
        <xdr:cNvPr id="9" name="图片 8"/>
        <xdr:cNvPicPr>
          <a:picLocks noChangeAspect="1"/>
        </xdr:cNvPicPr>
      </xdr:nvPicPr>
      <xdr:blipFill>
        <a:blip xmlns:r="http://schemas.openxmlformats.org/officeDocument/2006/relationships" r:embed="rId4"/>
        <a:stretch>
          <a:fillRect/>
        </a:stretch>
      </xdr:blipFill>
      <xdr:spPr>
        <a:xfrm>
          <a:off x="6248400" y="10782300"/>
          <a:ext cx="8352382" cy="3857143"/>
        </a:xfrm>
        <a:prstGeom prst="rect">
          <a:avLst/>
        </a:prstGeom>
      </xdr:spPr>
    </xdr:pic>
    <xdr:clientData/>
  </xdr:twoCellAnchor>
  <xdr:twoCellAnchor editAs="oneCell">
    <xdr:from>
      <xdr:col>0</xdr:col>
      <xdr:colOff>561719</xdr:colOff>
      <xdr:row>31</xdr:row>
      <xdr:rowOff>57150</xdr:rowOff>
    </xdr:from>
    <xdr:to>
      <xdr:col>8</xdr:col>
      <xdr:colOff>477143</xdr:colOff>
      <xdr:row>56</xdr:row>
      <xdr:rowOff>76200</xdr:rowOff>
    </xdr:to>
    <xdr:pic>
      <xdr:nvPicPr>
        <xdr:cNvPr id="2" name="图片 1"/>
        <xdr:cNvPicPr>
          <a:picLocks noChangeAspect="1"/>
        </xdr:cNvPicPr>
      </xdr:nvPicPr>
      <xdr:blipFill>
        <a:blip xmlns:r="http://schemas.openxmlformats.org/officeDocument/2006/relationships" r:embed="rId5"/>
        <a:stretch>
          <a:fillRect/>
        </a:stretch>
      </xdr:blipFill>
      <xdr:spPr>
        <a:xfrm>
          <a:off x="561719" y="5372100"/>
          <a:ext cx="5401824" cy="4305300"/>
        </a:xfrm>
        <a:prstGeom prst="rect">
          <a:avLst/>
        </a:prstGeom>
      </xdr:spPr>
    </xdr:pic>
    <xdr:clientData/>
  </xdr:twoCellAnchor>
  <xdr:twoCellAnchor editAs="oneCell">
    <xdr:from>
      <xdr:col>9</xdr:col>
      <xdr:colOff>276225</xdr:colOff>
      <xdr:row>32</xdr:row>
      <xdr:rowOff>19050</xdr:rowOff>
    </xdr:from>
    <xdr:to>
      <xdr:col>18</xdr:col>
      <xdr:colOff>8787</xdr:colOff>
      <xdr:row>57</xdr:row>
      <xdr:rowOff>151848</xdr:rowOff>
    </xdr:to>
    <xdr:pic>
      <xdr:nvPicPr>
        <xdr:cNvPr id="4" name="图片 3"/>
        <xdr:cNvPicPr>
          <a:picLocks noChangeAspect="1"/>
        </xdr:cNvPicPr>
      </xdr:nvPicPr>
      <xdr:blipFill>
        <a:blip xmlns:r="http://schemas.openxmlformats.org/officeDocument/2006/relationships" r:embed="rId6"/>
        <a:stretch>
          <a:fillRect/>
        </a:stretch>
      </xdr:blipFill>
      <xdr:spPr>
        <a:xfrm>
          <a:off x="6448425" y="5505450"/>
          <a:ext cx="5904762" cy="4419048"/>
        </a:xfrm>
        <a:prstGeom prst="rect">
          <a:avLst/>
        </a:prstGeom>
      </xdr:spPr>
    </xdr:pic>
    <xdr:clientData/>
  </xdr:twoCellAnchor>
  <xdr:twoCellAnchor editAs="oneCell">
    <xdr:from>
      <xdr:col>11</xdr:col>
      <xdr:colOff>235323</xdr:colOff>
      <xdr:row>86</xdr:row>
      <xdr:rowOff>145677</xdr:rowOff>
    </xdr:from>
    <xdr:to>
      <xdr:col>20</xdr:col>
      <xdr:colOff>454723</xdr:colOff>
      <xdr:row>107</xdr:row>
      <xdr:rowOff>44396</xdr:rowOff>
    </xdr:to>
    <xdr:pic>
      <xdr:nvPicPr>
        <xdr:cNvPr id="5" name="图片 4"/>
        <xdr:cNvPicPr>
          <a:picLocks noChangeAspect="1"/>
        </xdr:cNvPicPr>
      </xdr:nvPicPr>
      <xdr:blipFill>
        <a:blip xmlns:r="http://schemas.openxmlformats.org/officeDocument/2006/relationships" r:embed="rId7"/>
        <a:stretch>
          <a:fillRect/>
        </a:stretch>
      </xdr:blipFill>
      <xdr:spPr>
        <a:xfrm>
          <a:off x="7754470" y="14601265"/>
          <a:ext cx="6371429" cy="3428572"/>
        </a:xfrm>
        <a:prstGeom prst="rect">
          <a:avLst/>
        </a:prstGeom>
      </xdr:spPr>
    </xdr:pic>
    <xdr:clientData/>
  </xdr:twoCellAnchor>
  <xdr:twoCellAnchor editAs="oneCell">
    <xdr:from>
      <xdr:col>1</xdr:col>
      <xdr:colOff>0</xdr:colOff>
      <xdr:row>87</xdr:row>
      <xdr:rowOff>0</xdr:rowOff>
    </xdr:from>
    <xdr:to>
      <xdr:col>11</xdr:col>
      <xdr:colOff>231079</xdr:colOff>
      <xdr:row>107</xdr:row>
      <xdr:rowOff>162045</xdr:rowOff>
    </xdr:to>
    <xdr:pic>
      <xdr:nvPicPr>
        <xdr:cNvPr id="8" name="图片 7"/>
        <xdr:cNvPicPr>
          <a:picLocks noChangeAspect="1"/>
        </xdr:cNvPicPr>
      </xdr:nvPicPr>
      <xdr:blipFill>
        <a:blip xmlns:r="http://schemas.openxmlformats.org/officeDocument/2006/relationships" r:embed="rId8"/>
        <a:stretch>
          <a:fillRect/>
        </a:stretch>
      </xdr:blipFill>
      <xdr:spPr>
        <a:xfrm>
          <a:off x="683559" y="14623676"/>
          <a:ext cx="7066667" cy="35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152400</xdr:rowOff>
    </xdr:from>
    <xdr:to>
      <xdr:col>10</xdr:col>
      <xdr:colOff>398895</xdr:colOff>
      <xdr:row>22</xdr:row>
      <xdr:rowOff>49843</xdr:rowOff>
    </xdr:to>
    <xdr:pic>
      <xdr:nvPicPr>
        <xdr:cNvPr id="2" name="图片 1"/>
        <xdr:cNvPicPr>
          <a:picLocks noChangeAspect="1"/>
        </xdr:cNvPicPr>
      </xdr:nvPicPr>
      <xdr:blipFill>
        <a:blip xmlns:r="http://schemas.openxmlformats.org/officeDocument/2006/relationships" r:embed="rId1"/>
        <a:stretch>
          <a:fillRect/>
        </a:stretch>
      </xdr:blipFill>
      <xdr:spPr>
        <a:xfrm>
          <a:off x="695325" y="152400"/>
          <a:ext cx="6561570" cy="3669343"/>
        </a:xfrm>
        <a:prstGeom prst="rect">
          <a:avLst/>
        </a:prstGeom>
      </xdr:spPr>
    </xdr:pic>
    <xdr:clientData/>
  </xdr:twoCellAnchor>
  <xdr:twoCellAnchor editAs="oneCell">
    <xdr:from>
      <xdr:col>0</xdr:col>
      <xdr:colOff>571500</xdr:colOff>
      <xdr:row>23</xdr:row>
      <xdr:rowOff>57150</xdr:rowOff>
    </xdr:from>
    <xdr:to>
      <xdr:col>10</xdr:col>
      <xdr:colOff>450676</xdr:colOff>
      <xdr:row>34</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571500" y="4000500"/>
          <a:ext cx="6737176" cy="1895475"/>
        </a:xfrm>
        <a:prstGeom prst="rect">
          <a:avLst/>
        </a:prstGeom>
      </xdr:spPr>
    </xdr:pic>
    <xdr:clientData/>
  </xdr:twoCellAnchor>
  <xdr:twoCellAnchor editAs="oneCell">
    <xdr:from>
      <xdr:col>1</xdr:col>
      <xdr:colOff>0</xdr:colOff>
      <xdr:row>37</xdr:row>
      <xdr:rowOff>0</xdr:rowOff>
    </xdr:from>
    <xdr:to>
      <xdr:col>14</xdr:col>
      <xdr:colOff>389363</xdr:colOff>
      <xdr:row>63</xdr:row>
      <xdr:rowOff>18491</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343650"/>
          <a:ext cx="9304763" cy="4476191"/>
        </a:xfrm>
        <a:prstGeom prst="rect">
          <a:avLst/>
        </a:prstGeom>
      </xdr:spPr>
    </xdr:pic>
    <xdr:clientData/>
  </xdr:twoCellAnchor>
  <xdr:twoCellAnchor editAs="oneCell">
    <xdr:from>
      <xdr:col>1</xdr:col>
      <xdr:colOff>0</xdr:colOff>
      <xdr:row>65</xdr:row>
      <xdr:rowOff>0</xdr:rowOff>
    </xdr:from>
    <xdr:to>
      <xdr:col>13</xdr:col>
      <xdr:colOff>389448</xdr:colOff>
      <xdr:row>77</xdr:row>
      <xdr:rowOff>9267</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1144250"/>
          <a:ext cx="8619048" cy="2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ADMINI~1/LOCALS~1/Temp/&#36807;&#31243;.zip%20&#30340;&#20020;&#26102;&#30446;&#24405;%202/&#23545;&#20844;&#20107;&#19994;&#37096;&#8212;&#30005;&#31639;&#34920;-&#25151;&#22320;&#20135;-&#39033;&#30446;-&#29664;&#27743;&#32511;&#2795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1/ADMINI~1/LOCALS~1/Temp/&#36807;&#31243;.zip%20&#30340;&#20020;&#26102;&#30446;&#24405;%202/&#23545;&#20844;&#20107;&#19994;&#37096;&#8212;&#30005;&#31639;&#34920;-&#25151;&#22320;&#20135;-&#39033;&#30446;-&#25104;&#37117;&#22885;&#20811;&#260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结果表-办公"/>
      <sheetName val="假设开发法"/>
      <sheetName val="收益法"/>
      <sheetName val="收益法（汇总）"/>
      <sheetName val="酒店收入计算"/>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办公案例"/>
      <sheetName val="收益法-办公"/>
      <sheetName val="结果表-住宅"/>
      <sheetName val="比较法-住宅"/>
      <sheetName val="住宅案例"/>
      <sheetName val="收益法-住宅"/>
      <sheetName val="典型户型修正"/>
      <sheetName val="成本法 (元)"/>
      <sheetName val="基准地价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278.92</v>
          </cell>
          <cell r="C14">
            <v>52.44</v>
          </cell>
          <cell r="D14">
            <v>1287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结果表-办公"/>
      <sheetName val="成本法 (元)"/>
      <sheetName val="假设开发法"/>
      <sheetName val="收益法"/>
      <sheetName val="收益法（汇总）"/>
      <sheetName val="酒店收入计算"/>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办公案例"/>
      <sheetName val="收益法-办公"/>
      <sheetName val="典型户型修正"/>
      <sheetName val="结果表-住宅"/>
      <sheetName val="比较法-住宅"/>
      <sheetName val="收益法-住宅"/>
      <sheetName val="基准地价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ow r="14">
          <cell r="B14">
            <v>2215.16</v>
          </cell>
          <cell r="C14">
            <v>95.610000000000014</v>
          </cell>
          <cell r="D14">
            <v>2580</v>
          </cell>
        </row>
      </sheetData>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1" activeCellId="1" sqref="E29:F29 B41"/>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北京市东城区东直门外大街48号1幢26层C29F住宅（公寓）用房及14层办公楼16A至16E共计5套办公用房房地产市场价值预评估</v>
      </c>
    </row>
    <row r="3" spans="1:2" s="1591" customFormat="1">
      <c r="A3" s="1589" t="s">
        <v>1217</v>
      </c>
      <c r="B3" s="1590" t="str">
        <f>'预评函-封皮'!B40</f>
        <v>辽宁米高化工有限公司</v>
      </c>
    </row>
    <row r="4" spans="1:2" s="1591" customFormat="1">
      <c r="A4" s="1589" t="s">
        <v>1218</v>
      </c>
      <c r="B4" s="1590" t="str">
        <f ca="1">'预评函-封皮'!B46</f>
        <v>郑燚（注册号：1120070131)、吴薇（注册号：1419970001)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受贵公司委托，我公司对北京市东城区东直门外大街48号1幢26层C29F住宅（公寓）用房及14层办公楼16A至16E共计5套办公用房房地产市场价值进行了预评估。</v>
      </c>
    </row>
    <row r="7" spans="1:2" s="1591" customFormat="1">
      <c r="A7" s="1589" t="s">
        <v>1260</v>
      </c>
      <c r="B7" s="1590" t="str">
        <f>'预评函-1'!A7</f>
        <v>估价对象为北京市东城区东直门外大街48号1幢26层C29F住宅（公寓）用房及14层办公楼16A至16E共计5套办公用房房地产，为所有。根据《不动产权证书》[京（2019）东不动产权第0008636号]等6套，估价对象（分摊）出让国有建设用地使用权面积为83.98平方米，建筑面积为304.45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东城区东直门外大街48号1幢26层C29F住宅（公寓）用房及14层办公楼16A至16E共计5套办公用房房地产,属开发建设的办公项目，该项目尚在开发建设中。根据《不动产权证书》[京（2019）东不动产权第0008636号]等6套，估价对象（分摊）出让国有建设用地使用权面积为83.98平方米，规划建筑面积为304.45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为估价委托人了解估价对象房地产市场价值提供参考依据。</v>
      </c>
    </row>
    <row r="12" spans="1:2" s="1591" customFormat="1">
      <c r="A12" s="1589" t="s">
        <v>1222</v>
      </c>
      <c r="B12" s="1590" t="str">
        <f>'预评函-1'!A15</f>
        <v>2019年7月12日（评估专业人员实地查勘之日）</v>
      </c>
    </row>
    <row r="13" spans="1:2" s="1591" customFormat="1">
      <c r="A13" s="1589" t="s">
        <v>1223</v>
      </c>
      <c r="B13" s="1590" t="str">
        <f>'预评函-1'!A18</f>
        <v>本次估价的“房地产价值”是指在正常市场情况下，在价值时点2019年7月12日，估价对象规划用途为住宅、办公，土地取得方式为出让，出让国有建设用地使用权剩余土地使用年限为住宅52.35、办公32.34，假定未设立法定优先受偿款下的房地产市场价值。</v>
      </c>
    </row>
    <row r="14" spans="1:2" s="1591" customFormat="1">
      <c r="A14" s="1589" t="s">
        <v>1224</v>
      </c>
      <c r="B14" s="1590" t="str">
        <f>'预评函-1'!A19</f>
        <v>其中，“出让国有建设用地使用权价值”是指估价对象用途为住宅、办公，实际开发程度为宗地红线外“七通”（即通路、通电、通讯、通上水、通下水、通热、燃气）、红线内场地平整条件下，剩余土地使用年限为住宅52.35、办公32.34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v>
      </c>
    </row>
    <row r="16" spans="1:2" s="1591" customFormat="1">
      <c r="A16" s="1589" t="s">
        <v>1226</v>
      </c>
      <c r="B16" s="1590" t="str">
        <f>'预评函-1'!A21</f>
        <v>——</v>
      </c>
    </row>
    <row r="17" spans="1:2" s="1591" customFormat="1">
      <c r="A17" s="1589" t="s">
        <v>1227</v>
      </c>
      <c r="B17" s="1590" t="str">
        <f>'预评函-1'!A22</f>
        <v>——</v>
      </c>
    </row>
    <row r="18" spans="1:2" s="1585" customFormat="1" ht="15" thickBot="1">
      <c r="A18" s="1592" t="s">
        <v>1228</v>
      </c>
      <c r="B18" s="1593" t="str">
        <f>'预评函-1'!A24</f>
        <v>本次评估采用的主估价方法为比较法和收益法。</v>
      </c>
    </row>
    <row r="19" spans="1:2" s="1588" customFormat="1" ht="15" thickTop="1">
      <c r="A19" s="1586" t="s">
        <v>1229</v>
      </c>
      <c r="B19" s="158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1" customFormat="1">
      <c r="A20" s="1589" t="s">
        <v>1230</v>
      </c>
      <c r="B20" s="1590">
        <f ca="1">'预评函-2'!D5</f>
        <v>1368</v>
      </c>
    </row>
    <row r="21" spans="1:2" s="1591" customFormat="1">
      <c r="A21" s="1589" t="s">
        <v>1231</v>
      </c>
      <c r="B21" s="1590">
        <f ca="1">'预评函-2'!D7</f>
        <v>70345</v>
      </c>
    </row>
    <row r="22" spans="1:2" s="1591" customFormat="1">
      <c r="A22" s="1589" t="s">
        <v>1232</v>
      </c>
      <c r="B22" s="1590" t="str">
        <f ca="1">'预评函-2'!D6</f>
        <v>壹仟叁佰陆拾捌万元整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1368</v>
      </c>
    </row>
    <row r="31" spans="1:2" s="1591" customFormat="1">
      <c r="A31" s="1589" t="s">
        <v>1270</v>
      </c>
      <c r="B31" s="1590">
        <f ca="1">'预评函-2'!D15</f>
        <v>44933</v>
      </c>
    </row>
    <row r="32" spans="1:2" s="1591" customFormat="1">
      <c r="A32" s="1589" t="s">
        <v>1237</v>
      </c>
      <c r="B32" s="1590" t="str">
        <f ca="1">'预评函-2'!D14</f>
        <v>壹仟叁佰陆拾捌万元整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北京市东城区东直门外大街48号1幢26层C29F住宅（公寓）用房及14层办公楼16A至16E共计5套办公用房房地产</v>
      </c>
    </row>
    <row r="42" spans="1:2" s="1591" customFormat="1">
      <c r="A42" s="1589" t="s">
        <v>1284</v>
      </c>
      <c r="B42" s="1590" t="str">
        <f>'预评函-3'!B2</f>
        <v>建筑面积</v>
      </c>
    </row>
    <row r="43" spans="1:2" s="1591" customFormat="1">
      <c r="A43" s="1589" t="s">
        <v>1285</v>
      </c>
      <c r="B43" s="1590">
        <f>'预评函-3'!B4</f>
        <v>304.45</v>
      </c>
    </row>
    <row r="44" spans="1:2" s="1591" customFormat="1">
      <c r="A44" s="1589" t="s">
        <v>1269</v>
      </c>
      <c r="B44" s="1590" t="str">
        <f>'预评函-3'!C2</f>
        <v>(分摊)土地面积</v>
      </c>
    </row>
    <row r="45" spans="1:2" s="1591" customFormat="1">
      <c r="A45" s="1589" t="s">
        <v>1241</v>
      </c>
      <c r="B45" s="1590">
        <f>'预评函-3'!C4</f>
        <v>83.97999999999999</v>
      </c>
    </row>
    <row r="46" spans="1:2" s="1591" customFormat="1">
      <c r="A46" s="1589" t="s">
        <v>1267</v>
      </c>
      <c r="B46" s="1590" t="str">
        <f>'预评函-3'!D2</f>
        <v>出让国有建设用地使用权价值</v>
      </c>
    </row>
    <row r="47" spans="1:2" s="1591" customFormat="1">
      <c r="A47" s="1589" t="s">
        <v>1242</v>
      </c>
      <c r="B47" s="1590">
        <f ca="1">'预评函-3'!D4</f>
        <v>1144</v>
      </c>
    </row>
    <row r="48" spans="1:2" s="1591" customFormat="1">
      <c r="A48" s="1589" t="s">
        <v>1243</v>
      </c>
      <c r="B48" s="1590">
        <f ca="1">'预评函-3'!E4</f>
        <v>58827</v>
      </c>
    </row>
    <row r="49" spans="1:2" s="1591" customFormat="1">
      <c r="A49" s="1589" t="s">
        <v>1244</v>
      </c>
      <c r="B49" s="1590" t="str">
        <f ca="1">'预评函-3'!D5</f>
        <v>壹仟壹佰肆拾肆万元整</v>
      </c>
    </row>
    <row r="50" spans="1:2" s="1591" customFormat="1">
      <c r="A50" s="1589" t="s">
        <v>1268</v>
      </c>
      <c r="B50" s="1590" t="str">
        <f>'预评函-3'!F2</f>
        <v>在建建筑物价值</v>
      </c>
    </row>
    <row r="51" spans="1:2" s="1591" customFormat="1">
      <c r="A51" s="1589" t="s">
        <v>1245</v>
      </c>
      <c r="B51" s="1590">
        <f ca="1">'预评函-3'!F4</f>
        <v>224</v>
      </c>
    </row>
    <row r="52" spans="1:2" s="1591" customFormat="1">
      <c r="A52" s="1589" t="s">
        <v>1246</v>
      </c>
      <c r="B52" s="1590">
        <f ca="1">'预评函-3'!G4</f>
        <v>11518</v>
      </c>
    </row>
    <row r="53" spans="1:2" s="1591" customFormat="1">
      <c r="A53" s="1589" t="s">
        <v>1274</v>
      </c>
      <c r="B53" s="1590" t="str">
        <f ca="1">'预评函-3'!F5</f>
        <v>贰佰贰拾肆万元整</v>
      </c>
    </row>
    <row r="54" spans="1:2" s="1591" customFormat="1">
      <c r="A54" s="1589" t="s">
        <v>1292</v>
      </c>
      <c r="B54" s="1590" t="str">
        <f>'预评函-3'!A8</f>
        <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
      </c>
    </row>
    <row r="58" spans="1:2" s="1588" customFormat="1" ht="15" thickTop="1">
      <c r="A58" s="1586" t="s">
        <v>1247</v>
      </c>
      <c r="B58" s="1587" t="str">
        <f>'预评函-4'!A12</f>
        <v>2.本次评估设定估价对象房地产权属无争议，未被查封或者以其他形式限制其房地产权利，未设定抵押权等他项权利，不涉及第三方权利义务。</v>
      </c>
    </row>
    <row r="59" spans="1:2" s="1591" customFormat="1">
      <c r="A59" s="1589" t="s">
        <v>1248</v>
      </c>
      <c r="B59" s="1590" t="str">
        <f>'预评函-4'!A13</f>
        <v>——</v>
      </c>
    </row>
    <row r="60" spans="1:2" s="1591" customFormat="1">
      <c r="A60" s="1589" t="s">
        <v>1249</v>
      </c>
      <c r="B60" s="1590" t="str">
        <f>'预评函-4'!A14</f>
        <v>——</v>
      </c>
    </row>
    <row r="61" spans="1:2" s="1591" customFormat="1">
      <c r="A61" s="1589" t="s">
        <v>1250</v>
      </c>
      <c r="B61" s="1590" t="str">
        <f>'预评函-4'!A15</f>
        <v>——</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v>
      </c>
    </row>
    <row r="65" spans="1:2" s="1591" customFormat="1">
      <c r="A65" s="1589" t="s">
        <v>1253</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吴薇</v>
      </c>
    </row>
    <row r="73" spans="1:2" s="1585" customFormat="1" ht="15" thickBot="1">
      <c r="A73" s="1592" t="s">
        <v>1259</v>
      </c>
      <c r="B73" s="1593">
        <f ca="1">'预评函-4'!B5</f>
        <v>1419970001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34" sqref="I34"/>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3073</v>
      </c>
      <c r="C17" s="2013"/>
    </row>
    <row r="18" spans="1:3">
      <c r="A18" s="2012" t="s">
        <v>1762</v>
      </c>
      <c r="B18" s="2012" t="s">
        <v>3095</v>
      </c>
      <c r="C18" s="2013"/>
    </row>
    <row r="19" spans="1:3">
      <c r="A19" s="2012" t="s">
        <v>1763</v>
      </c>
      <c r="B19" s="2012" t="s">
        <v>3109</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辽宁米高化工有限公司拟使用北京市东城区东直门外大街48号1幢26层C29F住宅（公寓）用房及14层办公楼16A至16E共计5套办公用房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66"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12日，估价对象规划用途为住宅、办公土地取得方式为出让，出让国有建设用地使用权剩余土地使用年限为XX年(多用途剩余年限尾数不同时，可只体现小数点后一位)，假定未设立法定优先受偿款下的房地产市场价值。</v>
      </c>
    </row>
    <row r="54" spans="1:4">
      <c r="A54" s="3066"/>
      <c r="B54" s="2020" t="s">
        <v>861</v>
      </c>
      <c r="C54" s="2017" t="s">
        <v>1277</v>
      </c>
    </row>
    <row r="55" spans="1:4">
      <c r="A55" s="3066"/>
      <c r="B55" s="2020" t="s">
        <v>862</v>
      </c>
      <c r="C55" s="2017" t="s">
        <v>1278</v>
      </c>
    </row>
    <row r="56" spans="1:4">
      <c r="A56" s="3066"/>
      <c r="B56" s="2020" t="s">
        <v>863</v>
      </c>
      <c r="C56" s="2017" t="s">
        <v>1282</v>
      </c>
    </row>
    <row r="57" spans="1:4">
      <c r="A57" s="3066"/>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5" sqref="F15"/>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1771</v>
      </c>
      <c r="B1" s="3075" t="str">
        <f>IF(B10="北京市","北京市",C10)&amp;F10&amp;IF(结果表!G1="在建","出让国有建设用地使用权及在建建筑物",IF(结果表!G1="土地","出让国有建设用地使用权",))&amp;B9&amp;"预评估"</f>
        <v>北京市东城区东直门外大街48号1幢26层C29F住宅（公寓）用房及14层办公楼16A至16E共计5套办公用房房地产市场价值预评估</v>
      </c>
      <c r="C1" s="3076"/>
      <c r="D1" s="3076"/>
      <c r="E1" s="3076"/>
      <c r="F1" s="3076"/>
      <c r="G1" s="3076"/>
      <c r="H1" s="3076"/>
      <c r="I1" s="307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北京市东城区东直门外大街48号1幢26层C29F住宅（公寓）用房及14层办公楼16A至16E共计5套办公用房房地产市场价值</v>
      </c>
    </row>
    <row r="2" spans="1:19" ht="18" customHeight="1">
      <c r="A2" s="2024" t="s">
        <v>1772</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北京市东城区东直门外大街48号1幢26层C29F住宅（公寓）用房及14层办公楼16A至16E共计5套办公用房房地产</v>
      </c>
    </row>
    <row r="3" spans="1:19" ht="18" customHeight="1">
      <c r="A3" s="2033" t="s">
        <v>1773</v>
      </c>
      <c r="B3" s="2034">
        <v>43658</v>
      </c>
      <c r="C3" s="2035" t="s">
        <v>1774</v>
      </c>
      <c r="D3" s="2034">
        <v>43658</v>
      </c>
      <c r="E3" s="2024"/>
      <c r="F3" s="2024"/>
      <c r="G3" s="2024"/>
      <c r="H3" s="2024"/>
      <c r="I3" s="2024"/>
      <c r="J3" s="2024"/>
      <c r="K3" s="2025"/>
      <c r="L3" s="2026"/>
      <c r="M3" s="2026"/>
      <c r="N3" s="2027"/>
      <c r="O3" s="2028"/>
      <c r="P3" s="2027"/>
      <c r="Q3" s="2027"/>
      <c r="R3" s="2027"/>
      <c r="S3" s="2029"/>
    </row>
    <row r="4" spans="1:19" ht="18" customHeight="1" thickBot="1">
      <c r="A4" s="2036" t="s">
        <v>1775</v>
      </c>
      <c r="B4" s="2037" t="s">
        <v>3162</v>
      </c>
      <c r="C4" s="1035">
        <f ca="1">SUMIF(注册房地产估价师,B4,估价师及机构信息!B3:B24)</f>
        <v>1120070131</v>
      </c>
      <c r="D4" s="2037" t="s">
        <v>3163</v>
      </c>
      <c r="E4" s="1036">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郑燚（注册号：1120070131)、吴薇（注册号：1419970001)</v>
      </c>
      <c r="L4" s="2026"/>
      <c r="M4" s="2026"/>
      <c r="N4" s="2027"/>
      <c r="O4" s="2028"/>
      <c r="P4" s="2027"/>
      <c r="Q4" s="2027"/>
      <c r="R4" s="2027"/>
      <c r="S4" s="2029"/>
    </row>
    <row r="5" spans="1:19" ht="18" customHeight="1" thickTop="1">
      <c r="A5" s="2042" t="s">
        <v>1776</v>
      </c>
      <c r="B5" s="3014" t="s">
        <v>3257</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1778</v>
      </c>
      <c r="B7" s="3015" t="s">
        <v>3241</v>
      </c>
      <c r="C7" s="2047"/>
      <c r="D7" s="2048"/>
      <c r="E7" s="2032"/>
      <c r="F7" s="2040"/>
      <c r="G7" s="2040"/>
      <c r="H7" s="2040"/>
      <c r="I7" s="2040"/>
      <c r="J7" s="2040"/>
      <c r="K7" s="2050"/>
      <c r="L7" s="2026"/>
      <c r="M7" s="2026"/>
      <c r="N7" s="2027"/>
      <c r="O7" s="2028"/>
      <c r="P7" s="2027"/>
      <c r="Q7" s="2027"/>
      <c r="R7" s="2027"/>
    </row>
    <row r="8" spans="1:19" ht="18" customHeight="1">
      <c r="A8" s="2045" t="s">
        <v>1779</v>
      </c>
      <c r="B8" s="2051" t="s">
        <v>3242</v>
      </c>
      <c r="C8" s="2052"/>
      <c r="D8" s="3078" t="s">
        <v>1780</v>
      </c>
      <c r="E8" s="2053"/>
      <c r="F8" s="2054"/>
      <c r="G8" s="2024"/>
      <c r="H8" s="2024"/>
      <c r="I8" s="2024"/>
      <c r="J8" s="2040"/>
      <c r="K8" s="2041"/>
      <c r="L8" s="2026"/>
      <c r="M8" s="2026"/>
      <c r="N8" s="2027"/>
      <c r="O8" s="2028"/>
      <c r="P8" s="2027"/>
      <c r="Q8" s="2027"/>
      <c r="R8" s="2027"/>
    </row>
    <row r="9" spans="1:19" ht="18" customHeight="1" thickBot="1">
      <c r="A9" s="2038" t="s">
        <v>1781</v>
      </c>
      <c r="B9" s="2055" t="s">
        <v>3243</v>
      </c>
      <c r="C9" s="2056"/>
      <c r="D9" s="3079"/>
      <c r="E9" s="2055" t="s">
        <v>70</v>
      </c>
      <c r="F9" s="2057"/>
      <c r="G9" s="2058"/>
      <c r="H9" s="2058"/>
      <c r="I9" s="2058"/>
      <c r="J9" s="2040"/>
      <c r="K9" s="2050"/>
      <c r="L9" s="2026"/>
      <c r="M9" s="2026"/>
      <c r="N9" s="2027"/>
      <c r="O9" s="2028"/>
      <c r="P9" s="2027"/>
      <c r="Q9" s="2027"/>
      <c r="R9" s="2027"/>
    </row>
    <row r="10" spans="1:19" ht="18" customHeight="1" thickTop="1">
      <c r="A10" s="2059" t="s">
        <v>1782</v>
      </c>
      <c r="B10" s="2060" t="s">
        <v>3042</v>
      </c>
      <c r="C10" s="2061"/>
      <c r="D10" s="2044"/>
      <c r="E10" s="2062" t="s">
        <v>1783</v>
      </c>
      <c r="F10" s="2063" t="s">
        <v>3244</v>
      </c>
      <c r="G10" s="2064"/>
      <c r="H10" s="2065"/>
      <c r="I10" s="2044"/>
      <c r="J10" s="2040"/>
      <c r="K10" s="2050"/>
      <c r="L10" s="2026"/>
      <c r="M10" s="2026"/>
      <c r="N10" s="2027"/>
      <c r="O10" s="2028"/>
      <c r="P10" s="2027"/>
      <c r="Q10" s="2027"/>
      <c r="R10" s="2027"/>
    </row>
    <row r="11" spans="1:19" ht="18" customHeight="1">
      <c r="A11" s="2066" t="s">
        <v>1784</v>
      </c>
      <c r="B11" s="2067" t="s">
        <v>3043</v>
      </c>
      <c r="C11" s="2068"/>
      <c r="D11" s="2069"/>
      <c r="E11" s="2040"/>
      <c r="F11" s="2040"/>
      <c r="G11" s="2040"/>
      <c r="H11" s="2040"/>
      <c r="I11" s="2040"/>
      <c r="J11" s="2040"/>
      <c r="K11" s="2050"/>
      <c r="L11" s="2026"/>
      <c r="M11" s="2026"/>
      <c r="N11" s="2027"/>
      <c r="O11" s="2028"/>
      <c r="P11" s="2027"/>
      <c r="Q11" s="2027"/>
      <c r="R11" s="2027"/>
    </row>
    <row r="12" spans="1:19" ht="18" customHeight="1">
      <c r="A12" s="2070" t="s">
        <v>1785</v>
      </c>
      <c r="B12" s="2067" t="s">
        <v>3044</v>
      </c>
      <c r="C12" s="2071" t="s">
        <v>1786</v>
      </c>
      <c r="D12" s="2072" t="s">
        <v>1787</v>
      </c>
      <c r="E12" s="2072" t="s">
        <v>1788</v>
      </c>
      <c r="F12" s="2072" t="s">
        <v>1789</v>
      </c>
      <c r="G12" s="2072" t="s">
        <v>1790</v>
      </c>
      <c r="H12" s="2072" t="s">
        <v>1791</v>
      </c>
      <c r="I12" s="2072" t="s">
        <v>1792</v>
      </c>
      <c r="J12" s="2040"/>
      <c r="K12" s="2050"/>
      <c r="L12" s="2026"/>
      <c r="M12" s="2026"/>
      <c r="N12" s="2027"/>
      <c r="O12" s="2028"/>
      <c r="P12" s="2027"/>
      <c r="Q12" s="2027"/>
      <c r="R12" s="2027"/>
    </row>
    <row r="13" spans="1:19" ht="18" customHeight="1">
      <c r="A13" s="2073"/>
      <c r="B13" s="2074"/>
      <c r="C13" s="2075" t="s">
        <v>1793</v>
      </c>
      <c r="D13" s="2076">
        <v>62767</v>
      </c>
      <c r="E13" s="2076"/>
      <c r="F13" s="2076">
        <v>55462</v>
      </c>
      <c r="G13" s="2076"/>
      <c r="H13" s="2076"/>
      <c r="I13" s="1045"/>
      <c r="J13" s="2040"/>
      <c r="K13" s="2050"/>
      <c r="L13" s="2026"/>
      <c r="M13" s="2026"/>
      <c r="N13" s="2027"/>
      <c r="O13" s="2028"/>
      <c r="P13" s="2027"/>
      <c r="Q13" s="2027"/>
      <c r="R13" s="2027"/>
    </row>
    <row r="14" spans="1:19" ht="18" customHeight="1">
      <c r="A14" s="2073"/>
      <c r="B14" s="2074"/>
      <c r="C14" s="2075" t="s">
        <v>1794</v>
      </c>
      <c r="D14" s="1048">
        <v>70</v>
      </c>
      <c r="E14" s="1048"/>
      <c r="F14" s="1048">
        <v>50</v>
      </c>
      <c r="G14" s="1048"/>
      <c r="H14" s="1048"/>
      <c r="I14" s="1048"/>
      <c r="J14" s="2040"/>
      <c r="K14" s="2077"/>
      <c r="L14" s="2026"/>
      <c r="M14" s="2026"/>
      <c r="N14" s="2027"/>
      <c r="O14" s="2028"/>
      <c r="P14" s="2027"/>
      <c r="Q14" s="2027"/>
      <c r="R14" s="2027"/>
    </row>
    <row r="15" spans="1:19" ht="18" customHeight="1">
      <c r="A15" s="2059"/>
      <c r="B15" s="2078"/>
      <c r="C15" s="2075" t="s">
        <v>1795</v>
      </c>
      <c r="D15" s="1047">
        <f>IF(B12="出让",IF(D13="","",ROUNDDOWN(MIN((D13-$D$3)/365,D14),2)),D14)</f>
        <v>52.35</v>
      </c>
      <c r="E15" s="1047" t="str">
        <f>IF(B12="出让",IF(E13="","",ROUNDDOWN(MIN((E13-$D$3)/365,E14),2)),E14)</f>
        <v/>
      </c>
      <c r="F15" s="1047">
        <f>IF(B12="出让",IF(F13="","",ROUNDDOWN(MIN((F13-$D$3)/365,F14),2)),F14)</f>
        <v>32.33</v>
      </c>
      <c r="G15" s="1047" t="str">
        <f>IF(B12="出让",IF(G13="","",ROUNDDOWN(MIN((G13-$D$3)/365,G14),2)),G14)</f>
        <v/>
      </c>
      <c r="H15" s="1047" t="str">
        <f>IF(B12="出让",IF(H13="","",ROUNDDOWN(MIN((H13-$D$3)/365,H14),2)),H14)</f>
        <v/>
      </c>
      <c r="I15" s="1047" t="str">
        <f>IF(B12="出让",IF(I13="","",ROUNDDOWN(MIN((I13-$D$3)/365,I14),2)),I14)</f>
        <v/>
      </c>
      <c r="J15" s="2040"/>
      <c r="K15" s="2079"/>
      <c r="L15" s="2080"/>
      <c r="M15" s="2080"/>
      <c r="N15" s="2081"/>
      <c r="O15" s="2080"/>
      <c r="P15" s="2081"/>
      <c r="Q15" s="2027"/>
      <c r="R15" s="2027"/>
    </row>
    <row r="16" spans="1:19" ht="30.75" customHeight="1">
      <c r="A16" s="2062" t="s">
        <v>1796</v>
      </c>
      <c r="B16" s="3085" t="s">
        <v>3246</v>
      </c>
      <c r="C16" s="3086"/>
      <c r="D16" s="3087"/>
      <c r="E16" s="2082" t="s">
        <v>1797</v>
      </c>
      <c r="F16" s="3088" t="s">
        <v>3245</v>
      </c>
      <c r="G16" s="3089"/>
      <c r="H16" s="3089"/>
      <c r="I16" s="3090"/>
      <c r="J16" s="2027"/>
      <c r="K16" s="2079"/>
      <c r="L16" s="2080"/>
      <c r="M16" s="2080"/>
      <c r="N16" s="2081"/>
      <c r="O16" s="2080"/>
      <c r="P16" s="2081"/>
      <c r="Q16" s="2027"/>
      <c r="R16" s="2027"/>
    </row>
    <row r="17" spans="1:22" ht="18" customHeight="1">
      <c r="A17" s="2083" t="s">
        <v>1798</v>
      </c>
      <c r="B17" s="2033" t="s">
        <v>1799</v>
      </c>
      <c r="C17" s="1052">
        <f>'数据-汇总表'!E3</f>
        <v>304.45</v>
      </c>
      <c r="D17" s="2084" t="s">
        <v>1800</v>
      </c>
      <c r="E17" s="3091" t="s">
        <v>3258</v>
      </c>
      <c r="F17" s="3092"/>
      <c r="G17" s="3092"/>
      <c r="H17" s="3092"/>
      <c r="I17" s="3093"/>
      <c r="J17" s="2027"/>
      <c r="K17" s="2085"/>
      <c r="L17" s="2080"/>
      <c r="M17" s="2080"/>
      <c r="N17" s="2081"/>
      <c r="O17" s="2080"/>
      <c r="P17" s="2081"/>
      <c r="Q17" s="2027"/>
      <c r="R17" s="2027"/>
      <c r="S17" s="2027"/>
      <c r="T17" s="2027"/>
      <c r="U17" s="2027"/>
      <c r="V17" s="2027"/>
    </row>
    <row r="18" spans="1:22" ht="36" customHeight="1" thickBot="1">
      <c r="A18" s="2086" t="s">
        <v>1801</v>
      </c>
      <c r="B18" s="2036" t="s">
        <v>1802</v>
      </c>
      <c r="C18" s="1442">
        <f>'数据-汇总表'!D3</f>
        <v>83.97999999999999</v>
      </c>
      <c r="D18" s="2087" t="s">
        <v>1800</v>
      </c>
      <c r="E18" s="3094" t="s">
        <v>3247</v>
      </c>
      <c r="F18" s="3095"/>
      <c r="G18" s="3095"/>
      <c r="H18" s="3095"/>
      <c r="I18" s="3096"/>
      <c r="J18" s="2027"/>
      <c r="K18" s="2085"/>
      <c r="L18" s="2080"/>
      <c r="M18" s="2080"/>
      <c r="N18" s="2081"/>
      <c r="O18" s="2080"/>
      <c r="P18" s="2081"/>
      <c r="Q18" s="2027"/>
      <c r="R18" s="2027"/>
      <c r="S18" s="2027"/>
      <c r="T18" s="2027"/>
      <c r="U18" s="2027"/>
      <c r="V18" s="2027"/>
    </row>
    <row r="19" spans="1:22" ht="37.5" customHeight="1" thickTop="1" thickBot="1">
      <c r="A19" s="372" t="s">
        <v>1803</v>
      </c>
      <c r="B19" s="351" t="s">
        <v>1804</v>
      </c>
      <c r="C19" s="2088" t="s">
        <v>3239</v>
      </c>
      <c r="D19" s="2089" t="s">
        <v>1805</v>
      </c>
      <c r="E19" s="2090"/>
      <c r="F19" s="2091" t="str">
        <f>IF(AND(C19="是",E19="否"),"是否提供他项权证或相关说明","")</f>
        <v/>
      </c>
      <c r="G19" s="2092"/>
      <c r="H19" s="2040"/>
      <c r="I19" s="2040"/>
      <c r="J19" s="2040"/>
      <c r="K19" s="2050"/>
      <c r="L19" s="2026"/>
      <c r="M19" s="2026"/>
      <c r="N19" s="2081"/>
      <c r="O19" s="2080"/>
      <c r="P19" s="2081"/>
      <c r="Q19" s="2027"/>
      <c r="R19" s="2027"/>
      <c r="S19" s="2027"/>
      <c r="T19" s="2027"/>
      <c r="U19" s="2027"/>
      <c r="V19" s="2027"/>
    </row>
    <row r="20" spans="1:22" ht="18" customHeight="1">
      <c r="A20" s="2093" t="s">
        <v>1806</v>
      </c>
      <c r="B20" s="3081" t="s">
        <v>1807</v>
      </c>
      <c r="C20" s="3082"/>
      <c r="D20" s="3083" t="s">
        <v>1808</v>
      </c>
      <c r="E20" s="3084"/>
      <c r="F20" s="2094" t="s">
        <v>1809</v>
      </c>
      <c r="G20" s="2040"/>
      <c r="H20" s="2040"/>
      <c r="I20" s="2040"/>
      <c r="J20" s="2040"/>
      <c r="K20" s="3080" t="s">
        <v>1810</v>
      </c>
      <c r="L20" s="746"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6"/>
      <c r="N20" s="2081"/>
      <c r="O20" s="2080"/>
      <c r="P20" s="2081"/>
      <c r="Q20" s="2027"/>
      <c r="R20" s="2027"/>
      <c r="S20" s="2027"/>
      <c r="T20" s="2027"/>
      <c r="U20" s="2027"/>
      <c r="V20" s="2027"/>
    </row>
    <row r="21" spans="1:22" ht="24.75" customHeight="1">
      <c r="A21" s="2093"/>
      <c r="B21" s="2095" t="s">
        <v>3248</v>
      </c>
      <c r="C21" s="2096" t="s">
        <v>3262</v>
      </c>
      <c r="D21" s="2097"/>
      <c r="E21" s="2098"/>
      <c r="F21" s="2099"/>
      <c r="G21" s="2040"/>
      <c r="H21" s="2040"/>
      <c r="I21" s="2040"/>
      <c r="J21" s="2040"/>
      <c r="K21" s="308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1"/>
      <c r="O21" s="2080"/>
      <c r="P21" s="2081"/>
      <c r="Q21" s="2027"/>
      <c r="R21" s="2027"/>
      <c r="S21" s="2027"/>
      <c r="T21" s="2027"/>
      <c r="U21" s="2027"/>
      <c r="V21" s="2027"/>
    </row>
    <row r="22" spans="1:22" ht="24.75" customHeight="1" thickBot="1">
      <c r="A22" s="2093"/>
      <c r="B22" s="2100"/>
      <c r="C22" s="2096"/>
      <c r="D22" s="2024"/>
      <c r="E22" s="2024"/>
      <c r="F22" s="2101"/>
      <c r="G22" s="2040"/>
      <c r="H22" s="2040"/>
      <c r="I22" s="2040"/>
      <c r="J22" s="2040"/>
      <c r="K22" s="308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1811</v>
      </c>
      <c r="B23" s="182" t="s">
        <v>1812</v>
      </c>
      <c r="C23" s="2103"/>
      <c r="D23" s="2104" t="s">
        <v>1812</v>
      </c>
      <c r="E23" s="2105"/>
      <c r="F23" s="2101"/>
      <c r="G23" s="2040"/>
      <c r="H23" s="2040"/>
      <c r="I23" s="2040"/>
      <c r="J23" s="2040"/>
      <c r="K23" s="2106"/>
      <c r="L23" s="746"/>
      <c r="M23" s="2026"/>
      <c r="N23" s="2081"/>
      <c r="O23" s="2080"/>
      <c r="P23" s="2081"/>
      <c r="Q23" s="2027"/>
      <c r="R23" s="2027"/>
      <c r="S23" s="2027"/>
      <c r="T23" s="2027"/>
      <c r="U23" s="2027"/>
      <c r="V23" s="2027"/>
    </row>
    <row r="24" spans="1:22" ht="18" customHeight="1">
      <c r="A24" s="2107"/>
      <c r="B24" s="182" t="s">
        <v>1813</v>
      </c>
      <c r="C24" s="2108"/>
      <c r="D24" s="2102" t="s">
        <v>1813</v>
      </c>
      <c r="E24" s="2109"/>
      <c r="F24" s="2101"/>
      <c r="G24" s="2040"/>
      <c r="H24" s="2040"/>
      <c r="I24" s="2040"/>
      <c r="J24" s="2040"/>
      <c r="K24" s="2106"/>
      <c r="L24" s="746"/>
      <c r="M24" s="2026"/>
      <c r="N24" s="2081"/>
      <c r="O24" s="2080"/>
      <c r="P24" s="2081"/>
      <c r="Q24" s="2027"/>
      <c r="R24" s="2027"/>
      <c r="S24" s="2027"/>
      <c r="T24" s="2027"/>
      <c r="U24" s="2027"/>
      <c r="V24" s="2027"/>
    </row>
    <row r="25" spans="1:22" ht="18" customHeight="1">
      <c r="A25" s="2107"/>
      <c r="B25" s="182" t="s">
        <v>1814</v>
      </c>
      <c r="C25" s="2108"/>
      <c r="D25" s="2102" t="s">
        <v>1814</v>
      </c>
      <c r="E25" s="2109"/>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10"/>
      <c r="B26" s="2111" t="s">
        <v>1815</v>
      </c>
      <c r="C26" s="2112"/>
      <c r="D26" s="2113" t="s">
        <v>1816</v>
      </c>
      <c r="E26" s="2114"/>
      <c r="F26" s="2115"/>
      <c r="G26" s="2058"/>
      <c r="H26" s="2058"/>
      <c r="I26" s="2058"/>
      <c r="J26" s="2040"/>
      <c r="K26" s="2050"/>
      <c r="L26" s="2026"/>
      <c r="M26" s="2026"/>
      <c r="N26" s="2081"/>
      <c r="O26" s="2080"/>
      <c r="P26" s="2081"/>
      <c r="Q26" s="2027"/>
      <c r="R26" s="2027"/>
      <c r="S26" s="2027"/>
      <c r="T26" s="2027"/>
      <c r="U26" s="2027"/>
      <c r="V26" s="2027"/>
    </row>
    <row r="27" spans="1:22" ht="18" customHeight="1" thickTop="1">
      <c r="A27" s="3068" t="s">
        <v>1817</v>
      </c>
      <c r="B27" s="2059" t="s">
        <v>1818</v>
      </c>
      <c r="C27" s="2116" t="s">
        <v>3249</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68"/>
      <c r="B28" s="2033" t="s">
        <v>1819</v>
      </c>
      <c r="C28" s="2118" t="s">
        <v>3116</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68"/>
      <c r="B29" s="2033" t="s">
        <v>1820</v>
      </c>
      <c r="C29" s="2121" t="s">
        <v>3239</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69"/>
      <c r="B30" s="2033" t="s">
        <v>1821</v>
      </c>
      <c r="C30" s="3070"/>
      <c r="D30" s="3071"/>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72" t="s">
        <v>1822</v>
      </c>
      <c r="B31" s="2123" t="s">
        <v>3077</v>
      </c>
      <c r="C31" s="2124" t="str">
        <f>IF(B31="现房","成新及维护状况正常否",IF(B31="在建","工程状态是否正常",IF(B31="土地","是否闲置","-")))</f>
        <v>成新及维护状况正常否</v>
      </c>
      <c r="D31" s="2125"/>
      <c r="E31" s="2126"/>
      <c r="F31" s="2040"/>
      <c r="G31" s="2040"/>
      <c r="H31" s="2040"/>
      <c r="I31" s="2040"/>
      <c r="J31" s="2040"/>
      <c r="K31" s="2049"/>
      <c r="L31" s="2026"/>
      <c r="M31" s="2026"/>
      <c r="N31" s="2027"/>
      <c r="O31" s="2028"/>
      <c r="P31" s="2027"/>
      <c r="Q31" s="2027"/>
      <c r="R31" s="2027"/>
      <c r="S31" s="2027"/>
      <c r="T31" s="2027"/>
      <c r="U31" s="2027"/>
      <c r="V31" s="2027"/>
    </row>
    <row r="32" spans="1:22" ht="18" customHeight="1">
      <c r="A32" s="3073"/>
      <c r="B32" s="2123"/>
      <c r="C32" s="2124" t="str">
        <f>IF(B32="现房","成新及维护状况是否正常",IF(B32="在建","工程状态是否正常",IF(B32="土地","是否闲置","-")))</f>
        <v>-</v>
      </c>
      <c r="D32" s="2125"/>
      <c r="E32" s="2126"/>
      <c r="F32" s="2040"/>
      <c r="G32" s="2040"/>
      <c r="H32" s="2040"/>
      <c r="I32" s="2040"/>
      <c r="J32" s="2040"/>
      <c r="K32" s="2050"/>
      <c r="L32" s="2026"/>
      <c r="M32" s="2026"/>
      <c r="N32" s="2027"/>
      <c r="O32" s="2028"/>
      <c r="P32" s="2027"/>
      <c r="Q32" s="2027"/>
      <c r="R32" s="2027"/>
      <c r="S32" s="2027"/>
      <c r="T32" s="2027"/>
      <c r="U32" s="2027"/>
      <c r="V32" s="2027"/>
    </row>
    <row r="33" spans="1:22" ht="18" customHeight="1">
      <c r="A33" s="3073"/>
      <c r="B33" s="2127"/>
      <c r="C33" s="2066" t="str">
        <f>IF(B33="现房","成新及维护状况是否正常",IF(B33="在建","工程状态是否正常",IF(B33="土地","是否闲置","-")))</f>
        <v>-</v>
      </c>
      <c r="D33" s="2128"/>
      <c r="E33" s="2129"/>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1823</v>
      </c>
      <c r="B34" s="2130" t="s">
        <v>3250</v>
      </c>
      <c r="C34" s="2130" t="s">
        <v>3251</v>
      </c>
      <c r="D34" s="2130" t="s">
        <v>3252</v>
      </c>
      <c r="E34" s="2130" t="s">
        <v>3253</v>
      </c>
      <c r="F34" s="2130" t="s">
        <v>3254</v>
      </c>
      <c r="G34" s="2130" t="s">
        <v>3255</v>
      </c>
      <c r="H34" s="2130" t="s">
        <v>3256</v>
      </c>
      <c r="I34" s="2040"/>
      <c r="J34" s="2040"/>
      <c r="K34" s="1793">
        <f>COUNTIF(B34:H34,"——")</f>
        <v>0</v>
      </c>
      <c r="L34" s="2071" t="s">
        <v>1824</v>
      </c>
      <c r="M34" s="2071" t="s">
        <v>1825</v>
      </c>
      <c r="N34" s="2071" t="s">
        <v>1826</v>
      </c>
      <c r="O34" s="2071" t="s">
        <v>1827</v>
      </c>
      <c r="P34" s="2071" t="s">
        <v>1828</v>
      </c>
      <c r="Q34" s="2071" t="s">
        <v>1829</v>
      </c>
      <c r="R34" s="2071" t="s">
        <v>1830</v>
      </c>
      <c r="S34" s="3067" t="s">
        <v>1831</v>
      </c>
      <c r="T34" s="2131" t="str">
        <f>NUMBERSTRING(7-K34,1)&amp;"通"</f>
        <v>七通</v>
      </c>
      <c r="U34" s="2027"/>
      <c r="V34" s="2027"/>
    </row>
    <row r="35" spans="1:22" ht="18" customHeight="1">
      <c r="A35" s="2132"/>
      <c r="B35" s="3074" t="s">
        <v>1832</v>
      </c>
      <c r="C35" s="3074"/>
      <c r="D35" s="3074"/>
      <c r="E35" s="3074"/>
      <c r="F35" s="2133">
        <f>C10</f>
        <v>0</v>
      </c>
      <c r="G35" s="2040"/>
      <c r="H35" s="2040"/>
      <c r="I35" s="2040"/>
      <c r="J35" s="2040"/>
      <c r="K35" s="2071"/>
      <c r="L35" s="2071"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067"/>
      <c r="T35" s="47" t="str">
        <f>IF(T34="一通",L35,IF(T34="二通",M35,IF(T34="三通",N35,IF(T34="四通",O35,IF(T34="五通",P35,IF(T34="六通",Q35,R35))))))</f>
        <v>通路、通电、通讯、通上水、通下水、通热、燃气</v>
      </c>
      <c r="U35" s="2027"/>
      <c r="V35" s="2027"/>
    </row>
    <row r="36" spans="1:22" ht="18" customHeight="1">
      <c r="A36" s="2134"/>
      <c r="B36" s="2133" t="s">
        <v>1833</v>
      </c>
      <c r="C36" s="2133" t="s">
        <v>1834</v>
      </c>
      <c r="D36" s="2133" t="s">
        <v>1835</v>
      </c>
      <c r="E36" s="2133" t="s">
        <v>1836</v>
      </c>
      <c r="F36" s="2135"/>
      <c r="G36" s="2040"/>
      <c r="H36" s="2040"/>
      <c r="I36" s="2040"/>
      <c r="J36" s="2040"/>
      <c r="K36" s="2050"/>
      <c r="L36" s="2026"/>
      <c r="M36" s="2026"/>
      <c r="N36" s="2027"/>
      <c r="O36" s="2028"/>
      <c r="P36" s="2027"/>
      <c r="Q36" s="2027"/>
      <c r="R36" s="2027"/>
      <c r="S36" s="2027"/>
      <c r="T36" s="2027"/>
      <c r="U36" s="2027"/>
      <c r="V36" s="2027"/>
    </row>
    <row r="37" spans="1:22" ht="18" customHeight="1">
      <c r="A37" s="2136" t="s">
        <v>1837</v>
      </c>
      <c r="B37" s="2137"/>
      <c r="C37" s="2137" t="s">
        <v>269</v>
      </c>
      <c r="D37" s="2137" t="s">
        <v>269</v>
      </c>
      <c r="E37" s="2137"/>
      <c r="F37" s="2135"/>
      <c r="G37" s="2040"/>
      <c r="H37" s="2040"/>
      <c r="I37" s="2040"/>
      <c r="J37" s="2040"/>
      <c r="K37" s="2050"/>
      <c r="L37" s="2026"/>
      <c r="M37" s="2026"/>
      <c r="N37" s="2027"/>
      <c r="O37" s="2028"/>
      <c r="P37" s="2027"/>
      <c r="Q37" s="2027"/>
      <c r="R37" s="2027"/>
      <c r="S37" s="2027"/>
      <c r="T37" s="2027"/>
      <c r="U37" s="2027"/>
      <c r="V37" s="2027"/>
    </row>
    <row r="38" spans="1:22" ht="18" customHeight="1" thickBot="1">
      <c r="A38" s="2138" t="s">
        <v>1838</v>
      </c>
      <c r="B38" s="2139"/>
      <c r="C38" s="2139" t="s">
        <v>343</v>
      </c>
      <c r="D38" s="2139" t="s">
        <v>343</v>
      </c>
      <c r="E38" s="2139"/>
      <c r="F38" s="2140"/>
      <c r="G38" s="2058"/>
      <c r="H38" s="2058"/>
      <c r="I38" s="2058"/>
      <c r="J38" s="2040"/>
      <c r="K38" s="2050"/>
      <c r="L38" s="2026"/>
      <c r="M38" s="2026"/>
      <c r="N38" s="2027"/>
      <c r="O38" s="2028"/>
      <c r="P38" s="2027"/>
      <c r="Q38" s="2027"/>
      <c r="R38" s="2027"/>
      <c r="S38" s="2027"/>
      <c r="T38" s="2027"/>
      <c r="U38" s="2027"/>
      <c r="V38" s="2027"/>
    </row>
    <row r="39" spans="1:22" s="2145" customFormat="1" ht="18" customHeight="1" thickTop="1" thickBot="1">
      <c r="A39" s="2141" t="s">
        <v>1839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5"/>
      <c r="L40" s="2080"/>
      <c r="M40" s="2080"/>
      <c r="N40" s="2081"/>
      <c r="O40" s="2080"/>
      <c r="P40" s="2027"/>
      <c r="Q40" s="2027"/>
      <c r="R40" s="2027"/>
      <c r="S40" s="2027"/>
      <c r="T40" s="2027"/>
      <c r="U40" s="2027"/>
      <c r="V40" s="2027"/>
    </row>
    <row r="41" spans="1:22" ht="18" customHeight="1">
      <c r="A41" s="8" t="s">
        <v>1840</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1841</v>
      </c>
      <c r="B42" s="1793" t="s">
        <v>1842</v>
      </c>
      <c r="C42" s="1793" t="s">
        <v>1843</v>
      </c>
      <c r="D42" s="1793" t="s">
        <v>1844</v>
      </c>
      <c r="E42" s="1793" t="s">
        <v>1845</v>
      </c>
      <c r="F42" s="1793" t="s">
        <v>1846</v>
      </c>
      <c r="G42" s="1793" t="s">
        <v>1847</v>
      </c>
      <c r="H42" s="1793" t="s">
        <v>1848</v>
      </c>
      <c r="I42" s="1793" t="s">
        <v>1849</v>
      </c>
      <c r="J42" s="2149" t="s">
        <v>1850</v>
      </c>
      <c r="K42" s="2072" t="s">
        <v>1851</v>
      </c>
      <c r="L42" s="2072" t="s">
        <v>1852</v>
      </c>
      <c r="M42" s="2072" t="s">
        <v>1853</v>
      </c>
      <c r="N42" s="1793" t="s">
        <v>1854</v>
      </c>
      <c r="O42" s="1793" t="s">
        <v>1855</v>
      </c>
      <c r="P42" s="1793" t="s">
        <v>1856</v>
      </c>
      <c r="Q42" s="2071" t="s">
        <v>1857</v>
      </c>
      <c r="R42" s="2071" t="s">
        <v>1858</v>
      </c>
      <c r="S42" s="2027"/>
      <c r="T42" s="2027"/>
      <c r="U42" s="2027"/>
      <c r="V42" s="2027"/>
    </row>
    <row r="43" spans="1:22" s="2154" customFormat="1" ht="18" customHeight="1">
      <c r="A43" s="2150"/>
      <c r="B43" s="1270"/>
      <c r="C43" s="1270"/>
      <c r="D43" s="1270"/>
      <c r="E43" s="1270"/>
      <c r="F43" s="1270"/>
      <c r="G43" s="1270"/>
      <c r="H43" s="9"/>
      <c r="I43" s="9"/>
      <c r="J43" s="2151"/>
      <c r="K43" s="2152"/>
      <c r="L43" s="2152"/>
      <c r="M43" s="9"/>
      <c r="N43" s="1270"/>
      <c r="O43" s="9"/>
      <c r="P43" s="1270"/>
      <c r="Q43" s="1270"/>
      <c r="R43" s="1270"/>
      <c r="S43" s="2153"/>
      <c r="T43" s="2153"/>
      <c r="U43" s="2153"/>
      <c r="V43" s="2153"/>
    </row>
    <row r="44" spans="1:22" s="2154" customFormat="1" ht="18" customHeight="1">
      <c r="A44" s="2150"/>
      <c r="B44" s="2150"/>
      <c r="C44" s="1270"/>
      <c r="D44" s="1270"/>
      <c r="E44" s="1270"/>
      <c r="F44" s="1270"/>
      <c r="G44" s="1270"/>
      <c r="H44" s="9"/>
      <c r="I44" s="9"/>
      <c r="J44" s="2151"/>
      <c r="K44" s="2152"/>
      <c r="L44" s="2152"/>
      <c r="M44" s="9"/>
      <c r="N44" s="1270"/>
      <c r="O44" s="9"/>
      <c r="P44" s="1270"/>
      <c r="Q44" s="1270"/>
      <c r="R44" s="1270"/>
      <c r="S44" s="2153"/>
      <c r="T44" s="2153"/>
      <c r="U44" s="2153"/>
      <c r="V44" s="2153"/>
    </row>
    <row r="45" spans="1:22" s="2154" customFormat="1" ht="18" customHeight="1">
      <c r="A45" s="2150"/>
      <c r="B45" s="2150"/>
      <c r="C45" s="1270"/>
      <c r="D45" s="1270"/>
      <c r="E45" s="1270"/>
      <c r="F45" s="1270"/>
      <c r="G45" s="1270"/>
      <c r="H45" s="9"/>
      <c r="I45" s="9"/>
      <c r="J45" s="2151"/>
      <c r="K45" s="2152"/>
      <c r="L45" s="2152"/>
      <c r="M45" s="9"/>
      <c r="N45" s="1270"/>
      <c r="O45" s="9"/>
      <c r="P45" s="1270"/>
      <c r="Q45" s="1270"/>
      <c r="R45" s="1270"/>
      <c r="S45" s="2153"/>
      <c r="T45" s="2153"/>
      <c r="U45" s="2153"/>
      <c r="V45" s="2153"/>
    </row>
    <row r="46" spans="1:22" s="2154" customFormat="1" ht="18" customHeight="1">
      <c r="A46" s="2150"/>
      <c r="B46" s="2150"/>
      <c r="C46" s="1270"/>
      <c r="D46" s="1270"/>
      <c r="E46" s="1270"/>
      <c r="F46" s="1270"/>
      <c r="G46" s="1270"/>
      <c r="H46" s="9"/>
      <c r="I46" s="9"/>
      <c r="J46" s="2151"/>
      <c r="K46" s="2152"/>
      <c r="L46" s="2152"/>
      <c r="M46" s="9"/>
      <c r="N46" s="1270"/>
      <c r="O46" s="9"/>
      <c r="P46" s="1270"/>
      <c r="Q46" s="1270"/>
      <c r="R46" s="1270"/>
      <c r="S46" s="2153"/>
      <c r="T46" s="2153"/>
      <c r="U46" s="2153"/>
      <c r="V46" s="2153"/>
    </row>
    <row r="47" spans="1:22" s="2154" customFormat="1" ht="18" customHeight="1">
      <c r="A47" s="2150"/>
      <c r="B47" s="2150"/>
      <c r="C47" s="1270"/>
      <c r="D47" s="1270"/>
      <c r="E47" s="1270"/>
      <c r="F47" s="1270"/>
      <c r="G47" s="1270"/>
      <c r="H47" s="9"/>
      <c r="I47" s="9"/>
      <c r="J47" s="2151"/>
      <c r="K47" s="2152"/>
      <c r="L47" s="2152"/>
      <c r="M47" s="9"/>
      <c r="N47" s="1270"/>
      <c r="O47" s="9"/>
      <c r="P47" s="1270"/>
      <c r="Q47" s="1270"/>
      <c r="R47" s="1270"/>
      <c r="S47" s="2153"/>
      <c r="T47" s="2153"/>
      <c r="U47" s="2153"/>
      <c r="V47" s="2153"/>
    </row>
    <row r="48" spans="1:22" s="2154" customFormat="1" ht="18" customHeight="1">
      <c r="A48" s="2150"/>
      <c r="B48" s="2150"/>
      <c r="C48" s="1270"/>
      <c r="D48" s="1270"/>
      <c r="E48" s="1270"/>
      <c r="F48" s="1270"/>
      <c r="G48" s="1270"/>
      <c r="H48" s="9"/>
      <c r="I48" s="9"/>
      <c r="J48" s="2151"/>
      <c r="K48" s="2152"/>
      <c r="L48" s="2152"/>
      <c r="M48" s="9"/>
      <c r="N48" s="1270"/>
      <c r="O48" s="9"/>
      <c r="P48" s="1270"/>
      <c r="Q48" s="1270"/>
      <c r="R48" s="1270"/>
      <c r="S48" s="2153"/>
      <c r="T48" s="2153"/>
      <c r="U48" s="2153"/>
      <c r="V48" s="2153"/>
    </row>
    <row r="49" spans="1:22" s="2154" customFormat="1" ht="18" customHeight="1">
      <c r="A49" s="2150"/>
      <c r="B49" s="2150"/>
      <c r="C49" s="1270"/>
      <c r="D49" s="1270"/>
      <c r="E49" s="1270"/>
      <c r="F49" s="1270"/>
      <c r="G49" s="1270"/>
      <c r="H49" s="9"/>
      <c r="I49" s="9"/>
      <c r="J49" s="2151"/>
      <c r="K49" s="2152"/>
      <c r="L49" s="2152"/>
      <c r="M49" s="9"/>
      <c r="N49" s="1270"/>
      <c r="O49" s="9"/>
      <c r="P49" s="1270"/>
      <c r="Q49" s="1270"/>
      <c r="R49" s="1270"/>
      <c r="S49" s="2153"/>
      <c r="T49" s="2153"/>
      <c r="U49" s="2153"/>
      <c r="V49" s="2153"/>
    </row>
    <row r="50" spans="1:22" s="2154" customFormat="1" ht="18" customHeight="1">
      <c r="A50" s="2150"/>
      <c r="B50" s="2150"/>
      <c r="C50" s="1270"/>
      <c r="D50" s="1270"/>
      <c r="E50" s="1270"/>
      <c r="F50" s="1270"/>
      <c r="G50" s="1270"/>
      <c r="H50" s="9"/>
      <c r="I50" s="9"/>
      <c r="J50" s="2151"/>
      <c r="K50" s="2152"/>
      <c r="L50" s="2152"/>
      <c r="M50" s="9"/>
      <c r="N50" s="1270"/>
      <c r="O50" s="9"/>
      <c r="P50" s="1270"/>
      <c r="Q50" s="1270"/>
      <c r="R50" s="1270"/>
      <c r="S50" s="2153"/>
      <c r="T50" s="2153"/>
      <c r="U50" s="2153"/>
      <c r="V50" s="2153"/>
    </row>
    <row r="51" spans="1:22" s="2154" customFormat="1" ht="18" customHeight="1">
      <c r="A51" s="2150"/>
      <c r="B51" s="2150"/>
      <c r="C51" s="1270"/>
      <c r="D51" s="1270"/>
      <c r="E51" s="1270"/>
      <c r="F51" s="1270"/>
      <c r="G51" s="1270"/>
      <c r="H51" s="9"/>
      <c r="I51" s="9"/>
      <c r="J51" s="2151"/>
      <c r="K51" s="2152"/>
      <c r="L51" s="2152"/>
      <c r="M51" s="9"/>
      <c r="N51" s="1270"/>
      <c r="O51" s="9"/>
      <c r="P51" s="1270"/>
      <c r="Q51" s="1270"/>
      <c r="R51" s="1270"/>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2" width="9.5" style="2156" customWidth="1"/>
    <col min="13"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1859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1860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1861</v>
      </c>
      <c r="B2" s="11" t="s">
        <v>1862</v>
      </c>
      <c r="C2" s="11" t="s">
        <v>1863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7" t="s">
        <v>1864</v>
      </c>
      <c r="AZ2" s="1268" t="s">
        <v>1865</v>
      </c>
      <c r="BA2" s="11" t="s">
        <v>1866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3355">
        <f>AY3</f>
        <v>83.97999999999999</v>
      </c>
      <c r="B3" s="13">
        <f>IF(C3="否",G5-AT5,G5)</f>
        <v>828.85000000000014</v>
      </c>
      <c r="C3" s="2165" t="s">
        <v>1867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9">
        <f>11.14+17.24+16.07+11.52+8.3+19.71</f>
        <v>83.97999999999999</v>
      </c>
      <c r="AZ3" s="1270"/>
      <c r="BA3" s="1271"/>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4" t="s">
        <v>1868</v>
      </c>
      <c r="B5" s="1801"/>
      <c r="C5" s="1801"/>
      <c r="D5" s="1804"/>
      <c r="E5" s="15" t="s">
        <v>1</v>
      </c>
      <c r="F5" s="15">
        <f>SUM(F13:F587)</f>
        <v>0</v>
      </c>
      <c r="G5" s="15">
        <f>SUM(G13:G587)</f>
        <v>828.85000000000014</v>
      </c>
      <c r="H5" s="15">
        <f t="shared" ref="H5:AT5" si="0">SUM(H13:H656)</f>
        <v>828.85000000000014</v>
      </c>
      <c r="I5" s="15">
        <f t="shared" si="0"/>
        <v>634.38000000000011</v>
      </c>
      <c r="J5" s="15">
        <f t="shared" si="0"/>
        <v>0</v>
      </c>
      <c r="K5" s="15">
        <f t="shared" si="0"/>
        <v>194.47</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1868</v>
      </c>
      <c r="AW5" s="1801"/>
      <c r="AX5" s="1801"/>
      <c r="AY5" s="16" t="s">
        <v>3</v>
      </c>
      <c r="AZ5" s="17">
        <f t="shared" ref="AZ5:BT5" si="1">SUM(AZ13:AZ656)</f>
        <v>304.45</v>
      </c>
      <c r="BA5" s="17">
        <f t="shared" si="1"/>
        <v>304.45</v>
      </c>
      <c r="BB5" s="17">
        <f t="shared" si="1"/>
        <v>109.98</v>
      </c>
      <c r="BC5" s="17">
        <f t="shared" si="1"/>
        <v>194.47</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4" customFormat="1" ht="12.75">
      <c r="A6" s="14" t="s">
        <v>1869</v>
      </c>
      <c r="B6" s="2171"/>
      <c r="C6" s="2171"/>
      <c r="D6" s="2172"/>
      <c r="E6" s="15">
        <f>H6+AC6+AT6</f>
        <v>83.98</v>
      </c>
      <c r="F6" s="15" t="s">
        <v>1</v>
      </c>
      <c r="G6" s="15" t="s">
        <v>2</v>
      </c>
      <c r="H6" s="19">
        <f>SUMIF(I$12:AB$12,"总值",I6:AB6)</f>
        <v>83.98</v>
      </c>
      <c r="I6" s="15">
        <f t="shared" ref="I6:AB6" si="2">ROUND($A$3*I5/$B$3,2)</f>
        <v>64.28</v>
      </c>
      <c r="J6" s="15">
        <f t="shared" si="2"/>
        <v>0</v>
      </c>
      <c r="K6" s="15">
        <f t="shared" si="2"/>
        <v>19.7</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3"/>
      <c r="AV6" s="14" t="s">
        <v>1869</v>
      </c>
      <c r="AW6" s="2171"/>
      <c r="AX6" s="2171"/>
      <c r="AY6" s="20">
        <f>IF(AY3&gt;0,AY3,ROUND($A$3*AZ5/$B$3,2))</f>
        <v>83.97999999999999</v>
      </c>
      <c r="AZ6" s="15" t="s">
        <v>3</v>
      </c>
      <c r="BA6" s="15">
        <f>ROUND($AY$6*BA5/$AZ$5,2)</f>
        <v>83.98</v>
      </c>
      <c r="BB6" s="15">
        <f>ROUND($AY$6*BB5/$AZ$5,2)</f>
        <v>30.34</v>
      </c>
      <c r="BC6" s="15">
        <f t="shared" ref="BC6:BH6" si="4">ROUND($AY$6*BC5/$AZ$5,2)</f>
        <v>53.64</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4" customFormat="1" ht="24.75">
      <c r="A7" s="2106" t="s">
        <v>1870</v>
      </c>
      <c r="B7" s="2106" t="s">
        <v>1871</v>
      </c>
      <c r="C7" s="2106" t="s">
        <v>1872</v>
      </c>
      <c r="D7" s="2106" t="s">
        <v>1873</v>
      </c>
      <c r="E7" s="2106" t="s">
        <v>1874</v>
      </c>
      <c r="F7" s="2106" t="s">
        <v>1875</v>
      </c>
      <c r="G7" s="2175" t="s">
        <v>1876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1877</v>
      </c>
      <c r="AV7" s="22" t="s">
        <v>1878</v>
      </c>
      <c r="AW7" s="2163" t="s">
        <v>1879</v>
      </c>
      <c r="AX7" s="22" t="s">
        <v>1872</v>
      </c>
      <c r="AY7" s="1801" t="s">
        <v>1880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1881</v>
      </c>
      <c r="H8" s="2181" t="s">
        <v>1882</v>
      </c>
      <c r="I8" s="2182"/>
      <c r="J8" s="1816"/>
      <c r="K8" s="1816"/>
      <c r="L8" s="1816"/>
      <c r="M8" s="1816"/>
      <c r="N8" s="1816"/>
      <c r="O8" s="1816"/>
      <c r="P8" s="1816"/>
      <c r="Q8" s="1816"/>
      <c r="R8" s="1816"/>
      <c r="S8" s="1816"/>
      <c r="T8" s="1816"/>
      <c r="U8" s="1816"/>
      <c r="V8" s="2183"/>
      <c r="W8" s="1816"/>
      <c r="X8" s="1816"/>
      <c r="Y8" s="1816"/>
      <c r="Z8" s="1816"/>
      <c r="AA8" s="2183"/>
      <c r="AB8" s="2184"/>
      <c r="AC8" s="979" t="s">
        <v>1883</v>
      </c>
      <c r="AD8" s="2185"/>
      <c r="AE8" s="2177"/>
      <c r="AF8" s="1816"/>
      <c r="AG8" s="1816"/>
      <c r="AH8" s="1816"/>
      <c r="AI8" s="1816"/>
      <c r="AJ8" s="1816"/>
      <c r="AK8" s="1816"/>
      <c r="AL8" s="1816"/>
      <c r="AM8" s="1816"/>
      <c r="AN8" s="1816"/>
      <c r="AO8" s="1816"/>
      <c r="AP8" s="1816"/>
      <c r="AQ8" s="1816"/>
      <c r="AR8" s="1816"/>
      <c r="AS8" s="1816"/>
      <c r="AT8" s="1290" t="s">
        <v>1884</v>
      </c>
      <c r="AU8" s="2179" t="s">
        <v>1885</v>
      </c>
      <c r="AV8" s="1290"/>
      <c r="AW8" s="2162"/>
      <c r="AX8" s="1290"/>
      <c r="AY8" s="2163" t="s">
        <v>1886</v>
      </c>
      <c r="AZ8" s="1815" t="s">
        <v>1887</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6" customFormat="1" ht="12.75">
      <c r="A9" s="2179"/>
      <c r="B9" s="2179"/>
      <c r="C9" s="2179"/>
      <c r="D9" s="2179"/>
      <c r="E9" s="2179"/>
      <c r="F9" s="2179"/>
      <c r="G9" s="1290"/>
      <c r="H9" s="2187" t="s">
        <v>1888</v>
      </c>
      <c r="I9" s="2188" t="s">
        <v>3052</v>
      </c>
      <c r="J9" s="979"/>
      <c r="K9" s="2188" t="s">
        <v>3052</v>
      </c>
      <c r="L9" s="979"/>
      <c r="M9" s="2188"/>
      <c r="N9" s="979"/>
      <c r="O9" s="2188"/>
      <c r="P9" s="979"/>
      <c r="Q9" s="2188"/>
      <c r="R9" s="979"/>
      <c r="S9" s="2188"/>
      <c r="T9" s="979"/>
      <c r="U9" s="2188"/>
      <c r="V9" s="979"/>
      <c r="W9" s="2188"/>
      <c r="X9" s="2189"/>
      <c r="Y9" s="2188"/>
      <c r="Z9" s="979"/>
      <c r="AA9" s="2188"/>
      <c r="AB9" s="979"/>
      <c r="AC9" s="2180" t="s">
        <v>1888</v>
      </c>
      <c r="AD9" s="14" t="s">
        <v>1889</v>
      </c>
      <c r="AE9" s="1296"/>
      <c r="AF9" s="14" t="s">
        <v>1890</v>
      </c>
      <c r="AG9" s="1296"/>
      <c r="AH9" s="14" t="s">
        <v>1889</v>
      </c>
      <c r="AI9" s="1296"/>
      <c r="AJ9" s="14" t="s">
        <v>1890</v>
      </c>
      <c r="AK9" s="1296"/>
      <c r="AL9" s="14" t="s">
        <v>1889</v>
      </c>
      <c r="AM9" s="1296"/>
      <c r="AN9" s="14" t="s">
        <v>1890</v>
      </c>
      <c r="AO9" s="1296"/>
      <c r="AP9" s="14" t="s">
        <v>1889</v>
      </c>
      <c r="AQ9" s="1296"/>
      <c r="AR9" s="14" t="s">
        <v>1890</v>
      </c>
      <c r="AS9" s="2190"/>
      <c r="AT9" s="2179"/>
      <c r="AU9" s="2179" t="s">
        <v>1891</v>
      </c>
      <c r="AV9" s="1290"/>
      <c r="AW9" s="2162"/>
      <c r="AX9" s="1290"/>
      <c r="AY9" s="27"/>
      <c r="AZ9" s="27" t="s">
        <v>1881</v>
      </c>
      <c r="BA9" s="2191" t="s">
        <v>1892</v>
      </c>
      <c r="BB9" s="2192"/>
      <c r="BC9" s="1336"/>
      <c r="BD9" s="1336"/>
      <c r="BE9" s="1336"/>
      <c r="BF9" s="1336"/>
      <c r="BG9" s="1336"/>
      <c r="BH9" s="1336"/>
      <c r="BI9" s="1336"/>
      <c r="BJ9" s="1336"/>
      <c r="BK9" s="2193"/>
      <c r="BL9" s="14" t="s">
        <v>1893</v>
      </c>
      <c r="BM9" s="1816"/>
      <c r="BN9" s="2182"/>
      <c r="BO9" s="1816"/>
      <c r="BP9" s="1816"/>
      <c r="BQ9" s="1816"/>
      <c r="BR9" s="1816"/>
      <c r="BS9" s="1816"/>
      <c r="BT9" s="25"/>
    </row>
    <row r="10" spans="1:72" s="2186" customFormat="1" ht="12.75">
      <c r="A10" s="2179"/>
      <c r="B10" s="2179"/>
      <c r="C10" s="2179"/>
      <c r="D10" s="2179"/>
      <c r="E10" s="2179"/>
      <c r="F10" s="2179"/>
      <c r="G10" s="1290"/>
      <c r="H10" s="27"/>
      <c r="I10" s="2188" t="s">
        <v>27</v>
      </c>
      <c r="J10" s="979"/>
      <c r="K10" s="2194" t="s">
        <v>3053</v>
      </c>
      <c r="L10" s="979"/>
      <c r="M10" s="2194"/>
      <c r="N10" s="979"/>
      <c r="O10" s="2194"/>
      <c r="P10" s="979"/>
      <c r="Q10" s="2194"/>
      <c r="R10" s="979"/>
      <c r="S10" s="2194"/>
      <c r="T10" s="979"/>
      <c r="U10" s="2194"/>
      <c r="V10" s="979"/>
      <c r="W10" s="2194"/>
      <c r="X10" s="979"/>
      <c r="Y10" s="2194"/>
      <c r="Z10" s="979"/>
      <c r="AA10" s="2194"/>
      <c r="AB10" s="979"/>
      <c r="AC10" s="1290"/>
      <c r="AD10" s="14" t="s">
        <v>1894</v>
      </c>
      <c r="AE10" s="2195"/>
      <c r="AF10" s="14" t="s">
        <v>1894</v>
      </c>
      <c r="AG10" s="2195"/>
      <c r="AH10" s="14" t="s">
        <v>1895</v>
      </c>
      <c r="AI10" s="2195"/>
      <c r="AJ10" s="14" t="s">
        <v>1895</v>
      </c>
      <c r="AK10" s="2195"/>
      <c r="AL10" s="14" t="s">
        <v>1896</v>
      </c>
      <c r="AM10" s="1296"/>
      <c r="AN10" s="14" t="s">
        <v>1896</v>
      </c>
      <c r="AO10" s="1296"/>
      <c r="AP10" s="14" t="s">
        <v>1897</v>
      </c>
      <c r="AQ10" s="1296"/>
      <c r="AR10" s="14" t="s">
        <v>1897</v>
      </c>
      <c r="AS10" s="1296"/>
      <c r="AT10" s="2179"/>
      <c r="AU10" s="2179"/>
      <c r="AV10" s="1290"/>
      <c r="AW10" s="2162"/>
      <c r="AX10" s="1290"/>
      <c r="AY10" s="27"/>
      <c r="AZ10" s="27"/>
      <c r="BA10" s="2196" t="s">
        <v>1888</v>
      </c>
      <c r="BB10" s="2197" t="str">
        <f>I9</f>
        <v>地上</v>
      </c>
      <c r="BC10" s="28" t="str">
        <f>K9</f>
        <v>地上</v>
      </c>
      <c r="BD10" s="28">
        <f>M9</f>
        <v>0</v>
      </c>
      <c r="BE10" s="28">
        <f>O9</f>
        <v>0</v>
      </c>
      <c r="BF10" s="28">
        <f>Q9</f>
        <v>0</v>
      </c>
      <c r="BG10" s="28">
        <f>S9</f>
        <v>0</v>
      </c>
      <c r="BH10" s="28">
        <f>U9</f>
        <v>0</v>
      </c>
      <c r="BI10" s="28">
        <f>W9</f>
        <v>0</v>
      </c>
      <c r="BJ10" s="28">
        <f>Y9</f>
        <v>0</v>
      </c>
      <c r="BK10" s="28">
        <f>AA9</f>
        <v>0</v>
      </c>
      <c r="BL10" s="24" t="s">
        <v>1888</v>
      </c>
      <c r="BM10" s="1815" t="str">
        <f>AD9</f>
        <v>地上</v>
      </c>
      <c r="BN10" s="28" t="str">
        <f>AF9</f>
        <v>地下</v>
      </c>
      <c r="BO10" s="1815" t="str">
        <f>AH9</f>
        <v>地上</v>
      </c>
      <c r="BP10" s="28" t="str">
        <f>AJ9</f>
        <v>地下</v>
      </c>
      <c r="BQ10" s="1815" t="str">
        <f>AL9</f>
        <v>地上</v>
      </c>
      <c r="BR10" s="28" t="str">
        <f>AN9</f>
        <v>地下</v>
      </c>
      <c r="BS10" s="1815" t="str">
        <f>AP9</f>
        <v>地上</v>
      </c>
      <c r="BT10" s="2198" t="str">
        <f>AR9</f>
        <v>地下</v>
      </c>
    </row>
    <row r="11" spans="1:72" s="2186" customFormat="1" ht="12.75">
      <c r="A11" s="2179"/>
      <c r="B11" s="2179"/>
      <c r="C11" s="2179"/>
      <c r="D11" s="2179"/>
      <c r="E11" s="2179"/>
      <c r="F11" s="2179"/>
      <c r="G11" s="1290"/>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0"/>
      <c r="AD11" s="2201" t="s">
        <v>1898</v>
      </c>
      <c r="AE11" s="1817"/>
      <c r="AF11" s="2201" t="s">
        <v>1898</v>
      </c>
      <c r="AG11" s="1817"/>
      <c r="AH11" s="2201" t="s">
        <v>1899</v>
      </c>
      <c r="AI11" s="2202"/>
      <c r="AJ11" s="2201" t="s">
        <v>1899</v>
      </c>
      <c r="AK11" s="1817"/>
      <c r="AL11" s="1815"/>
      <c r="AM11" s="1817"/>
      <c r="AN11" s="1815"/>
      <c r="AO11" s="1817"/>
      <c r="AP11" s="1815"/>
      <c r="AQ11" s="1817"/>
      <c r="AR11" s="1815"/>
      <c r="AS11" s="1817"/>
      <c r="AT11" s="2162"/>
      <c r="AU11" s="2179"/>
      <c r="AV11" s="1290"/>
      <c r="AW11" s="2162"/>
      <c r="AX11" s="1290"/>
      <c r="AY11" s="27"/>
      <c r="AZ11" s="27"/>
      <c r="BA11" s="27"/>
      <c r="BB11" s="2184" t="str">
        <f>I10</f>
        <v>办公</v>
      </c>
      <c r="BC11" s="2184" t="str">
        <f>K10</f>
        <v>住宅</v>
      </c>
      <c r="BD11" s="2184">
        <f>M10</f>
        <v>0</v>
      </c>
      <c r="BE11" s="2184">
        <f>O10</f>
        <v>0</v>
      </c>
      <c r="BF11" s="2184">
        <f>Q10</f>
        <v>0</v>
      </c>
      <c r="BG11" s="2184">
        <f>S10</f>
        <v>0</v>
      </c>
      <c r="BH11" s="2184">
        <f>U10</f>
        <v>0</v>
      </c>
      <c r="BI11" s="2184">
        <f>W10</f>
        <v>0</v>
      </c>
      <c r="BJ11" s="2184">
        <f>Y10</f>
        <v>0</v>
      </c>
      <c r="BK11" s="2184">
        <f>AA10</f>
        <v>0</v>
      </c>
      <c r="BL11" s="1290"/>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3" t="str">
        <f>AR10</f>
        <v>未注明</v>
      </c>
    </row>
    <row r="12" spans="1:72" s="2164" customFormat="1" ht="12.75">
      <c r="A12" s="2204"/>
      <c r="B12" s="2204"/>
      <c r="C12" s="2204"/>
      <c r="D12" s="2204"/>
      <c r="E12" s="2204"/>
      <c r="F12" s="2204"/>
      <c r="G12" s="29"/>
      <c r="H12" s="2205"/>
      <c r="I12" s="1804"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0" t="s">
        <v>1901</v>
      </c>
      <c r="W12" s="11" t="s">
        <v>1900</v>
      </c>
      <c r="X12" s="11" t="s">
        <v>1901</v>
      </c>
      <c r="Y12" s="11" t="s">
        <v>1900</v>
      </c>
      <c r="Z12" s="11" t="s">
        <v>1901</v>
      </c>
      <c r="AA12" s="11" t="s">
        <v>1900</v>
      </c>
      <c r="AB12" s="11" t="s">
        <v>1901</v>
      </c>
      <c r="AC12" s="2206"/>
      <c r="AD12" s="1804"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29" t="s">
        <v>1900</v>
      </c>
      <c r="AS12" s="2204" t="s">
        <v>1901</v>
      </c>
      <c r="AT12" s="2207"/>
      <c r="AU12" s="2204"/>
      <c r="AV12" s="30"/>
      <c r="AW12" s="2163"/>
      <c r="AX12" s="30"/>
      <c r="AY12" s="2208"/>
      <c r="AZ12" s="27"/>
      <c r="BA12" s="2196"/>
      <c r="BB12" s="23">
        <f>I11</f>
        <v>0</v>
      </c>
      <c r="BC12" s="2209">
        <f>K11</f>
        <v>0</v>
      </c>
      <c r="BD12" s="2209">
        <f>M11</f>
        <v>0</v>
      </c>
      <c r="BE12" s="2184">
        <f>O11</f>
        <v>0</v>
      </c>
      <c r="BF12" s="2184">
        <f>Q11</f>
        <v>0</v>
      </c>
      <c r="BG12" s="2184">
        <f>S11</f>
        <v>0</v>
      </c>
      <c r="BH12" s="2184">
        <f>U11</f>
        <v>0</v>
      </c>
      <c r="BI12" s="2184">
        <f>W11</f>
        <v>0</v>
      </c>
      <c r="BJ12" s="2184">
        <f>Y11</f>
        <v>0</v>
      </c>
      <c r="BK12" s="2184">
        <f>AA11</f>
        <v>0</v>
      </c>
      <c r="BL12" s="1290"/>
      <c r="BM12" s="1815" t="str">
        <f>AD11</f>
        <v>（住宅）</v>
      </c>
      <c r="BN12" s="1815" t="str">
        <f>AF11</f>
        <v>（住宅）</v>
      </c>
      <c r="BO12" s="23" t="str">
        <f>AH11</f>
        <v>（住宅、计出让金）</v>
      </c>
      <c r="BP12" s="23" t="str">
        <f>AJ11</f>
        <v>（住宅、计出让金）</v>
      </c>
      <c r="BQ12" s="23">
        <f>AL11</f>
        <v>0</v>
      </c>
      <c r="BR12" s="23">
        <f>AN11</f>
        <v>0</v>
      </c>
      <c r="BS12" s="24">
        <f>AP11</f>
        <v>0</v>
      </c>
      <c r="BT12" s="2203">
        <f>AR11</f>
        <v>0</v>
      </c>
    </row>
    <row r="13" spans="1:72" s="2164" customFormat="1" ht="13.5">
      <c r="A13" s="1270"/>
      <c r="B13" s="1270"/>
      <c r="C13" s="1270" t="s">
        <v>3045</v>
      </c>
      <c r="D13" s="3354" t="s">
        <v>3051</v>
      </c>
      <c r="E13" s="15">
        <f>IF($C$3="是",ROUND($A$3*G13/$B$3,2),ROUND($A$3*(G13-AT13)/$B$3,2))</f>
        <v>11.14</v>
      </c>
      <c r="F13" s="31"/>
      <c r="G13" s="32">
        <f>H13+AC13+AT13</f>
        <v>109.98</v>
      </c>
      <c r="H13" s="19">
        <f>SUMIF(I$12:AB$12,"总值",I13:AB13)</f>
        <v>109.98</v>
      </c>
      <c r="I13" s="2966">
        <v>109.98</v>
      </c>
      <c r="J13" s="2211"/>
      <c r="K13" s="2211"/>
      <c r="L13" s="2211"/>
      <c r="M13" s="2211"/>
      <c r="N13" s="2211"/>
      <c r="O13" s="2211"/>
      <c r="P13" s="2211"/>
      <c r="Q13" s="2211"/>
      <c r="R13" s="2211"/>
      <c r="S13" s="2211"/>
      <c r="T13" s="2211"/>
      <c r="U13" s="2211"/>
      <c r="V13" s="2211"/>
      <c r="W13" s="2211"/>
      <c r="X13" s="2211"/>
      <c r="Y13" s="2211"/>
      <c r="Z13" s="2211"/>
      <c r="AA13" s="2211"/>
      <c r="AB13" s="2211"/>
      <c r="AC13" s="15">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16A</v>
      </c>
      <c r="AY13" s="1804">
        <f>ROUND($AY$6*AZ13/$AZ$5,2)</f>
        <v>30.34</v>
      </c>
      <c r="AZ13" s="15">
        <f>BA13+BL13</f>
        <v>109.98</v>
      </c>
      <c r="BA13" s="15">
        <f>SUM(BB13:BK13)</f>
        <v>109.98</v>
      </c>
      <c r="BB13" s="15">
        <f>IF($D13="是",I13-J13,0)</f>
        <v>109.98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4" customFormat="1" ht="13.5">
      <c r="A14" s="1270"/>
      <c r="B14" s="1270"/>
      <c r="C14" s="2150" t="s">
        <v>3046</v>
      </c>
      <c r="D14" s="2210" t="s">
        <v>3239</v>
      </c>
      <c r="E14" s="15">
        <f>IF($C$3="是",ROUND($A$3*G14/$B$3,2),ROUND($A$3*(G14-AT14)/$B$3,2))</f>
        <v>17.239999999999998</v>
      </c>
      <c r="F14" s="31"/>
      <c r="G14" s="32">
        <f>H14+AC14+AT14</f>
        <v>170.17</v>
      </c>
      <c r="H14" s="19">
        <f>SUMIF(I$12:AB$12,"总值",I14:AB14)</f>
        <v>170.17</v>
      </c>
      <c r="I14" s="2966">
        <v>170.17</v>
      </c>
      <c r="J14" s="2211"/>
      <c r="K14" s="2211"/>
      <c r="L14" s="2211"/>
      <c r="M14" s="2211"/>
      <c r="N14" s="2211"/>
      <c r="O14" s="2211"/>
      <c r="P14" s="2211"/>
      <c r="Q14" s="2211"/>
      <c r="R14" s="2211"/>
      <c r="S14" s="2211"/>
      <c r="T14" s="2211"/>
      <c r="U14" s="2211"/>
      <c r="V14" s="2211"/>
      <c r="W14" s="2211"/>
      <c r="X14" s="2211"/>
      <c r="Y14" s="2211"/>
      <c r="Z14" s="2211"/>
      <c r="AA14" s="2211"/>
      <c r="AB14" s="2211"/>
      <c r="AC14" s="15">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16B</v>
      </c>
      <c r="AY14" s="1804">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4" customFormat="1" ht="13.5">
      <c r="A15" s="1270"/>
      <c r="B15" s="1270"/>
      <c r="C15" s="2150" t="s">
        <v>3047</v>
      </c>
      <c r="D15" s="2210" t="s">
        <v>3239</v>
      </c>
      <c r="E15" s="15">
        <f>IF($C$3="是",ROUND($A$3*G15/$B$3,2),ROUND($A$3*(G15-AT15)/$B$3,2))</f>
        <v>16.07</v>
      </c>
      <c r="F15" s="31"/>
      <c r="G15" s="32">
        <f>H15+AC15+AT15</f>
        <v>158.59</v>
      </c>
      <c r="H15" s="19">
        <f>SUMIF(I$12:AB$12,"总值",I15:AB15)</f>
        <v>158.59</v>
      </c>
      <c r="I15" s="2966">
        <v>158.59</v>
      </c>
      <c r="J15" s="2211"/>
      <c r="K15" s="2211"/>
      <c r="L15" s="2211"/>
      <c r="M15" s="2211"/>
      <c r="N15" s="2211"/>
      <c r="O15" s="2211"/>
      <c r="P15" s="2211"/>
      <c r="Q15" s="2211"/>
      <c r="R15" s="2211"/>
      <c r="S15" s="2211"/>
      <c r="T15" s="2211"/>
      <c r="U15" s="2211"/>
      <c r="V15" s="2211"/>
      <c r="W15" s="2211"/>
      <c r="X15" s="2211"/>
      <c r="Y15" s="2211"/>
      <c r="Z15" s="2211"/>
      <c r="AA15" s="2211"/>
      <c r="AB15" s="2211"/>
      <c r="AC15" s="15">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16C</v>
      </c>
      <c r="AY15" s="180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4" customFormat="1" ht="13.5">
      <c r="A16" s="1270"/>
      <c r="B16" s="1270"/>
      <c r="C16" s="2150" t="s">
        <v>3048</v>
      </c>
      <c r="D16" s="2210" t="s">
        <v>3239</v>
      </c>
      <c r="E16" s="15">
        <f>IF($C$3="是",ROUND($A$3*G16/$B$3,2),ROUND($A$3*(G16-AT16)/$B$3,2))</f>
        <v>11.52</v>
      </c>
      <c r="F16" s="31"/>
      <c r="G16" s="32">
        <f>H16+AC16+AT16</f>
        <v>113.7</v>
      </c>
      <c r="H16" s="19">
        <f>SUMIF(I$12:AB$12,"总值",I16:AB16)</f>
        <v>113.7</v>
      </c>
      <c r="I16" s="2966">
        <v>113.7</v>
      </c>
      <c r="J16" s="2211"/>
      <c r="K16" s="2211"/>
      <c r="L16" s="2211"/>
      <c r="M16" s="2211"/>
      <c r="N16" s="2211"/>
      <c r="O16" s="2211"/>
      <c r="P16" s="2211"/>
      <c r="Q16" s="2211"/>
      <c r="R16" s="2211"/>
      <c r="S16" s="2211"/>
      <c r="T16" s="2211"/>
      <c r="U16" s="2211"/>
      <c r="V16" s="2211"/>
      <c r="W16" s="2211"/>
      <c r="X16" s="2211"/>
      <c r="Y16" s="2211"/>
      <c r="Z16" s="2211"/>
      <c r="AA16" s="2211"/>
      <c r="AB16" s="2211"/>
      <c r="AC16" s="15">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16D</v>
      </c>
      <c r="AY16" s="180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4" customFormat="1" ht="13.5">
      <c r="A17" s="1270"/>
      <c r="B17" s="1270"/>
      <c r="C17" s="2150" t="s">
        <v>3049</v>
      </c>
      <c r="D17" s="2210" t="s">
        <v>3239</v>
      </c>
      <c r="E17" s="15">
        <f>IF($C$3="是",ROUND($A$3*G17/$B$3,2),ROUND($A$3*(G17-AT17)/$B$3,2))</f>
        <v>8.3000000000000007</v>
      </c>
      <c r="F17" s="31"/>
      <c r="G17" s="32">
        <f>H17+AC17+AT17</f>
        <v>81.94</v>
      </c>
      <c r="H17" s="19">
        <f>SUMIF(I$12:AB$12,"总值",I17:AB17)</f>
        <v>81.94</v>
      </c>
      <c r="I17" s="2967">
        <v>81.94</v>
      </c>
      <c r="J17" s="2211"/>
      <c r="K17" s="2211"/>
      <c r="L17" s="2211"/>
      <c r="M17" s="2211"/>
      <c r="N17" s="2211"/>
      <c r="O17" s="2211"/>
      <c r="P17" s="2211"/>
      <c r="Q17" s="2211"/>
      <c r="R17" s="2211"/>
      <c r="S17" s="2211"/>
      <c r="T17" s="2211"/>
      <c r="U17" s="2211"/>
      <c r="V17" s="2211"/>
      <c r="W17" s="2211"/>
      <c r="X17" s="2211"/>
      <c r="Y17" s="2211"/>
      <c r="Z17" s="2211"/>
      <c r="AA17" s="2211"/>
      <c r="AB17" s="2211"/>
      <c r="AC17" s="15">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16E</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t="s">
        <v>3050</v>
      </c>
      <c r="D18" s="2210" t="s">
        <v>3051</v>
      </c>
      <c r="E18" s="34">
        <f t="shared" ref="E18:E112" si="7">IF($C$3="是",ROUND($A$3*G18/$B$3,2),ROUND($A$3*(G18-AT18)/$B$3,2))</f>
        <v>19.7</v>
      </c>
      <c r="F18" s="35"/>
      <c r="G18" s="36">
        <f t="shared" ref="G18:G109" si="8">H18+AC18+AT18</f>
        <v>194.47</v>
      </c>
      <c r="H18" s="37">
        <f t="shared" ref="H18:H109" si="9">SUMIF(I$12:AB$12,"总值",I18:AB18)</f>
        <v>194.47</v>
      </c>
      <c r="I18" s="38"/>
      <c r="J18" s="38"/>
      <c r="K18" s="38">
        <v>194.47</v>
      </c>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6"/>
      <c r="AV18" s="1793">
        <f t="shared" ref="AV18:AV112" si="11">A18</f>
        <v>0</v>
      </c>
      <c r="AW18" s="1793">
        <f t="shared" ref="AW18:AW112" si="12">B18</f>
        <v>0</v>
      </c>
      <c r="AX18" s="1793" t="str">
        <f t="shared" ref="AX18:AX112" si="13">C18</f>
        <v>29F</v>
      </c>
      <c r="AY18" s="41">
        <f t="shared" ref="AY18:AY109" si="14">ROUND($AY$6*AZ18/$AZ$5,2)</f>
        <v>53.64</v>
      </c>
      <c r="AZ18" s="34">
        <f t="shared" ref="AZ18:AZ109" si="15">BA18+BL18</f>
        <v>194.47</v>
      </c>
      <c r="BA18" s="34">
        <f t="shared" ref="BA18:BA109" si="16">SUM(BB18:BK18)</f>
        <v>194.47</v>
      </c>
      <c r="BB18" s="34">
        <f t="shared" ref="BB18:BB109" si="17">IF($D18="是",I18-J18,0)</f>
        <v>0</v>
      </c>
      <c r="BC18" s="34">
        <f t="shared" ref="BC18:BC109" si="18">IF($D18="是",K18-L18,0)</f>
        <v>194.47</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6"/>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6"/>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6"/>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6"/>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6"/>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6"/>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6"/>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6"/>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6"/>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6"/>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6"/>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6"/>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6"/>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6"/>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6"/>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6"/>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6"/>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6"/>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6"/>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6"/>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6"/>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6"/>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6"/>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6"/>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6"/>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6"/>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6"/>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6"/>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6"/>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6"/>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6"/>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6"/>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6"/>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6"/>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6"/>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6"/>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6"/>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6"/>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6"/>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6"/>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6"/>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6"/>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6"/>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6"/>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6"/>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6"/>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6"/>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6"/>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6"/>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6"/>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6"/>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6"/>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6"/>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6"/>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6"/>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6"/>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6"/>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6"/>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6"/>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6"/>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6"/>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6"/>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6"/>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6"/>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6"/>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6"/>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6"/>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6"/>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6"/>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6"/>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6"/>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6"/>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6"/>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6"/>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6"/>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6"/>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6"/>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6"/>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6"/>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6"/>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6"/>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6"/>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6"/>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6"/>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6"/>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6"/>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6"/>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6"/>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6"/>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6"/>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6"/>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1"/>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1"/>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1"/>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6"/>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6"/>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6"/>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6"/>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6"/>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6"/>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6"/>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6"/>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6"/>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6"/>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6"/>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6"/>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6"/>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6"/>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6"/>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6"/>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6"/>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6"/>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6"/>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6"/>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6"/>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6"/>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6"/>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6"/>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6"/>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6"/>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6"/>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6"/>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6"/>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6"/>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6"/>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6"/>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6"/>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6"/>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6"/>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6"/>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6"/>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6"/>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6"/>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6"/>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6"/>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6"/>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6"/>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6"/>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6"/>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6"/>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6"/>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6"/>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6"/>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6"/>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6"/>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6"/>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6"/>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6"/>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6"/>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6"/>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6"/>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6"/>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6"/>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6"/>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6"/>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6"/>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6"/>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6"/>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6"/>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6"/>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6"/>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6"/>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6"/>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6"/>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6"/>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6"/>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6"/>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6"/>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6"/>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6"/>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6"/>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6"/>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6"/>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6"/>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6"/>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6"/>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6"/>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6"/>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6"/>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6"/>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6"/>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6"/>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6"/>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6"/>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1"/>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1"/>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1"/>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6"/>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6"/>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6"/>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6"/>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6"/>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6"/>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6"/>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6"/>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6"/>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6"/>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6"/>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6"/>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6"/>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6"/>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6"/>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6"/>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6"/>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6"/>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6"/>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6"/>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6"/>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6"/>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6"/>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6"/>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6"/>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6"/>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6"/>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6"/>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6"/>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6"/>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6"/>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6"/>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6"/>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6"/>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6"/>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6"/>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6"/>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6"/>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6"/>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6"/>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6"/>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6"/>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6"/>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6"/>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6"/>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6"/>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6"/>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6"/>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6"/>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6"/>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6"/>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6"/>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6"/>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6"/>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6"/>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6"/>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6"/>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6"/>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6"/>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6"/>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6"/>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6"/>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6"/>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6"/>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6"/>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6"/>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6"/>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6"/>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6"/>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6"/>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6"/>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6"/>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6"/>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6"/>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6"/>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6"/>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6"/>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6"/>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6"/>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6"/>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6"/>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6"/>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6"/>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6"/>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6"/>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6"/>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6"/>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6"/>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6"/>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6"/>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6"/>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1"/>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1"/>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1"/>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6"/>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6"/>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6"/>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6"/>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6"/>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6"/>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6"/>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6"/>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6"/>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6"/>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6"/>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6"/>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6"/>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6"/>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6"/>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6"/>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6"/>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6"/>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6"/>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6"/>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6"/>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6"/>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6"/>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6"/>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6"/>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6"/>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6"/>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6"/>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6"/>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6"/>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6"/>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6"/>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6"/>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6"/>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6"/>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6"/>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6"/>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6"/>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6"/>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6"/>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6"/>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6"/>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6"/>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6"/>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6"/>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6"/>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6"/>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6"/>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6"/>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6"/>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6"/>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6"/>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6"/>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6"/>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6"/>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6"/>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6"/>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6"/>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6"/>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6"/>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6"/>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6"/>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6"/>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6"/>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6"/>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6"/>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6"/>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6"/>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6"/>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6"/>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6"/>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6"/>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6"/>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6"/>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6"/>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6"/>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6"/>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6"/>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6"/>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6"/>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6"/>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6"/>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6"/>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6"/>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6"/>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6"/>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6"/>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6"/>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6"/>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6"/>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1"/>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1"/>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1"/>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6"/>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6"/>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6"/>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6"/>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6"/>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6"/>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6"/>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6"/>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6"/>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6"/>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6"/>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6"/>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6"/>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6"/>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6"/>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6"/>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6"/>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6"/>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6"/>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6"/>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6"/>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6"/>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6"/>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6"/>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6"/>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6"/>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6"/>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6"/>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6"/>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6"/>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6"/>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6"/>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6"/>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6"/>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6"/>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6"/>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6"/>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6"/>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6"/>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6"/>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6"/>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6"/>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6"/>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6"/>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6"/>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6"/>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6"/>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6"/>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6"/>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6"/>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6"/>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6"/>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6"/>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6"/>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6"/>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6"/>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6"/>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6"/>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6"/>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6"/>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6"/>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6"/>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6"/>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6"/>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6"/>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6"/>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6"/>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6"/>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6"/>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6"/>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6"/>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6"/>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6"/>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6"/>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6"/>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6"/>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6"/>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6"/>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6"/>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6"/>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6"/>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6"/>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6"/>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6"/>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6"/>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6"/>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6"/>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6"/>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6"/>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6"/>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6"/>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1"/>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1"/>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1"/>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6"/>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6"/>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6"/>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6"/>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6"/>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6"/>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6"/>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6"/>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6"/>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6"/>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6"/>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6"/>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6"/>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6"/>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6"/>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6"/>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6"/>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6"/>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6"/>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6"/>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6"/>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6"/>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6"/>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6"/>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6"/>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6"/>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6"/>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6"/>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6"/>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6"/>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6"/>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6"/>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6"/>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6"/>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6"/>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6"/>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6"/>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6"/>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6"/>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6"/>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6"/>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6"/>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6"/>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6"/>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6"/>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6"/>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6"/>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6"/>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6"/>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6"/>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6"/>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6"/>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6"/>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6"/>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6"/>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6"/>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6"/>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6"/>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6"/>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6"/>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6"/>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6"/>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6"/>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6"/>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6"/>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6"/>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6"/>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6"/>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6"/>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6"/>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6"/>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6"/>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6"/>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6"/>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6"/>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6"/>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6"/>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6"/>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6"/>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6"/>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6"/>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6"/>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6"/>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6"/>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6"/>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6"/>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6"/>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6"/>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6"/>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6"/>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1"/>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1"/>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1"/>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7" t="s">
        <v>0</v>
      </c>
      <c r="B1" s="3097" t="s">
        <v>4</v>
      </c>
      <c r="C1" s="3097" t="s">
        <v>5</v>
      </c>
      <c r="D1" s="3098" t="s">
        <v>53</v>
      </c>
      <c r="E1" s="3098" t="s">
        <v>54</v>
      </c>
      <c r="F1" s="3098"/>
      <c r="G1" s="3098"/>
      <c r="H1" s="3098"/>
      <c r="I1" s="3098"/>
      <c r="J1" s="3098"/>
      <c r="K1" s="3098"/>
      <c r="L1" s="3098"/>
      <c r="M1" s="3098"/>
    </row>
    <row r="2" spans="1:13" ht="27" customHeight="1">
      <c r="A2" s="3097"/>
      <c r="B2" s="3097"/>
      <c r="C2" s="3097"/>
      <c r="D2" s="3098"/>
      <c r="E2" s="3098" t="s">
        <v>37</v>
      </c>
      <c r="F2" s="3098" t="s">
        <v>38</v>
      </c>
      <c r="G2" s="3098"/>
      <c r="H2" s="3098"/>
      <c r="I2" s="3098"/>
      <c r="J2" s="3098" t="s">
        <v>39</v>
      </c>
      <c r="K2" s="3098"/>
      <c r="L2" s="3098"/>
      <c r="M2" s="3098"/>
    </row>
    <row r="3" spans="1:13" ht="28.5">
      <c r="A3" s="3097"/>
      <c r="B3" s="3097"/>
      <c r="C3" s="3097"/>
      <c r="D3" s="3098"/>
      <c r="E3" s="30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8" t="s">
        <v>55</v>
      </c>
      <c r="B9" s="3098"/>
      <c r="C9" s="30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2" sqref="C2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1927</v>
      </c>
      <c r="B1" s="1390"/>
      <c r="C1" s="1390"/>
      <c r="D1" s="1390"/>
      <c r="E1" s="1390"/>
      <c r="F1" s="1390"/>
      <c r="G1" s="1390"/>
      <c r="H1" s="1390"/>
      <c r="I1" s="1390"/>
      <c r="J1" s="1390"/>
      <c r="K1" s="1390"/>
      <c r="L1" s="1390"/>
      <c r="M1" s="1390"/>
      <c r="N1" s="1390"/>
      <c r="O1" s="1390"/>
      <c r="P1" s="1390"/>
    </row>
    <row r="2" spans="1:16" ht="15">
      <c r="A2" s="3108" t="s">
        <v>1928</v>
      </c>
      <c r="B2" s="3108"/>
      <c r="C2" s="3108"/>
      <c r="D2" s="965" t="s">
        <v>1904</v>
      </c>
      <c r="E2" s="2224" t="s">
        <v>1905</v>
      </c>
      <c r="F2" s="1390"/>
      <c r="G2" s="2225"/>
      <c r="H2" s="2226"/>
      <c r="I2" s="2227" t="s">
        <v>1929</v>
      </c>
      <c r="J2" s="1390"/>
      <c r="K2" s="1390"/>
      <c r="L2" s="1390"/>
      <c r="M2" s="1390"/>
      <c r="N2" s="1425"/>
      <c r="O2" s="1390"/>
      <c r="P2" s="1390"/>
    </row>
    <row r="3" spans="1:16" ht="15.75" thickBot="1">
      <c r="A3" s="3109" t="s">
        <v>1902</v>
      </c>
      <c r="B3" s="3109"/>
      <c r="C3" s="3109"/>
      <c r="D3" s="45">
        <f>'数据-基础表'!AY6</f>
        <v>83.97999999999999</v>
      </c>
      <c r="E3" s="45">
        <f>'数据-基础表'!AZ5</f>
        <v>304.45</v>
      </c>
      <c r="F3" s="1390"/>
      <c r="G3" s="1397"/>
      <c r="H3" s="1245" t="s">
        <v>1903</v>
      </c>
      <c r="I3" s="54">
        <f>ROUND('数据-基础表'!B3/'数据-基础表'!A3,2)</f>
        <v>9.8699999999999992</v>
      </c>
      <c r="J3" s="1390"/>
      <c r="K3" s="1390"/>
      <c r="L3" s="1390"/>
      <c r="M3" s="1390"/>
      <c r="N3" s="1425"/>
      <c r="O3" s="1390"/>
      <c r="P3" s="1390"/>
    </row>
    <row r="4" spans="1:16" ht="15">
      <c r="A4" s="3110"/>
      <c r="B4" s="3111"/>
      <c r="C4" s="3112"/>
      <c r="D4" s="2228" t="s">
        <v>1904</v>
      </c>
      <c r="E4" s="2229" t="s">
        <v>1905</v>
      </c>
      <c r="F4" s="1390"/>
      <c r="G4" s="2230" t="s">
        <v>1930</v>
      </c>
      <c r="H4" s="1245" t="s">
        <v>1910</v>
      </c>
      <c r="I4" s="54">
        <f>ROUND(SUMIF('数据-基础表'!I9:AS9,"地上",'数据-基础表'!I5:AS5)/'数据-基础表'!A3,2)</f>
        <v>9.8699999999999992</v>
      </c>
      <c r="J4" s="1390"/>
      <c r="K4" s="1390"/>
      <c r="L4" s="1390"/>
      <c r="M4" s="1390"/>
      <c r="N4" s="1425"/>
      <c r="O4" s="1390"/>
      <c r="P4" s="1390"/>
    </row>
    <row r="5" spans="1:16">
      <c r="A5" s="46" t="s">
        <v>1906</v>
      </c>
      <c r="B5" s="3113" t="s">
        <v>1907</v>
      </c>
      <c r="C5" s="3113"/>
      <c r="D5" s="47">
        <f>ROUND($D$3*E5/$E$3,2)</f>
        <v>53.64</v>
      </c>
      <c r="E5" s="48">
        <f>SUMIF('数据-基础表'!$11:$11,"住宅",'数据-基础表'!$5:$5)</f>
        <v>194.47</v>
      </c>
      <c r="F5" s="1390"/>
      <c r="G5" s="1397"/>
      <c r="H5" s="1245" t="s">
        <v>1903</v>
      </c>
      <c r="I5" s="54">
        <f>ROUND(E31/D31,2)</f>
        <v>3.63</v>
      </c>
      <c r="J5" s="1390"/>
      <c r="K5" s="1390"/>
      <c r="L5" s="1390"/>
      <c r="M5" s="1390"/>
      <c r="N5" s="1390"/>
      <c r="O5" s="1390"/>
      <c r="P5" s="1390"/>
    </row>
    <row r="6" spans="1:16" ht="15" thickBot="1">
      <c r="A6" s="2231"/>
      <c r="B6" s="3113" t="s">
        <v>1908</v>
      </c>
      <c r="C6" s="3113"/>
      <c r="D6" s="47">
        <f>ROUND($D$3*E6/$E$3,2)</f>
        <v>30.34</v>
      </c>
      <c r="E6" s="48">
        <f>E3-E5</f>
        <v>109.97999999999999</v>
      </c>
      <c r="F6" s="1390"/>
      <c r="G6" s="2232" t="s">
        <v>1909</v>
      </c>
      <c r="H6" s="1397" t="s">
        <v>1910</v>
      </c>
      <c r="I6" s="937">
        <f>ROUND(F31/D31,2)</f>
        <v>3.63</v>
      </c>
      <c r="J6" s="1390"/>
      <c r="K6" s="1390"/>
      <c r="L6" s="1390"/>
      <c r="M6" s="1390"/>
      <c r="N6" s="1390"/>
      <c r="O6" s="1390"/>
      <c r="P6" s="1390"/>
    </row>
    <row r="7" spans="1:16" ht="15">
      <c r="A7" s="3105"/>
      <c r="B7" s="3106"/>
      <c r="C7" s="3107"/>
      <c r="D7" s="2228" t="s">
        <v>1904</v>
      </c>
      <c r="E7" s="2233" t="s">
        <v>1911</v>
      </c>
      <c r="F7" s="1390"/>
      <c r="G7" s="2225" t="s">
        <v>1912</v>
      </c>
      <c r="H7" s="63"/>
      <c r="I7" s="419"/>
      <c r="J7" s="1390"/>
      <c r="K7" s="1390"/>
      <c r="L7" s="1390"/>
      <c r="M7" s="1390"/>
      <c r="N7" s="1390"/>
      <c r="O7" s="1390"/>
      <c r="P7" s="1390"/>
    </row>
    <row r="8" spans="1:16">
      <c r="A8" s="46" t="s">
        <v>1913</v>
      </c>
      <c r="B8" s="49" t="s">
        <v>1914</v>
      </c>
      <c r="C8" s="47" t="s">
        <v>1915</v>
      </c>
      <c r="D8" s="47">
        <f t="shared" ref="D8:D15" si="0">ROUND($D$3*E8/$E$3,2)</f>
        <v>83.98</v>
      </c>
      <c r="E8" s="50">
        <f>SUMIF('数据-基础表'!BB10:BK10,"地上",'数据-基础表'!BB5:BK5)</f>
        <v>304.45</v>
      </c>
      <c r="F8" s="1390"/>
      <c r="G8" s="2234"/>
      <c r="H8" s="2234"/>
      <c r="I8" s="1390"/>
      <c r="J8" s="1390"/>
      <c r="K8" s="1390"/>
      <c r="L8" s="1390"/>
      <c r="M8" s="1390"/>
      <c r="N8" s="1390"/>
      <c r="O8" s="1390"/>
      <c r="P8" s="1390"/>
    </row>
    <row r="9" spans="1:16">
      <c r="A9" s="2235"/>
      <c r="B9" s="2236"/>
      <c r="C9" s="47" t="s">
        <v>1916</v>
      </c>
      <c r="D9" s="47">
        <f t="shared" si="0"/>
        <v>0</v>
      </c>
      <c r="E9" s="51">
        <v>0</v>
      </c>
      <c r="F9" s="1390"/>
      <c r="G9" s="2234"/>
      <c r="H9" s="2234"/>
      <c r="I9" s="1390"/>
      <c r="J9" s="1390"/>
      <c r="K9" s="1390"/>
      <c r="L9" s="1390"/>
      <c r="M9" s="1390"/>
      <c r="N9" s="1390"/>
      <c r="O9" s="1390"/>
      <c r="P9" s="1390"/>
    </row>
    <row r="10" spans="1:16">
      <c r="A10" s="2235"/>
      <c r="B10" s="2236"/>
      <c r="C10" s="47" t="s">
        <v>1925</v>
      </c>
      <c r="D10" s="47">
        <f t="shared" si="0"/>
        <v>0</v>
      </c>
      <c r="E10" s="50">
        <f>SUMPRODUCT(('数据-基础表'!BB10:BK10="地下")*('数据-基础表'!BB11:BK11="商业")*('数据-基础表'!BB5:BK5))</f>
        <v>0</v>
      </c>
      <c r="F10" s="1390"/>
      <c r="G10" s="2234"/>
      <c r="H10" s="2234"/>
      <c r="I10" s="1390"/>
      <c r="J10" s="1390"/>
      <c r="K10" s="1390"/>
      <c r="L10" s="1390"/>
      <c r="M10" s="1390"/>
      <c r="N10" s="1390"/>
      <c r="O10" s="1390"/>
      <c r="P10" s="1390"/>
    </row>
    <row r="11" spans="1:16">
      <c r="A11" s="2235"/>
      <c r="B11" s="2236"/>
      <c r="C11" s="47" t="s">
        <v>1917</v>
      </c>
      <c r="D11" s="47">
        <f t="shared" si="0"/>
        <v>0</v>
      </c>
      <c r="E11" s="50">
        <f>SUMPRODUCT(('数据-基础表'!BB10:BK10="地下")*('数据-基础表'!BB11:BK11="办公")*('数据-基础表'!BB5:BK5))+'数据-基础表'!BP5</f>
        <v>0</v>
      </c>
      <c r="F11" s="1390"/>
      <c r="G11" s="2234"/>
      <c r="H11" s="2234"/>
      <c r="I11" s="1390"/>
      <c r="J11" s="1390"/>
      <c r="K11" s="1390"/>
      <c r="L11" s="1390"/>
      <c r="M11" s="1390"/>
      <c r="N11" s="1390"/>
      <c r="O11" s="1390"/>
      <c r="P11" s="1390"/>
    </row>
    <row r="12" spans="1:16">
      <c r="A12" s="2235"/>
      <c r="B12" s="2236"/>
      <c r="C12" s="47" t="s">
        <v>1918</v>
      </c>
      <c r="D12" s="47">
        <f t="shared" si="0"/>
        <v>0</v>
      </c>
      <c r="E12" s="50">
        <f>SUMPRODUCT(('数据-基础表'!BB10:BK10="地下")*('数据-基础表'!BB11:BK11="仓储")*('数据-基础表'!BB5:BK5))</f>
        <v>0</v>
      </c>
      <c r="F12" s="1390"/>
      <c r="G12" s="2234"/>
      <c r="H12" s="2234"/>
      <c r="I12" s="1390"/>
      <c r="J12" s="1390"/>
      <c r="K12" s="1390"/>
      <c r="L12" s="1390"/>
      <c r="M12" s="1390"/>
      <c r="N12" s="1390"/>
      <c r="O12" s="1390"/>
      <c r="P12" s="1390"/>
    </row>
    <row r="13" spans="1:16">
      <c r="A13" s="2235"/>
      <c r="B13" s="2236"/>
      <c r="C13" s="47" t="s">
        <v>1919</v>
      </c>
      <c r="D13" s="47">
        <f t="shared" si="0"/>
        <v>0</v>
      </c>
      <c r="E13" s="50">
        <f>SUMPRODUCT(('数据-基础表'!BB10:BK10="地下")*('数据-基础表'!BB11:BK11="车库")*('数据-基础表'!BB5:BK5))</f>
        <v>0</v>
      </c>
      <c r="F13" s="1390"/>
      <c r="G13" s="2234"/>
      <c r="H13" s="2234"/>
      <c r="I13" s="1390"/>
      <c r="J13" s="1390"/>
      <c r="K13" s="1390"/>
      <c r="L13" s="1390"/>
      <c r="M13" s="1390"/>
      <c r="N13" s="1390"/>
      <c r="O13" s="1390"/>
      <c r="P13" s="1390"/>
    </row>
    <row r="14" spans="1:16">
      <c r="A14" s="2235"/>
      <c r="B14" s="2236"/>
      <c r="C14" s="47" t="s">
        <v>1931</v>
      </c>
      <c r="D14" s="47">
        <f t="shared" si="0"/>
        <v>0</v>
      </c>
      <c r="E14" s="50">
        <f>SUMPRODUCT(('数据-基础表'!BB10:BK10="地下")*('数据-基础表'!BB11:BK11="车库—商业")*('数据-基础表'!BB5:BK5))</f>
        <v>0</v>
      </c>
      <c r="F14" s="1390"/>
      <c r="G14" s="2234"/>
      <c r="H14" s="2234"/>
      <c r="I14" s="1390"/>
      <c r="J14" s="1390"/>
      <c r="K14" s="1390"/>
      <c r="L14" s="1390"/>
      <c r="M14" s="1390"/>
      <c r="N14" s="1390"/>
      <c r="O14" s="1390"/>
      <c r="P14" s="1390"/>
    </row>
    <row r="15" spans="1:16" ht="15" thickBot="1">
      <c r="A15" s="2235"/>
      <c r="B15" s="2236"/>
      <c r="C15" s="47" t="s">
        <v>1926</v>
      </c>
      <c r="D15" s="47">
        <f t="shared" si="0"/>
        <v>0</v>
      </c>
      <c r="E15" s="50">
        <f>SUMPRODUCT(('数据-基础表'!BB10:BK10="地下")*('数据-基础表'!BB11:BK11="车库—办公")*('数据-基础表'!BB5:BK5))</f>
        <v>0</v>
      </c>
      <c r="F15" s="1390"/>
      <c r="G15" s="2234"/>
      <c r="H15" s="2234"/>
      <c r="I15" s="1390"/>
      <c r="J15" s="1390"/>
      <c r="K15" s="1390"/>
      <c r="L15" s="1390"/>
      <c r="M15" s="1390"/>
      <c r="N15" s="1390"/>
      <c r="O15" s="1390"/>
      <c r="P15" s="1390"/>
    </row>
    <row r="16" spans="1:16" ht="15.75" thickBot="1">
      <c r="A16" s="2231"/>
      <c r="B16" s="2236"/>
      <c r="C16" s="49" t="s">
        <v>1920</v>
      </c>
      <c r="D16" s="49">
        <f>SUM(D8:D15)</f>
        <v>83.98</v>
      </c>
      <c r="E16" s="52">
        <f>SUM(E8:E15)</f>
        <v>304.45</v>
      </c>
      <c r="F16" s="1390"/>
      <c r="G16" s="2234"/>
      <c r="H16" s="2237" t="s">
        <v>1932</v>
      </c>
      <c r="I16" s="2238"/>
      <c r="J16" s="1390"/>
      <c r="K16" s="3102" t="s">
        <v>1932</v>
      </c>
      <c r="L16" s="3103"/>
      <c r="M16" s="3103"/>
      <c r="N16" s="3103"/>
      <c r="O16" s="3103"/>
      <c r="P16" s="3104"/>
    </row>
    <row r="17" spans="1:19" ht="15">
      <c r="A17" s="2239" t="s">
        <v>1933</v>
      </c>
      <c r="B17" s="2240" t="s">
        <v>1934</v>
      </c>
      <c r="C17" s="2241" t="s">
        <v>1935</v>
      </c>
      <c r="D17" s="2242" t="s">
        <v>1923</v>
      </c>
      <c r="E17" s="2243" t="s">
        <v>1924</v>
      </c>
      <c r="F17" s="2244"/>
      <c r="G17" s="2245"/>
      <c r="H17" s="2246" t="s">
        <v>1936</v>
      </c>
      <c r="I17" s="2247" t="s">
        <v>1921</v>
      </c>
      <c r="J17" s="1390"/>
      <c r="K17" s="3099" t="s">
        <v>1937</v>
      </c>
      <c r="L17" s="3100"/>
      <c r="M17" s="3101"/>
      <c r="N17" s="3099" t="s">
        <v>1938</v>
      </c>
      <c r="O17" s="3100"/>
      <c r="P17" s="3101"/>
      <c r="R17" s="2225" t="s">
        <v>1939</v>
      </c>
      <c r="S17" s="63"/>
    </row>
    <row r="18" spans="1:19" ht="15">
      <c r="A18" s="2235"/>
      <c r="B18" s="2248"/>
      <c r="C18" s="2249"/>
      <c r="D18" s="2250"/>
      <c r="E18" s="2251" t="s">
        <v>1940</v>
      </c>
      <c r="F18" s="2252" t="s">
        <v>1941</v>
      </c>
      <c r="G18" s="2253" t="s">
        <v>1942</v>
      </c>
      <c r="H18" s="1260" t="s">
        <v>1943</v>
      </c>
      <c r="I18" s="2254" t="s">
        <v>1944</v>
      </c>
      <c r="J18" s="1390"/>
      <c r="K18" s="1260" t="s">
        <v>1945</v>
      </c>
      <c r="L18" s="2255" t="s">
        <v>1946</v>
      </c>
      <c r="M18" s="1044" t="s">
        <v>1947</v>
      </c>
      <c r="N18" s="1260" t="s">
        <v>1945</v>
      </c>
      <c r="O18" s="2255" t="s">
        <v>1946</v>
      </c>
      <c r="P18" s="1044" t="s">
        <v>1947</v>
      </c>
      <c r="R18" s="1245" t="s">
        <v>1948</v>
      </c>
      <c r="S18" s="1245" t="s">
        <v>1949</v>
      </c>
    </row>
    <row r="19" spans="1:19">
      <c r="A19" s="2256"/>
      <c r="B19" s="49" t="s">
        <v>1922</v>
      </c>
      <c r="C19" s="2968" t="s">
        <v>3054</v>
      </c>
      <c r="D19" s="47">
        <f>ROUND($D$3*E19/$E$3,2)</f>
        <v>30.34</v>
      </c>
      <c r="E19" s="55">
        <f t="shared" ref="E19:E26" si="1">SUM(F19:G19)</f>
        <v>109.98</v>
      </c>
      <c r="F19" s="3012">
        <f>'数据-基础表'!I13</f>
        <v>109.98</v>
      </c>
      <c r="G19" s="57"/>
      <c r="H19" s="721">
        <f>ROUND($D$3*I19/$E$3,2)</f>
        <v>0</v>
      </c>
      <c r="I19" s="50">
        <f t="shared" ref="I19:I26" si="2">IF($I$17="自定义",P19,M19)</f>
        <v>0</v>
      </c>
      <c r="J19" s="1390"/>
      <c r="K19" s="1389">
        <f t="shared" ref="K19:K26" si="3">ROUND(E$28*E19/E$27,2)</f>
        <v>0</v>
      </c>
      <c r="L19" s="1245">
        <f t="shared" ref="L19:L26" si="4">ROUND(IF(COUNTIF(C19,"*住宅*")&gt;0,E$29*E19/E$32,0),2)</f>
        <v>0</v>
      </c>
      <c r="M19" s="1401">
        <f>K19+L19</f>
        <v>0</v>
      </c>
      <c r="N19" s="2258"/>
      <c r="O19" s="2259"/>
      <c r="P19" s="1401">
        <f>N19+O19</f>
        <v>0</v>
      </c>
      <c r="R19" s="1245">
        <f t="shared" ref="R19:S26" si="5">D19+H19</f>
        <v>30.34</v>
      </c>
      <c r="S19" s="1246">
        <f t="shared" si="5"/>
        <v>109.98</v>
      </c>
    </row>
    <row r="20" spans="1:19">
      <c r="A20" s="2260"/>
      <c r="B20" s="49" t="s">
        <v>1950</v>
      </c>
      <c r="C20" s="2968" t="s">
        <v>3055</v>
      </c>
      <c r="D20" s="47">
        <f t="shared" ref="D20:D26" si="6">ROUND($D$3*E20/$E$3,2)</f>
        <v>53.64</v>
      </c>
      <c r="E20" s="55">
        <f t="shared" si="1"/>
        <v>194.47</v>
      </c>
      <c r="F20" s="56">
        <f>'数据-基础表'!K5</f>
        <v>194.47</v>
      </c>
      <c r="G20" s="57"/>
      <c r="H20" s="721">
        <f t="shared" ref="H20:H26" si="7">ROUND($D$3*I20/$E$3,2)</f>
        <v>0</v>
      </c>
      <c r="I20" s="50">
        <f t="shared" si="2"/>
        <v>0</v>
      </c>
      <c r="J20" s="1390"/>
      <c r="K20" s="1389">
        <f t="shared" si="3"/>
        <v>0</v>
      </c>
      <c r="L20" s="1245">
        <f t="shared" si="4"/>
        <v>0</v>
      </c>
      <c r="M20" s="1401">
        <f t="shared" ref="M20:M26" si="8">K20+L20</f>
        <v>0</v>
      </c>
      <c r="N20" s="2258"/>
      <c r="O20" s="2259"/>
      <c r="P20" s="1401">
        <f t="shared" ref="P20:P26" si="9">N20+O20</f>
        <v>0</v>
      </c>
      <c r="R20" s="1245">
        <f t="shared" si="5"/>
        <v>53.64</v>
      </c>
      <c r="S20" s="1246">
        <f t="shared" si="5"/>
        <v>194.47</v>
      </c>
    </row>
    <row r="21" spans="1:19">
      <c r="A21" s="2260"/>
      <c r="B21" s="49" t="s">
        <v>1950</v>
      </c>
      <c r="C21" s="2257"/>
      <c r="D21" s="47">
        <f t="shared" si="6"/>
        <v>0</v>
      </c>
      <c r="E21" s="55">
        <f t="shared" si="1"/>
        <v>0</v>
      </c>
      <c r="F21" s="56"/>
      <c r="G21" s="57"/>
      <c r="H21" s="721">
        <f t="shared" si="7"/>
        <v>0</v>
      </c>
      <c r="I21" s="50">
        <f t="shared" si="2"/>
        <v>0</v>
      </c>
      <c r="J21" s="1390"/>
      <c r="K21" s="1389">
        <f t="shared" si="3"/>
        <v>0</v>
      </c>
      <c r="L21" s="1245">
        <f t="shared" si="4"/>
        <v>0</v>
      </c>
      <c r="M21" s="1401">
        <f t="shared" si="8"/>
        <v>0</v>
      </c>
      <c r="N21" s="2258"/>
      <c r="O21" s="2259"/>
      <c r="P21" s="1401">
        <f t="shared" si="9"/>
        <v>0</v>
      </c>
      <c r="R21" s="1245">
        <f t="shared" si="5"/>
        <v>0</v>
      </c>
      <c r="S21" s="1246">
        <f t="shared" si="5"/>
        <v>0</v>
      </c>
    </row>
    <row r="22" spans="1:19">
      <c r="A22" s="2260"/>
      <c r="B22" s="49" t="s">
        <v>1950</v>
      </c>
      <c r="C22" s="59"/>
      <c r="D22" s="47">
        <f t="shared" si="6"/>
        <v>0</v>
      </c>
      <c r="E22" s="55">
        <f t="shared" si="1"/>
        <v>0</v>
      </c>
      <c r="F22" s="60"/>
      <c r="G22" s="61"/>
      <c r="H22" s="721">
        <f t="shared" si="7"/>
        <v>0</v>
      </c>
      <c r="I22" s="50">
        <f t="shared" si="2"/>
        <v>0</v>
      </c>
      <c r="J22" s="1390"/>
      <c r="K22" s="1389">
        <f t="shared" si="3"/>
        <v>0</v>
      </c>
      <c r="L22" s="1245">
        <f t="shared" si="4"/>
        <v>0</v>
      </c>
      <c r="M22" s="1401">
        <f t="shared" si="8"/>
        <v>0</v>
      </c>
      <c r="N22" s="2258"/>
      <c r="O22" s="2259"/>
      <c r="P22" s="1401">
        <f t="shared" si="9"/>
        <v>0</v>
      </c>
      <c r="R22" s="1245">
        <f t="shared" si="5"/>
        <v>0</v>
      </c>
      <c r="S22" s="1246">
        <f t="shared" si="5"/>
        <v>0</v>
      </c>
    </row>
    <row r="23" spans="1:19">
      <c r="A23" s="2260"/>
      <c r="B23" s="49" t="s">
        <v>1950</v>
      </c>
      <c r="C23" s="59"/>
      <c r="D23" s="47">
        <f>ROUND($D$3*E23/$E$3,2)</f>
        <v>0</v>
      </c>
      <c r="E23" s="55">
        <f>SUM(F23:G23)</f>
        <v>0</v>
      </c>
      <c r="F23" s="60"/>
      <c r="G23" s="61"/>
      <c r="H23" s="721">
        <f>ROUND($D$3*I23/$E$3,2)</f>
        <v>0</v>
      </c>
      <c r="I23" s="50">
        <f t="shared" si="2"/>
        <v>0</v>
      </c>
      <c r="J23" s="1390"/>
      <c r="K23" s="1389">
        <f t="shared" si="3"/>
        <v>0</v>
      </c>
      <c r="L23" s="1245">
        <f t="shared" si="4"/>
        <v>0</v>
      </c>
      <c r="M23" s="1401">
        <f t="shared" si="8"/>
        <v>0</v>
      </c>
      <c r="N23" s="2258"/>
      <c r="O23" s="2259"/>
      <c r="P23" s="1401">
        <f t="shared" si="9"/>
        <v>0</v>
      </c>
      <c r="R23" s="1245">
        <f t="shared" si="5"/>
        <v>0</v>
      </c>
      <c r="S23" s="1246">
        <f t="shared" si="5"/>
        <v>0</v>
      </c>
    </row>
    <row r="24" spans="1:19">
      <c r="A24" s="2260"/>
      <c r="B24" s="49" t="s">
        <v>1950</v>
      </c>
      <c r="C24" s="59"/>
      <c r="D24" s="47">
        <f>ROUND($D$3*E24/$E$3,2)</f>
        <v>0</v>
      </c>
      <c r="E24" s="55">
        <f>SUM(F24:G24)</f>
        <v>0</v>
      </c>
      <c r="F24" s="60"/>
      <c r="G24" s="61"/>
      <c r="H24" s="721">
        <f>ROUND($D$3*I24/$E$3,2)</f>
        <v>0</v>
      </c>
      <c r="I24" s="50">
        <f t="shared" si="2"/>
        <v>0</v>
      </c>
      <c r="J24" s="1390"/>
      <c r="K24" s="1389">
        <f t="shared" si="3"/>
        <v>0</v>
      </c>
      <c r="L24" s="1245">
        <f t="shared" si="4"/>
        <v>0</v>
      </c>
      <c r="M24" s="1401">
        <f t="shared" si="8"/>
        <v>0</v>
      </c>
      <c r="N24" s="2258"/>
      <c r="O24" s="2259"/>
      <c r="P24" s="1401">
        <f t="shared" si="9"/>
        <v>0</v>
      </c>
      <c r="R24" s="1245">
        <f t="shared" si="5"/>
        <v>0</v>
      </c>
      <c r="S24" s="1246">
        <f t="shared" si="5"/>
        <v>0</v>
      </c>
    </row>
    <row r="25" spans="1:19">
      <c r="A25" s="2260"/>
      <c r="B25" s="49" t="s">
        <v>1950</v>
      </c>
      <c r="C25" s="59"/>
      <c r="D25" s="47">
        <f t="shared" si="6"/>
        <v>0</v>
      </c>
      <c r="E25" s="55">
        <f t="shared" si="1"/>
        <v>0</v>
      </c>
      <c r="F25" s="60"/>
      <c r="G25" s="61"/>
      <c r="H25" s="46">
        <f t="shared" si="7"/>
        <v>0</v>
      </c>
      <c r="I25" s="50">
        <f t="shared" si="2"/>
        <v>0</v>
      </c>
      <c r="J25" s="1390"/>
      <c r="K25" s="1389">
        <f t="shared" si="3"/>
        <v>0</v>
      </c>
      <c r="L25" s="1245">
        <f t="shared" si="4"/>
        <v>0</v>
      </c>
      <c r="M25" s="1401">
        <f t="shared" si="8"/>
        <v>0</v>
      </c>
      <c r="N25" s="2258"/>
      <c r="O25" s="2259"/>
      <c r="P25" s="1401">
        <f t="shared" si="9"/>
        <v>0</v>
      </c>
      <c r="R25" s="1245">
        <f t="shared" si="5"/>
        <v>0</v>
      </c>
      <c r="S25" s="1246">
        <f t="shared" si="5"/>
        <v>0</v>
      </c>
    </row>
    <row r="26" spans="1:19">
      <c r="A26" s="2260"/>
      <c r="B26" s="49" t="s">
        <v>1950</v>
      </c>
      <c r="C26" s="62"/>
      <c r="D26" s="47">
        <f t="shared" si="6"/>
        <v>0</v>
      </c>
      <c r="E26" s="55">
        <f t="shared" si="1"/>
        <v>0</v>
      </c>
      <c r="F26" s="60"/>
      <c r="G26" s="61"/>
      <c r="H26" s="46">
        <f t="shared" si="7"/>
        <v>0</v>
      </c>
      <c r="I26" s="50">
        <f t="shared" si="2"/>
        <v>0</v>
      </c>
      <c r="J26" s="1390"/>
      <c r="K26" s="1396">
        <f t="shared" si="3"/>
        <v>0</v>
      </c>
      <c r="L26" s="1397">
        <f t="shared" si="4"/>
        <v>0</v>
      </c>
      <c r="M26" s="66">
        <f t="shared" si="8"/>
        <v>0</v>
      </c>
      <c r="N26" s="2261"/>
      <c r="O26" s="2262"/>
      <c r="P26" s="66">
        <f t="shared" si="9"/>
        <v>0</v>
      </c>
      <c r="R26" s="1245">
        <f t="shared" si="5"/>
        <v>0</v>
      </c>
      <c r="S26" s="1246">
        <f t="shared" si="5"/>
        <v>0</v>
      </c>
    </row>
    <row r="27" spans="1:19" ht="15.75" thickBot="1">
      <c r="A27" s="2260"/>
      <c r="B27" s="47"/>
      <c r="C27" s="2263" t="s">
        <v>1951</v>
      </c>
      <c r="D27" s="1391">
        <f>SUM(D19:D26)</f>
        <v>83.98</v>
      </c>
      <c r="E27" s="1392">
        <f>IF(SUM(E19:E26)='数据-基础表'!BA5,SUM(E19:E26),IF(F27="地上面积有误","面积有误","地下面积有误"))</f>
        <v>304.45</v>
      </c>
      <c r="F27" s="1391">
        <f>IF(SUM(F19:F26)=E8,SUM(F19:F26),"地上面积有误")</f>
        <v>304.45</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83.98</v>
      </c>
      <c r="S27" s="1245">
        <f>IF(SUM(S19:S26)=$E$3,SUM(S19:S26),SUM(S19:S26)&amp;"误差"&amp;ROUND(SUM(S19:S26)-E3,2))</f>
        <v>304.45</v>
      </c>
    </row>
    <row r="28" spans="1:19">
      <c r="A28" s="2260"/>
      <c r="B28" s="49" t="s">
        <v>1952</v>
      </c>
      <c r="C28" s="1257" t="s">
        <v>1953</v>
      </c>
      <c r="D28" s="47">
        <f>ROUND($D$3*E28/$E$3,2)</f>
        <v>0</v>
      </c>
      <c r="E28" s="55">
        <f>SUM(F28:G28)</f>
        <v>0</v>
      </c>
      <c r="F28" s="63">
        <f>'数据-基础表'!BQ5+'数据-基础表'!BS5</f>
        <v>0</v>
      </c>
      <c r="G28" s="64">
        <f>'数据-基础表'!BR5+'数据-基础表'!BT5</f>
        <v>0</v>
      </c>
      <c r="H28" s="1390"/>
      <c r="I28" s="1390"/>
      <c r="J28" s="1390"/>
      <c r="K28" s="1390"/>
      <c r="L28" s="1390"/>
      <c r="M28" s="1390"/>
      <c r="N28" s="1390"/>
      <c r="O28" s="1390"/>
      <c r="P28" s="1390"/>
    </row>
    <row r="29" spans="1:19">
      <c r="A29" s="2260"/>
      <c r="B29" s="49" t="s">
        <v>1952</v>
      </c>
      <c r="C29" s="2264" t="s">
        <v>1954</v>
      </c>
      <c r="D29" s="47">
        <f>ROUND($D$3*E29/$E$3,2)</f>
        <v>0</v>
      </c>
      <c r="E29" s="55">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60"/>
      <c r="B30" s="49"/>
      <c r="C30" s="2265" t="s">
        <v>1951</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6"/>
      <c r="B31" s="2267"/>
      <c r="C31" s="1005" t="s">
        <v>1955</v>
      </c>
      <c r="D31" s="727">
        <f>D27+D30</f>
        <v>83.98</v>
      </c>
      <c r="E31" s="727">
        <f>E27+E30</f>
        <v>304.45</v>
      </c>
      <c r="F31" s="728">
        <f>F27+F30</f>
        <v>304.45</v>
      </c>
      <c r="G31" s="729">
        <f>G27+G30</f>
        <v>0</v>
      </c>
      <c r="H31" s="1390"/>
      <c r="I31" s="1390"/>
      <c r="J31" s="1390"/>
      <c r="K31" s="1390"/>
      <c r="L31" s="1390"/>
      <c r="M31" s="1390"/>
      <c r="N31" s="1390"/>
      <c r="O31" s="1390"/>
      <c r="P31" s="1390"/>
    </row>
    <row r="32" spans="1:19">
      <c r="A32" s="2230"/>
      <c r="B32" s="2230" t="s">
        <v>1956</v>
      </c>
      <c r="C32" s="2230"/>
      <c r="D32" s="2230"/>
      <c r="E32" s="1272">
        <f>SUMIF(C19:C26,"*住宅*",E19:E26)</f>
        <v>194.47</v>
      </c>
      <c r="F32" s="2230"/>
      <c r="G32" s="2230"/>
      <c r="H32" s="1390"/>
      <c r="I32" s="1390"/>
      <c r="J32" s="1390"/>
      <c r="K32" s="1390"/>
      <c r="L32" s="1390"/>
      <c r="M32" s="1390"/>
      <c r="N32" s="1390"/>
      <c r="O32" s="1390"/>
      <c r="P32" s="1390"/>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V25" sqref="V25"/>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1957</v>
      </c>
      <c r="B1" s="730"/>
      <c r="C1" s="1579"/>
      <c r="D1" s="2270"/>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3" t="s">
        <v>1958</v>
      </c>
      <c r="B2" s="1264">
        <f>项目基本情况!D3</f>
        <v>43658</v>
      </c>
      <c r="C2" s="2274"/>
      <c r="D2" s="2275"/>
      <c r="E2" s="2274"/>
      <c r="F2" s="2274"/>
      <c r="G2" s="2274"/>
      <c r="H2" s="2274"/>
      <c r="I2" s="2274"/>
      <c r="J2" s="2274"/>
      <c r="K2" s="1425"/>
      <c r="L2" s="1425"/>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5"/>
      <c r="L3" s="1425"/>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7" t="s">
        <v>1959</v>
      </c>
      <c r="B4" s="2278"/>
      <c r="C4" s="2279"/>
      <c r="D4" s="2280"/>
      <c r="E4" s="2279" t="s">
        <v>1960</v>
      </c>
      <c r="F4" s="2279"/>
      <c r="G4" s="2279"/>
      <c r="H4" s="2279"/>
      <c r="I4" s="2279"/>
      <c r="J4" s="2281"/>
      <c r="K4" s="2282"/>
      <c r="L4" s="2283"/>
      <c r="M4" s="2279"/>
      <c r="N4" s="2279" t="s">
        <v>1961</v>
      </c>
      <c r="O4" s="2279"/>
      <c r="P4" s="2279"/>
      <c r="Q4" s="2279"/>
      <c r="R4" s="2279"/>
      <c r="S4" s="2281"/>
      <c r="T4" s="2284" t="str">
        <f>'数据-汇总表'!I17</f>
        <v>按面积比例</v>
      </c>
      <c r="U4" s="2278" t="s">
        <v>1962</v>
      </c>
      <c r="V4" s="2279"/>
      <c r="W4" s="2279"/>
      <c r="X4" s="2279"/>
      <c r="Y4" s="2281"/>
      <c r="Z4" s="2241" t="s">
        <v>1963</v>
      </c>
      <c r="AA4" s="2241"/>
      <c r="AB4" s="2241"/>
      <c r="AC4" s="2241"/>
      <c r="AD4" s="2241"/>
      <c r="AE4" s="2239" t="s">
        <v>1964</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1965</v>
      </c>
      <c r="B5" s="2287" t="s">
        <v>1966</v>
      </c>
      <c r="C5" s="2288" t="s">
        <v>1967</v>
      </c>
      <c r="D5" s="2289" t="s">
        <v>1968</v>
      </c>
      <c r="E5" s="1266" t="s">
        <v>1969</v>
      </c>
      <c r="F5" s="2290" t="s">
        <v>1970</v>
      </c>
      <c r="G5" s="1266" t="s">
        <v>1971</v>
      </c>
      <c r="H5" s="1266" t="s">
        <v>1972</v>
      </c>
      <c r="I5" s="1266" t="s">
        <v>1973</v>
      </c>
      <c r="J5" s="2291" t="s">
        <v>1974</v>
      </c>
      <c r="K5" s="2292" t="s">
        <v>1975</v>
      </c>
      <c r="L5" s="2293" t="s">
        <v>1976</v>
      </c>
      <c r="M5" s="2294" t="s">
        <v>1977</v>
      </c>
      <c r="N5" s="2295" t="s">
        <v>3056</v>
      </c>
      <c r="O5" s="2293" t="s">
        <v>1978</v>
      </c>
      <c r="P5" s="2296" t="s">
        <v>1979</v>
      </c>
      <c r="Q5" s="68" t="s">
        <v>1980</v>
      </c>
      <c r="R5" s="2297" t="s">
        <v>1981</v>
      </c>
      <c r="S5" s="2298" t="s">
        <v>1982</v>
      </c>
      <c r="T5" s="2299" t="s">
        <v>1983</v>
      </c>
      <c r="U5" s="1265" t="s">
        <v>1984</v>
      </c>
      <c r="V5" s="1266" t="s">
        <v>1985</v>
      </c>
      <c r="W5" s="1266" t="s">
        <v>1986</v>
      </c>
      <c r="X5" s="70"/>
      <c r="Y5" s="69" t="s">
        <v>1987</v>
      </c>
      <c r="Z5" s="2300" t="s">
        <v>1984</v>
      </c>
      <c r="AA5" s="1266" t="s">
        <v>1985</v>
      </c>
      <c r="AB5" s="1266" t="s">
        <v>1986</v>
      </c>
      <c r="AC5" s="70"/>
      <c r="AD5" s="70" t="s">
        <v>1987</v>
      </c>
      <c r="AE5" s="1265" t="s">
        <v>1988</v>
      </c>
      <c r="AF5" s="1266" t="s">
        <v>1989</v>
      </c>
      <c r="AG5" s="69" t="s">
        <v>1990</v>
      </c>
      <c r="AH5" s="1265" t="s">
        <v>1991</v>
      </c>
      <c r="AI5" s="2300" t="s">
        <v>1992</v>
      </c>
      <c r="AJ5" s="2300" t="s">
        <v>1993</v>
      </c>
      <c r="AK5" s="1266" t="s">
        <v>1994</v>
      </c>
      <c r="AL5" s="1266" t="s">
        <v>1995</v>
      </c>
      <c r="AM5" s="69" t="s">
        <v>1996</v>
      </c>
      <c r="AN5" s="2301" t="s">
        <v>1997</v>
      </c>
      <c r="AO5" s="2071" t="s">
        <v>1998</v>
      </c>
      <c r="AP5" s="1247" t="s">
        <v>1999</v>
      </c>
      <c r="AQ5" s="2302" t="s">
        <v>2000</v>
      </c>
      <c r="AR5" s="2302" t="s">
        <v>2001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3" t="str">
        <f>'数据-汇总表'!C19</f>
        <v>办公</v>
      </c>
      <c r="B6" s="2304" t="str">
        <f>IF(A6=0,"","经营性")</f>
        <v>经营性</v>
      </c>
      <c r="C6" s="2305" t="s">
        <v>27</v>
      </c>
      <c r="D6" s="1049">
        <f>SUMIF(项目基本情况!D$12:I$12,C6,项目基本情况!D$14:I$14)</f>
        <v>50</v>
      </c>
      <c r="E6" s="1046">
        <f>IF(B6="","",SUMIF(项目基本情况!D$12:I$12,C6,项目基本情况!D$13:I$13))</f>
        <v>55462</v>
      </c>
      <c r="F6" s="71">
        <f>SUMIF(项目基本情况!D$12:I$12,C6,项目基本情况!D$15:I$15)</f>
        <v>32.33</v>
      </c>
      <c r="G6" s="72">
        <f>IF(ISERROR(ROUND(POWER(1+H6,D6-F6)*(POWER(1+H6,F6)-1)/(POWER(1+H6,D6)-1),3)),0,ROUND(POWER(1+H6,D6-F6)*(POWER(1+H6,F6)-1)/(POWER(1+H6,D6)-1),3))</f>
        <v>0.86899999999999999</v>
      </c>
      <c r="H6" s="800">
        <v>0.05</v>
      </c>
      <c r="I6" s="800">
        <v>5.5E-2</v>
      </c>
      <c r="J6" s="73">
        <v>0.08</v>
      </c>
      <c r="K6" s="1249">
        <f>SUMIF('数据-汇总表'!C$19:C$33,A6,'数据-汇总表'!E$19:E$33)</f>
        <v>109.98</v>
      </c>
      <c r="L6" s="801">
        <v>3000</v>
      </c>
      <c r="M6" s="74">
        <f t="shared" ref="M6:M14" si="0">ROUND(K6*L6/10000,0)</f>
        <v>33</v>
      </c>
      <c r="N6" s="799">
        <f>N25</f>
        <v>0.73333333333333328</v>
      </c>
      <c r="O6" s="74" t="str">
        <f>IF($N$5="成新度","——",ROUND(M6*N6,0))</f>
        <v>——</v>
      </c>
      <c r="P6" s="75" t="str">
        <f>IF($N$5="成新度","——",M6-O6)</f>
        <v>——</v>
      </c>
      <c r="Q6" s="802">
        <v>0.15</v>
      </c>
      <c r="R6" s="76">
        <f ca="1">SUMIF('数据-汇总表'!C$19:C$33,A6,'数据-汇总表'!R$19:R$27)</f>
        <v>30.34</v>
      </c>
      <c r="S6" s="53">
        <f>IF('数据-汇总表'!$I$17="按面积比例",SUMIF('数据-汇总表'!C$19:C$33,A6,'数据-汇总表'!K$19:K$33),SUMIF('数据-汇总表'!C$19:C$33,A6,'数据-汇总表'!N$19:N$33))</f>
        <v>0</v>
      </c>
      <c r="T6" s="1441">
        <f>ROUND($L$14*S6/10000,0)</f>
        <v>0</v>
      </c>
      <c r="U6" s="77">
        <v>6.5</v>
      </c>
      <c r="V6" s="78">
        <v>0.03</v>
      </c>
      <c r="W6" s="78">
        <v>0.05</v>
      </c>
      <c r="X6" s="1259"/>
      <c r="Y6" s="79">
        <f>N6</f>
        <v>0.73333333333333328</v>
      </c>
      <c r="Z6" s="80"/>
      <c r="AA6" s="73"/>
      <c r="AB6" s="73"/>
      <c r="AC6" s="1259"/>
      <c r="AD6" s="81"/>
      <c r="AE6" s="1260">
        <f ca="1">IF(AN6="",0,SUMIF(INDIRECT("'"&amp;AN6&amp;"'"&amp;"!E:E"),$AE$5,INDIRECT("'"&amp;AN6&amp;"'"&amp;"!F:F")))</f>
        <v>32.33</v>
      </c>
      <c r="AF6" s="1802"/>
      <c r="AG6" s="146">
        <f>IF(AF6="",0,AE6-AF6)</f>
        <v>0</v>
      </c>
      <c r="AH6" s="82"/>
      <c r="AI6" s="84">
        <v>365</v>
      </c>
      <c r="AJ6" s="85"/>
      <c r="AK6" s="86">
        <v>1.4999999999999999E-2</v>
      </c>
      <c r="AL6" s="87">
        <v>1.5E-3</v>
      </c>
      <c r="AM6" s="88">
        <v>1.4999999999999999E-2</v>
      </c>
      <c r="AN6" s="2306" t="s">
        <v>3095</v>
      </c>
      <c r="AO6" s="54">
        <f ca="1">SUMIF(INDIRECT("'"&amp;AN6&amp;"'"&amp;"!A:A"),"总价",INDIRECT("'"&amp;AN6&amp;"'"&amp;"!B:B"))</f>
        <v>445</v>
      </c>
      <c r="AP6" s="2307">
        <f>IF(C6="住宅",K6*L6,0)</f>
        <v>0</v>
      </c>
      <c r="AQ6" s="54">
        <f>ROUND($L$14*$N$14*S6/10000,0)</f>
        <v>0</v>
      </c>
      <c r="AR6" s="54">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t="str">
        <f>'数据-汇总表'!C20</f>
        <v>住宅</v>
      </c>
      <c r="B7" s="2304" t="str">
        <f t="shared" ref="B7:B13" si="1">IF(A7=0,"","经营性")</f>
        <v>经营性</v>
      </c>
      <c r="C7" s="2305" t="s">
        <v>3053</v>
      </c>
      <c r="D7" s="1049">
        <f>SUMIF(项目基本情况!D$12:I$12,C7,项目基本情况!D$14:I$14)</f>
        <v>70</v>
      </c>
      <c r="E7" s="1046">
        <f>IF(B7="","",SUMIF(项目基本情况!D$12:I$12,C7,项目基本情况!D$13:I$13))</f>
        <v>62767</v>
      </c>
      <c r="F7" s="71">
        <f>SUMIF(项目基本情况!D$12:I$12,C7,项目基本情况!D$15:I$15)</f>
        <v>52.35</v>
      </c>
      <c r="G7" s="72">
        <f t="shared" ref="G7:G11" si="2">IF(ISERROR(ROUND(POWER(1+H7,D7-F7)*(POWER(1+H7,F7)-1)/(POWER(1+H7,D7)-1),3)),0,ROUND(POWER(1+H7,D7-F7)*(POWER(1+H7,F7)-1)/(POWER(1+H7,D7)-1),3))</f>
        <v>0.94299999999999995</v>
      </c>
      <c r="H7" s="800">
        <v>4.4999999999999998E-2</v>
      </c>
      <c r="I7" s="800">
        <v>0.05</v>
      </c>
      <c r="J7" s="73">
        <v>0.08</v>
      </c>
      <c r="K7" s="1249">
        <f>SUMIF('数据-汇总表'!C$19:C$33,A7,'数据-汇总表'!E$19:E$33)</f>
        <v>194.47</v>
      </c>
      <c r="L7" s="801">
        <v>3000</v>
      </c>
      <c r="M7" s="74">
        <f t="shared" si="0"/>
        <v>58</v>
      </c>
      <c r="N7" s="799">
        <f>N6</f>
        <v>0.73333333333333328</v>
      </c>
      <c r="O7" s="74" t="str">
        <f t="shared" ref="O7:O14" si="3">IF($N$5="成新度","——",ROUND(M7*N7,0))</f>
        <v>——</v>
      </c>
      <c r="P7" s="75" t="str">
        <f t="shared" ref="P7:P14" si="4">IF($N$5="成新度","——",M7-O7)</f>
        <v>——</v>
      </c>
      <c r="Q7" s="802">
        <v>0.2</v>
      </c>
      <c r="R7" s="76">
        <f ca="1">SUMIF('数据-汇总表'!C$19:C$33,A7,'数据-汇总表'!R$19:R$27)</f>
        <v>53.64</v>
      </c>
      <c r="S7" s="53">
        <f>IF('数据-汇总表'!$I$17="按面积比例",SUMIF('数据-汇总表'!C$19:C$33,A7,'数据-汇总表'!K$19:K$33),SUMIF('数据-汇总表'!C$19:C$33,A7,'数据-汇总表'!N$19:N$33))</f>
        <v>0</v>
      </c>
      <c r="T7" s="1441">
        <f t="shared" ref="T7:T13" si="5">ROUND($L$14*S7/10000,0)</f>
        <v>0</v>
      </c>
      <c r="U7" s="77">
        <f>'比较法-住宅租金)'!B3</f>
        <v>6</v>
      </c>
      <c r="V7" s="78">
        <v>0.02</v>
      </c>
      <c r="W7" s="78">
        <v>0.1</v>
      </c>
      <c r="X7" s="1259"/>
      <c r="Y7" s="79">
        <f>Y6</f>
        <v>0.73333333333333328</v>
      </c>
      <c r="Z7" s="80"/>
      <c r="AA7" s="73"/>
      <c r="AB7" s="73"/>
      <c r="AC7" s="1259"/>
      <c r="AD7" s="81"/>
      <c r="AE7" s="1260">
        <f t="shared" ref="AE7:AE13" ca="1" si="6">IF(AN7="",0,SUMIF(INDIRECT("'"&amp;AN7&amp;"'"&amp;"!E:E"),$AE$5,INDIRECT("'"&amp;AN7&amp;"'"&amp;"!F:F")))</f>
        <v>52.35</v>
      </c>
      <c r="AF7" s="1802"/>
      <c r="AG7" s="146">
        <f t="shared" ref="AG7:AG13" si="7">IF(AF7="",0,AE7-AF7)</f>
        <v>0</v>
      </c>
      <c r="AH7" s="82"/>
      <c r="AI7" s="84">
        <v>365</v>
      </c>
      <c r="AJ7" s="85"/>
      <c r="AK7" s="86">
        <v>1.4999999999999999E-2</v>
      </c>
      <c r="AL7" s="87">
        <v>1.5E-3</v>
      </c>
      <c r="AM7" s="88">
        <v>1.4999999999999999E-2</v>
      </c>
      <c r="AN7" s="2306" t="s">
        <v>3073</v>
      </c>
      <c r="AO7" s="54">
        <f t="shared" ref="AO7:AO13" ca="1" si="8">SUMIF(INDIRECT("'"&amp;AN7&amp;"'"&amp;"!A:A"),"总价",INDIRECT("'"&amp;AN7&amp;"'"&amp;"!B:B"))</f>
        <v>892</v>
      </c>
      <c r="AP7" s="2307">
        <f t="shared" ref="AP7:AP13" si="9">IF(C7="住宅",K7*L7,0)</f>
        <v>583410</v>
      </c>
      <c r="AQ7" s="54">
        <f t="shared" ref="AQ7:AQ13" si="10">ROUND($L$14*$N$14*S7/10000,0)</f>
        <v>0</v>
      </c>
      <c r="AR7" s="54">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f>'数据-汇总表'!C21</f>
        <v>0</v>
      </c>
      <c r="B8" s="2304" t="str">
        <f t="shared" si="1"/>
        <v/>
      </c>
      <c r="C8" s="2305"/>
      <c r="D8" s="1049">
        <f>SUMIF(项目基本情况!D$12:I$12,C8,项目基本情况!D$14:I$14)</f>
        <v>0</v>
      </c>
      <c r="E8" s="1046" t="str">
        <f>IF(B8="","",SUMIF(项目基本情况!D$12:I$12,C8,项目基本情况!D$13:I$13))</f>
        <v/>
      </c>
      <c r="F8" s="71">
        <f>SUMIF(项目基本情况!D$12:I$12,C8,项目基本情况!D$15:I$15)</f>
        <v>0</v>
      </c>
      <c r="G8" s="72">
        <f t="shared" si="2"/>
        <v>0</v>
      </c>
      <c r="H8" s="800"/>
      <c r="I8" s="800"/>
      <c r="J8" s="73"/>
      <c r="K8" s="1249">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1">
        <f t="shared" si="5"/>
        <v>0</v>
      </c>
      <c r="U8" s="803"/>
      <c r="V8" s="804"/>
      <c r="W8" s="804"/>
      <c r="X8" s="1259"/>
      <c r="Y8" s="805"/>
      <c r="Z8" s="80"/>
      <c r="AA8" s="73"/>
      <c r="AB8" s="73"/>
      <c r="AC8" s="1259"/>
      <c r="AD8" s="81"/>
      <c r="AE8" s="1260">
        <f t="shared" ca="1" si="6"/>
        <v>0</v>
      </c>
      <c r="AF8" s="1802"/>
      <c r="AG8" s="146">
        <f t="shared" si="7"/>
        <v>0</v>
      </c>
      <c r="AH8" s="806"/>
      <c r="AI8" s="84"/>
      <c r="AJ8" s="85"/>
      <c r="AK8" s="807"/>
      <c r="AL8" s="808"/>
      <c r="AM8" s="809"/>
      <c r="AN8" s="2306"/>
      <c r="AO8" s="54" t="e">
        <f t="shared" ca="1" si="8"/>
        <v>#REF!</v>
      </c>
      <c r="AP8" s="2307">
        <f t="shared" si="9"/>
        <v>0</v>
      </c>
      <c r="AQ8" s="54">
        <f t="shared" si="10"/>
        <v>0</v>
      </c>
      <c r="AR8" s="54">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c r="A9" s="2303">
        <f>'数据-汇总表'!C22</f>
        <v>0</v>
      </c>
      <c r="B9" s="2304" t="str">
        <f t="shared" si="1"/>
        <v/>
      </c>
      <c r="C9" s="2305"/>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6"/>
      <c r="AO9" s="54" t="e">
        <f t="shared" ca="1" si="8"/>
        <v>#REF!</v>
      </c>
      <c r="AP9" s="2307">
        <f t="shared" si="9"/>
        <v>0</v>
      </c>
      <c r="AQ9" s="54">
        <f t="shared" si="10"/>
        <v>0</v>
      </c>
      <c r="AR9" s="54">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c r="A10" s="2303">
        <f>'数据-汇总表'!C23</f>
        <v>0</v>
      </c>
      <c r="B10" s="2304" t="str">
        <f t="shared" si="1"/>
        <v/>
      </c>
      <c r="C10" s="2305"/>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6"/>
      <c r="AO10" s="54" t="e">
        <f t="shared" ca="1" si="8"/>
        <v>#REF!</v>
      </c>
      <c r="AP10" s="2307">
        <f t="shared" si="9"/>
        <v>0</v>
      </c>
      <c r="AQ10" s="54">
        <f t="shared" si="10"/>
        <v>0</v>
      </c>
      <c r="AR10" s="54">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c r="A11" s="2303">
        <f>'数据-汇总表'!C24</f>
        <v>0</v>
      </c>
      <c r="B11" s="2304" t="str">
        <f t="shared" si="1"/>
        <v/>
      </c>
      <c r="C11" s="2305"/>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6"/>
      <c r="AO11" s="54" t="e">
        <f t="shared" ca="1" si="8"/>
        <v>#REF!</v>
      </c>
      <c r="AP11" s="2307">
        <f t="shared" si="9"/>
        <v>0</v>
      </c>
      <c r="AQ11" s="54">
        <f t="shared" si="10"/>
        <v>0</v>
      </c>
      <c r="AR11" s="54">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c r="A12" s="2303">
        <f>'数据-汇总表'!C25</f>
        <v>0</v>
      </c>
      <c r="B12" s="2304" t="str">
        <f t="shared" si="1"/>
        <v/>
      </c>
      <c r="C12" s="2305"/>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6"/>
      <c r="AO12" s="54" t="e">
        <f t="shared" ca="1" si="8"/>
        <v>#REF!</v>
      </c>
      <c r="AP12" s="2307">
        <f t="shared" si="9"/>
        <v>0</v>
      </c>
      <c r="AQ12" s="54">
        <f t="shared" si="10"/>
        <v>0</v>
      </c>
      <c r="AR12" s="54">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c r="A13" s="2303">
        <f>'数据-汇总表'!C26</f>
        <v>0</v>
      </c>
      <c r="B13" s="2304" t="str">
        <f t="shared" si="1"/>
        <v/>
      </c>
      <c r="C13" s="2305"/>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6"/>
      <c r="AO13" s="54" t="e">
        <f t="shared" ca="1" si="8"/>
        <v>#REF!</v>
      </c>
      <c r="AP13" s="2307">
        <f t="shared" si="9"/>
        <v>0</v>
      </c>
      <c r="AQ13" s="54">
        <f t="shared" si="10"/>
        <v>0</v>
      </c>
      <c r="AR13" s="54">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2002</v>
      </c>
      <c r="B14" s="2304" t="s">
        <v>2003</v>
      </c>
      <c r="C14" s="2309" t="s">
        <v>2002</v>
      </c>
      <c r="D14" s="1049"/>
      <c r="E14" s="1046"/>
      <c r="F14" s="71"/>
      <c r="G14" s="72"/>
      <c r="H14" s="1248"/>
      <c r="I14" s="1248"/>
      <c r="J14" s="1248"/>
      <c r="K14" s="1249">
        <f>SUMIF('数据-汇总表'!C$19:C$33,A14,'数据-汇总表'!E$19:E$33)</f>
        <v>0</v>
      </c>
      <c r="L14" s="90"/>
      <c r="M14" s="74">
        <f t="shared" si="0"/>
        <v>0</v>
      </c>
      <c r="N14" s="91"/>
      <c r="O14" s="74" t="str">
        <f t="shared" si="3"/>
        <v>——</v>
      </c>
      <c r="P14" s="75" t="str">
        <f t="shared" si="4"/>
        <v>——</v>
      </c>
      <c r="Q14" s="1252"/>
      <c r="R14" s="76"/>
      <c r="S14" s="53"/>
      <c r="T14" s="1441"/>
      <c r="U14" s="721"/>
      <c r="V14" s="1254"/>
      <c r="W14" s="1254"/>
      <c r="X14" s="1255"/>
      <c r="Y14" s="1256"/>
      <c r="Z14" s="1257"/>
      <c r="AA14" s="1258"/>
      <c r="AB14" s="1258"/>
      <c r="AC14" s="1259"/>
      <c r="AD14" s="1255"/>
      <c r="AE14" s="1260"/>
      <c r="AF14" s="54"/>
      <c r="AG14" s="146"/>
      <c r="AH14" s="1260"/>
      <c r="AI14" s="1813"/>
      <c r="AJ14" s="771"/>
      <c r="AK14" s="1261"/>
      <c r="AL14" s="1262"/>
      <c r="AM14" s="1263"/>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2004</v>
      </c>
      <c r="B15" s="2304" t="s">
        <v>2003</v>
      </c>
      <c r="C15" s="2309" t="s">
        <v>2005</v>
      </c>
      <c r="D15" s="1049"/>
      <c r="E15" s="1046"/>
      <c r="F15" s="71"/>
      <c r="G15" s="72"/>
      <c r="H15" s="1248"/>
      <c r="I15" s="1248"/>
      <c r="J15" s="1248"/>
      <c r="K15" s="1249">
        <f>SUMIF('数据-汇总表'!C$19:C$33,A15,'数据-汇总表'!E$19:E$33)</f>
        <v>0</v>
      </c>
      <c r="L15" s="1250"/>
      <c r="M15" s="74"/>
      <c r="N15" s="1251"/>
      <c r="O15" s="74"/>
      <c r="P15" s="75"/>
      <c r="Q15" s="1252"/>
      <c r="R15" s="76"/>
      <c r="S15" s="53"/>
      <c r="T15" s="1441"/>
      <c r="U15" s="721"/>
      <c r="V15" s="1254"/>
      <c r="W15" s="1254"/>
      <c r="X15" s="1255"/>
      <c r="Y15" s="1256"/>
      <c r="Z15" s="1257"/>
      <c r="AA15" s="1258"/>
      <c r="AB15" s="1258"/>
      <c r="AC15" s="1259"/>
      <c r="AD15" s="1255"/>
      <c r="AE15" s="1260"/>
      <c r="AF15" s="54"/>
      <c r="AG15" s="146"/>
      <c r="AH15" s="1260"/>
      <c r="AI15" s="1813"/>
      <c r="AJ15" s="771"/>
      <c r="AK15" s="1261"/>
      <c r="AL15" s="1262"/>
      <c r="AM15" s="1263"/>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2006</v>
      </c>
      <c r="B16" s="96"/>
      <c r="C16" s="1003"/>
      <c r="D16" s="2311"/>
      <c r="E16" s="96"/>
      <c r="F16" s="96"/>
      <c r="G16" s="97">
        <f>ROUND(SUMPRODUCT(G6:G13,K6:K13)/SUMPRODUCT((G6:G13&gt;0)*(K6:K13)),3)</f>
        <v>0.91600000000000004</v>
      </c>
      <c r="H16" s="98">
        <f>ROUND(SUMPRODUCT(H6:H13,K6:K13)/SUMPRODUCT((H6:H13&gt;0)*(K6:K13)),3)</f>
        <v>4.7E-2</v>
      </c>
      <c r="I16" s="99"/>
      <c r="J16" s="99"/>
      <c r="K16" s="100">
        <f>SUM(K6:K15)</f>
        <v>304.45</v>
      </c>
      <c r="L16" s="101">
        <f>ROUND(M16*10000/SUM(K6:K14),0)</f>
        <v>2989</v>
      </c>
      <c r="M16" s="101">
        <f>SUM(M6:M14)</f>
        <v>91</v>
      </c>
      <c r="N16" s="102">
        <f>ROUND(SUMPRODUCT(M6:M14,N6:N14)/M16,3)</f>
        <v>0.73299999999999998</v>
      </c>
      <c r="O16" s="101">
        <f>SUM(O6:O14)</f>
        <v>0</v>
      </c>
      <c r="P16" s="101">
        <f>SUM(P6:P14)</f>
        <v>0</v>
      </c>
      <c r="Q16" s="103">
        <f>ROUND(SUMPRODUCT(Q6:Q13,K6:K13)/SUMPRODUCT((Q6:Q13&gt;0)*(K6:K13)),2)</f>
        <v>0.18</v>
      </c>
      <c r="R16" s="1253">
        <f ca="1">SUM(R6:R13)</f>
        <v>83.98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0"/>
      <c r="C17" s="1579"/>
      <c r="D17" s="2270"/>
      <c r="E17" s="2270"/>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2007</v>
      </c>
      <c r="B18" s="2277"/>
      <c r="C18" s="2274"/>
      <c r="D18" s="2275"/>
      <c r="E18" s="2274"/>
      <c r="F18" s="2274"/>
      <c r="G18" s="2274"/>
      <c r="H18" s="2274"/>
      <c r="I18" s="2274"/>
      <c r="J18" s="2274"/>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3" t="s">
        <v>2008</v>
      </c>
      <c r="B19" s="111">
        <v>0</v>
      </c>
      <c r="C19" s="2274" t="s">
        <v>2009</v>
      </c>
      <c r="D19" s="2275"/>
      <c r="E19" s="2274"/>
      <c r="F19" s="2274"/>
      <c r="G19" s="2274"/>
      <c r="H19" s="2274"/>
      <c r="I19" s="2274"/>
      <c r="J19" s="2274"/>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4" t="s">
        <v>2010</v>
      </c>
      <c r="B20" s="112">
        <v>2</v>
      </c>
      <c r="C20" s="2274" t="s">
        <v>2011</v>
      </c>
      <c r="D20" s="2275"/>
      <c r="E20" s="2274"/>
      <c r="F20" s="2274"/>
      <c r="G20" s="2274"/>
      <c r="H20" s="2274"/>
      <c r="I20" s="2274"/>
      <c r="J20" s="2274"/>
      <c r="K20" s="167"/>
      <c r="L20" s="167"/>
      <c r="M20" s="1579"/>
      <c r="N20" s="1579">
        <v>2003</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5" t="s">
        <v>2012</v>
      </c>
      <c r="B21" s="112">
        <v>2</v>
      </c>
      <c r="C21" s="2274"/>
      <c r="D21" s="2275"/>
      <c r="E21" s="2274"/>
      <c r="F21" s="2274"/>
      <c r="G21" s="2274"/>
      <c r="H21" s="2274"/>
      <c r="I21" s="2274"/>
      <c r="J21" s="2274"/>
      <c r="K21" s="167"/>
      <c r="L21" s="167"/>
      <c r="M21" s="1579"/>
      <c r="N21" s="1579">
        <v>2019</v>
      </c>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4" t="s">
        <v>2013</v>
      </c>
      <c r="B22" s="113">
        <f>B19+B20</f>
        <v>2</v>
      </c>
      <c r="C22" s="2274"/>
      <c r="D22" s="2275"/>
      <c r="E22" s="2274"/>
      <c r="F22" s="2274"/>
      <c r="G22" s="2274"/>
      <c r="H22" s="2274"/>
      <c r="I22" s="2274"/>
      <c r="J22" s="2274"/>
      <c r="K22" s="167"/>
      <c r="L22" s="167"/>
      <c r="M22" s="1579"/>
      <c r="N22" s="1579">
        <f>N21-N20</f>
        <v>16</v>
      </c>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5" t="s">
        <v>2014</v>
      </c>
      <c r="B23" s="113">
        <f>B19+B21</f>
        <v>2</v>
      </c>
      <c r="C23" s="2274"/>
      <c r="D23" s="2275"/>
      <c r="E23" s="2274"/>
      <c r="F23" s="2274"/>
      <c r="G23" s="2274"/>
      <c r="H23" s="2274"/>
      <c r="I23" s="2274"/>
      <c r="J23" s="2274"/>
      <c r="K23" s="167"/>
      <c r="L23" s="167"/>
      <c r="M23" s="1579"/>
      <c r="N23" s="1579">
        <v>60</v>
      </c>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6" t="s">
        <v>2015</v>
      </c>
      <c r="B24" s="114">
        <f>B20-B21</f>
        <v>0</v>
      </c>
      <c r="C24" s="2274"/>
      <c r="D24" s="2275"/>
      <c r="E24" s="2274"/>
      <c r="F24" s="2274"/>
      <c r="G24" s="2274"/>
      <c r="H24" s="2274"/>
      <c r="I24" s="2274"/>
      <c r="J24" s="2274"/>
      <c r="K24" s="167"/>
      <c r="L24" s="167"/>
      <c r="M24" s="1579"/>
      <c r="N24" s="1579">
        <f>N23-N22</f>
        <v>44</v>
      </c>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7"/>
      <c r="C25" s="2274"/>
      <c r="D25" s="2275"/>
      <c r="E25" s="2274"/>
      <c r="F25" s="2274"/>
      <c r="G25" s="2274"/>
      <c r="H25" s="2274"/>
      <c r="I25" s="2274"/>
      <c r="J25" s="2274"/>
      <c r="K25" s="167"/>
      <c r="L25" s="167"/>
      <c r="M25" s="1579"/>
      <c r="N25" s="1579">
        <f>N24/N23</f>
        <v>0.73333333333333328</v>
      </c>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3" t="s">
        <v>2016</v>
      </c>
      <c r="B26" s="2317" t="s">
        <v>2017</v>
      </c>
      <c r="C26" s="2318" t="s">
        <v>2018</v>
      </c>
      <c r="D26" s="2275"/>
      <c r="E26" s="2274"/>
      <c r="F26" s="2274"/>
      <c r="G26" s="2274"/>
      <c r="H26" s="2274"/>
      <c r="I26" s="2274"/>
      <c r="J26" s="2274"/>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1" customFormat="1" ht="27.75">
      <c r="A27" s="2319" t="s">
        <v>2019</v>
      </c>
      <c r="B27" s="115">
        <v>160</v>
      </c>
      <c r="C27" s="1762" t="s">
        <v>2020</v>
      </c>
      <c r="D27" s="2320"/>
      <c r="E27" s="1425"/>
      <c r="F27" s="1425"/>
      <c r="G27" s="2274"/>
      <c r="H27" s="2274"/>
      <c r="I27" s="2274"/>
      <c r="J27" s="2274"/>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1" customFormat="1" ht="27.75">
      <c r="A28" s="2322" t="s">
        <v>2021</v>
      </c>
      <c r="B28" s="118">
        <v>200</v>
      </c>
      <c r="C28" s="2323"/>
      <c r="D28" s="2320"/>
      <c r="E28" s="1425"/>
      <c r="F28" s="1425"/>
      <c r="G28" s="2274"/>
      <c r="H28" s="2274"/>
      <c r="I28" s="2274"/>
      <c r="J28" s="2274"/>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1" customFormat="1" ht="28.5" thickBot="1">
      <c r="A29" s="2324" t="s">
        <v>2022</v>
      </c>
      <c r="B29" s="120"/>
      <c r="C29" s="1762" t="s">
        <v>2023</v>
      </c>
      <c r="D29" s="2320"/>
      <c r="E29" s="1425"/>
      <c r="F29" s="1425"/>
      <c r="G29" s="2274"/>
      <c r="H29" s="2274"/>
      <c r="I29" s="2274"/>
      <c r="J29" s="2274"/>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1" customFormat="1" ht="27">
      <c r="A30" s="2325" t="s">
        <v>2024</v>
      </c>
      <c r="B30" s="722">
        <v>200</v>
      </c>
      <c r="C30" s="2323"/>
      <c r="D30" s="2320"/>
      <c r="E30" s="1425"/>
      <c r="F30" s="1425"/>
      <c r="G30" s="2274"/>
      <c r="H30" s="2274"/>
      <c r="I30" s="2274"/>
      <c r="J30" s="2274"/>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1" customFormat="1" ht="27">
      <c r="A31" s="2322" t="s">
        <v>2025</v>
      </c>
      <c r="B31" s="119">
        <f>B30-B32</f>
        <v>200</v>
      </c>
      <c r="C31" s="1762"/>
      <c r="D31" s="2320"/>
      <c r="E31" s="1425"/>
      <c r="F31" s="1425"/>
      <c r="G31" s="2274"/>
      <c r="H31" s="2274"/>
      <c r="I31" s="2274"/>
      <c r="J31" s="2274"/>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1" customFormat="1" ht="27.75" thickBot="1">
      <c r="A32" s="2326" t="s">
        <v>2026</v>
      </c>
      <c r="B32" s="723">
        <v>0</v>
      </c>
      <c r="C32" s="2323"/>
      <c r="D32" s="2275"/>
      <c r="E32" s="2274"/>
      <c r="F32" s="2274"/>
      <c r="G32" s="2274"/>
      <c r="H32" s="2274"/>
      <c r="I32" s="2274"/>
      <c r="J32" s="2274"/>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1" customFormat="1" ht="14.25">
      <c r="A33" s="2319" t="s">
        <v>2027</v>
      </c>
      <c r="B33" s="724">
        <v>0.05</v>
      </c>
      <c r="C33" s="1761" t="s">
        <v>2028</v>
      </c>
      <c r="D33" s="2275"/>
      <c r="E33" s="2274"/>
      <c r="F33" s="2274"/>
      <c r="G33" s="2274"/>
      <c r="H33" s="2274"/>
      <c r="I33" s="2274"/>
      <c r="J33" s="2274"/>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1" customFormat="1" ht="14.25">
      <c r="A34" s="2322" t="s">
        <v>2029</v>
      </c>
      <c r="B34" s="121">
        <v>0.05</v>
      </c>
      <c r="C34" s="1761" t="s">
        <v>2030</v>
      </c>
      <c r="D34" s="2275" t="s">
        <v>2031</v>
      </c>
      <c r="E34" s="730"/>
      <c r="F34" s="2274"/>
      <c r="G34" s="2274"/>
      <c r="H34" s="2274"/>
      <c r="I34" s="2274"/>
      <c r="J34" s="2274"/>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1" customFormat="1" ht="14.25">
      <c r="A35" s="2322" t="s">
        <v>2032</v>
      </c>
      <c r="B35" s="118">
        <v>200</v>
      </c>
      <c r="C35" s="1761" t="s">
        <v>2033</v>
      </c>
      <c r="D35" s="2320"/>
      <c r="E35" s="1425"/>
      <c r="F35" s="1425"/>
      <c r="G35" s="2274"/>
      <c r="H35" s="2274"/>
      <c r="I35" s="2274"/>
      <c r="J35" s="2274"/>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4" t="s">
        <v>2034</v>
      </c>
      <c r="B36" s="122">
        <v>1.4999999999999999E-2</v>
      </c>
      <c r="C36" s="1761" t="s">
        <v>2035</v>
      </c>
      <c r="D36" s="2275"/>
      <c r="E36" s="2274"/>
      <c r="F36" s="2274"/>
      <c r="G36" s="2274"/>
      <c r="H36" s="2274"/>
      <c r="I36" s="2274"/>
      <c r="J36" s="2274"/>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5" t="s">
        <v>2036</v>
      </c>
      <c r="B37" s="123">
        <v>0.03</v>
      </c>
      <c r="C37" s="1761" t="s">
        <v>2037</v>
      </c>
      <c r="D37" s="2275"/>
      <c r="E37" s="2274"/>
      <c r="F37" s="2274"/>
      <c r="G37" s="2274"/>
      <c r="H37" s="2274"/>
      <c r="I37" s="2274"/>
      <c r="J37" s="2274"/>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2" t="s">
        <v>2038</v>
      </c>
      <c r="B38" s="121">
        <v>0.02</v>
      </c>
      <c r="C38" s="1761" t="s">
        <v>2037</v>
      </c>
      <c r="D38" s="2275"/>
      <c r="E38" s="2274"/>
      <c r="F38" s="2274"/>
      <c r="G38" s="2274"/>
      <c r="H38" s="2274"/>
      <c r="I38" s="2274"/>
      <c r="J38" s="2274"/>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6" t="s">
        <v>2039</v>
      </c>
      <c r="B39" s="361">
        <f ca="1">存贷款利率!I1</f>
        <v>1.4999999999999999E-2</v>
      </c>
      <c r="C39" s="1761"/>
      <c r="D39" s="2275"/>
      <c r="E39" s="2274"/>
      <c r="F39" s="2274"/>
      <c r="G39" s="2274"/>
      <c r="H39" s="2274"/>
      <c r="I39" s="2274"/>
      <c r="J39" s="2274"/>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6" t="s">
        <v>2040</v>
      </c>
      <c r="B40" s="1298">
        <f ca="1">存贷款利率!G1</f>
        <v>4.7500000000000001E-2</v>
      </c>
      <c r="C40" s="1761" t="s">
        <v>2041</v>
      </c>
      <c r="D40" s="1579"/>
      <c r="E40" s="2275"/>
      <c r="F40" s="2274"/>
      <c r="G40" s="2274"/>
      <c r="H40" s="2274"/>
      <c r="I40" s="2274"/>
      <c r="J40" s="2274"/>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9" t="s">
        <v>2042</v>
      </c>
      <c r="B41" s="124">
        <f>B42+B43</f>
        <v>5.6000000000000001E-2</v>
      </c>
      <c r="C41" s="1762"/>
      <c r="D41" s="1579"/>
      <c r="E41" s="2275"/>
      <c r="F41" s="2274"/>
      <c r="G41" s="2274"/>
      <c r="H41" s="2274"/>
      <c r="I41" s="2274"/>
      <c r="J41" s="2274"/>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7" t="s">
        <v>2043</v>
      </c>
      <c r="B42" s="125">
        <v>0.05</v>
      </c>
      <c r="C42" s="2328">
        <f>IF(B2&lt;DATE(2016,5,1),0,B42)</f>
        <v>0.05</v>
      </c>
      <c r="D42" s="2275"/>
      <c r="E42" s="2274"/>
      <c r="F42" s="2274"/>
      <c r="G42" s="2274"/>
      <c r="H42" s="2274"/>
      <c r="I42" s="2274"/>
      <c r="J42" s="2274"/>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7" t="s">
        <v>2044</v>
      </c>
      <c r="B43" s="126">
        <f>B42*(B44+B45+B46)+B47</f>
        <v>6.000000000000001E-3</v>
      </c>
      <c r="C43" s="1762"/>
      <c r="D43" s="2275"/>
      <c r="E43" s="2274"/>
      <c r="F43" s="2274"/>
      <c r="G43" s="2274"/>
      <c r="H43" s="2274"/>
      <c r="I43" s="2274"/>
      <c r="J43" s="2274"/>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9" t="s">
        <v>2045</v>
      </c>
      <c r="B44" s="127">
        <v>7.0000000000000007E-2</v>
      </c>
      <c r="C44" s="1761" t="s">
        <v>2046</v>
      </c>
      <c r="D44" s="2275"/>
      <c r="E44" s="2274"/>
      <c r="F44" s="2274"/>
      <c r="G44" s="2274"/>
      <c r="H44" s="2274"/>
      <c r="I44" s="2274"/>
      <c r="J44" s="2274"/>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9" t="s">
        <v>2047</v>
      </c>
      <c r="B45" s="125">
        <v>0.03</v>
      </c>
      <c r="C45" s="1762" t="s">
        <v>2048</v>
      </c>
      <c r="D45" s="2275"/>
      <c r="E45" s="2274"/>
      <c r="F45" s="2274"/>
      <c r="G45" s="2274"/>
      <c r="H45" s="2274"/>
      <c r="I45" s="2274"/>
      <c r="J45" s="2274"/>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9" t="s">
        <v>2049</v>
      </c>
      <c r="B46" s="125">
        <v>0.02</v>
      </c>
      <c r="C46" s="1762" t="s">
        <v>2050</v>
      </c>
      <c r="D46" s="2275"/>
      <c r="E46" s="2274"/>
      <c r="F46" s="2274"/>
      <c r="G46" s="2274"/>
      <c r="H46" s="2274"/>
      <c r="I46" s="2274"/>
      <c r="J46" s="2274"/>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0" t="s">
        <v>2051</v>
      </c>
      <c r="B47" s="128"/>
      <c r="C47" s="1762" t="s">
        <v>2052</v>
      </c>
      <c r="D47" s="2275"/>
      <c r="E47" s="2274"/>
      <c r="F47" s="2274"/>
      <c r="G47" s="2274"/>
      <c r="H47" s="2274"/>
      <c r="I47" s="2274"/>
      <c r="J47" s="2274"/>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1" t="s">
        <v>2053</v>
      </c>
      <c r="B48" s="129">
        <v>0.03</v>
      </c>
      <c r="C48" s="1769" t="s">
        <v>2054</v>
      </c>
      <c r="D48" s="2275"/>
      <c r="E48" s="2274"/>
      <c r="F48" s="2274"/>
      <c r="G48" s="2274"/>
      <c r="H48" s="2274"/>
      <c r="I48" s="2274"/>
      <c r="J48" s="2274"/>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6" t="s">
        <v>2055</v>
      </c>
      <c r="B49" s="125">
        <v>5.0000000000000001E-4</v>
      </c>
      <c r="C49" s="1769" t="s">
        <v>2056</v>
      </c>
      <c r="D49" s="2275"/>
      <c r="E49" s="2274"/>
      <c r="F49" s="2274"/>
      <c r="G49" s="2274"/>
      <c r="H49" s="2274"/>
      <c r="I49" s="2274"/>
      <c r="J49" s="2274"/>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2" t="s">
        <v>2057</v>
      </c>
      <c r="B50" s="130">
        <v>1.2E-2</v>
      </c>
      <c r="C50" s="1425"/>
      <c r="D50" s="2275"/>
      <c r="E50" s="2274"/>
      <c r="F50" s="2274"/>
      <c r="G50" s="2274"/>
      <c r="H50" s="2274"/>
      <c r="I50" s="2274"/>
      <c r="J50" s="2274"/>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4" t="s">
        <v>2058</v>
      </c>
      <c r="B51" s="131">
        <v>0.12</v>
      </c>
      <c r="C51" s="1425"/>
      <c r="D51" s="2275"/>
      <c r="E51" s="2274"/>
      <c r="F51" s="2274"/>
      <c r="G51" s="2274"/>
      <c r="H51" s="2274"/>
      <c r="I51" s="2274"/>
      <c r="J51" s="2274"/>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2" t="s">
        <v>2059</v>
      </c>
      <c r="B52" s="132">
        <f>SUMIF(A54:A63,B53,B54:B63)</f>
        <v>24</v>
      </c>
      <c r="C52" s="1425"/>
      <c r="D52" s="2275"/>
      <c r="E52" s="2274"/>
      <c r="F52" s="2274"/>
      <c r="G52" s="2274"/>
      <c r="H52" s="2274"/>
      <c r="I52" s="2274"/>
      <c r="J52" s="2274"/>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2" t="s">
        <v>2060</v>
      </c>
      <c r="B53" s="2333" t="s">
        <v>269</v>
      </c>
      <c r="C53" s="1425" t="s">
        <v>2061</v>
      </c>
      <c r="D53" s="2334" t="s">
        <v>2062</v>
      </c>
      <c r="E53" s="2274"/>
      <c r="F53" s="2274"/>
      <c r="G53" s="2274"/>
      <c r="H53" s="2274"/>
      <c r="I53" s="2274"/>
      <c r="J53" s="2274"/>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5" t="s">
        <v>2063</v>
      </c>
      <c r="B54" s="83"/>
      <c r="C54" s="1425">
        <v>30</v>
      </c>
      <c r="D54" s="2275"/>
      <c r="E54" s="2274"/>
      <c r="F54" s="2274"/>
      <c r="G54" s="2274"/>
      <c r="H54" s="2274"/>
      <c r="I54" s="2274"/>
      <c r="J54" s="2274"/>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5" t="s">
        <v>2064</v>
      </c>
      <c r="B55" s="83">
        <v>24</v>
      </c>
      <c r="C55" s="1425">
        <v>24</v>
      </c>
      <c r="D55" s="2275"/>
      <c r="E55" s="2274"/>
      <c r="F55" s="2274"/>
      <c r="G55" s="2274"/>
      <c r="H55" s="2274"/>
      <c r="I55" s="2336"/>
      <c r="J55" s="2274"/>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5" t="s">
        <v>2065</v>
      </c>
      <c r="B56" s="83"/>
      <c r="C56" s="1425">
        <v>18</v>
      </c>
      <c r="D56" s="2275"/>
      <c r="E56" s="2274"/>
      <c r="F56" s="2274"/>
      <c r="G56" s="2274"/>
      <c r="H56" s="2274"/>
      <c r="I56" s="2274"/>
      <c r="J56" s="2274"/>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5" t="s">
        <v>2066</v>
      </c>
      <c r="B57" s="83"/>
      <c r="C57" s="1425">
        <v>12</v>
      </c>
      <c r="D57" s="2275"/>
      <c r="E57" s="2274"/>
      <c r="F57" s="2274"/>
      <c r="G57" s="2274"/>
      <c r="H57" s="2274"/>
      <c r="I57" s="2274"/>
      <c r="J57" s="2274"/>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5" t="s">
        <v>2067</v>
      </c>
      <c r="B58" s="83"/>
      <c r="C58" s="1425">
        <v>3</v>
      </c>
      <c r="D58" s="2275"/>
      <c r="E58" s="2274"/>
      <c r="F58" s="2274"/>
      <c r="G58" s="2274"/>
      <c r="H58" s="2274"/>
      <c r="I58" s="2274"/>
      <c r="J58" s="2274"/>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5" t="s">
        <v>2068</v>
      </c>
      <c r="B59" s="83"/>
      <c r="C59" s="1425">
        <v>1.5</v>
      </c>
      <c r="D59" s="2275"/>
      <c r="E59" s="2274"/>
      <c r="F59" s="2274"/>
      <c r="G59" s="2274"/>
      <c r="H59" s="2274"/>
      <c r="I59" s="2274"/>
      <c r="J59" s="2274"/>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5" t="s">
        <v>2069</v>
      </c>
      <c r="B60" s="83"/>
      <c r="C60" s="2274"/>
      <c r="D60" s="2275"/>
      <c r="E60" s="2274"/>
      <c r="F60" s="2274"/>
      <c r="G60" s="2274"/>
      <c r="H60" s="2274"/>
      <c r="I60" s="2274"/>
      <c r="J60" s="2274"/>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5" t="s">
        <v>2070</v>
      </c>
      <c r="B61" s="83"/>
      <c r="C61" s="2274"/>
      <c r="D61" s="2275"/>
      <c r="E61" s="2274"/>
      <c r="F61" s="2274"/>
      <c r="G61" s="2274"/>
      <c r="H61" s="2274"/>
      <c r="I61" s="2274"/>
      <c r="J61" s="2274"/>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5" t="s">
        <v>2071</v>
      </c>
      <c r="B62" s="83"/>
      <c r="C62" s="2274"/>
      <c r="D62" s="2275"/>
      <c r="E62" s="2274"/>
      <c r="F62" s="2274"/>
      <c r="G62" s="2274"/>
      <c r="H62" s="2274"/>
      <c r="I62" s="2274"/>
      <c r="J62" s="2274"/>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7" t="s">
        <v>2072</v>
      </c>
      <c r="B63" s="133"/>
      <c r="C63" s="2274"/>
      <c r="D63" s="2275"/>
      <c r="E63" s="2274"/>
      <c r="F63" s="2274"/>
      <c r="G63" s="2274"/>
      <c r="H63" s="2274"/>
      <c r="I63" s="2274"/>
      <c r="J63" s="2274"/>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8"/>
      <c r="D64" s="2339"/>
      <c r="K64" s="796"/>
      <c r="L64" s="796"/>
    </row>
    <row r="65" spans="1:12" s="962" customFormat="1">
      <c r="A65" s="2338"/>
      <c r="D65" s="2339"/>
      <c r="K65" s="796"/>
      <c r="L65" s="796"/>
    </row>
    <row r="66" spans="1:12" s="962" customFormat="1">
      <c r="A66" s="2338"/>
      <c r="D66" s="2339"/>
      <c r="K66" s="796"/>
      <c r="L66" s="796"/>
    </row>
    <row r="67" spans="1:12" s="962" customFormat="1">
      <c r="A67" s="2338"/>
      <c r="D67" s="2339"/>
      <c r="K67" s="796"/>
      <c r="L67" s="796"/>
    </row>
    <row r="68" spans="1:12" s="962" customFormat="1">
      <c r="A68" s="2338"/>
      <c r="D68" s="2339"/>
      <c r="K68" s="796"/>
      <c r="L68" s="796"/>
    </row>
    <row r="69" spans="1:12" s="962" customFormat="1">
      <c r="A69" s="2338"/>
      <c r="D69" s="2339"/>
      <c r="K69" s="796"/>
      <c r="L69" s="796"/>
    </row>
    <row r="70" spans="1:12" s="962" customFormat="1">
      <c r="A70" s="2338"/>
      <c r="D70" s="2339"/>
      <c r="K70" s="796"/>
      <c r="L70" s="796"/>
    </row>
    <row r="71" spans="1:12" s="962" customFormat="1">
      <c r="A71" s="2338"/>
      <c r="D71" s="2339"/>
      <c r="K71" s="796"/>
      <c r="L71" s="796"/>
    </row>
    <row r="72" spans="1:12" s="962" customFormat="1">
      <c r="A72" s="2338"/>
      <c r="D72" s="2339"/>
      <c r="K72" s="796"/>
      <c r="L72" s="796"/>
    </row>
    <row r="73" spans="1:12" s="962" customFormat="1">
      <c r="A73" s="2338"/>
      <c r="D73" s="2339"/>
      <c r="K73" s="796"/>
      <c r="L73" s="796"/>
    </row>
    <row r="74" spans="1:12" s="962" customFormat="1">
      <c r="A74" s="2338"/>
      <c r="D74" s="2339"/>
      <c r="K74" s="796"/>
      <c r="L74" s="796"/>
    </row>
    <row r="75" spans="1:12" s="962" customFormat="1">
      <c r="A75" s="2338"/>
      <c r="D75" s="2339"/>
      <c r="K75" s="796"/>
      <c r="L75" s="796"/>
    </row>
    <row r="76" spans="1:12" s="962" customFormat="1">
      <c r="A76" s="2338"/>
      <c r="D76" s="2339"/>
      <c r="K76" s="796"/>
      <c r="L76" s="796"/>
    </row>
    <row r="77" spans="1:12" s="962" customFormat="1">
      <c r="A77" s="2338"/>
      <c r="D77" s="2339"/>
      <c r="K77" s="796"/>
      <c r="L77" s="796"/>
    </row>
    <row r="78" spans="1:12" s="962" customFormat="1">
      <c r="A78" s="2338"/>
      <c r="D78" s="2339"/>
      <c r="K78" s="796"/>
      <c r="L78" s="796"/>
    </row>
    <row r="79" spans="1:12" s="962" customFormat="1">
      <c r="A79" s="2338"/>
      <c r="D79" s="2339"/>
      <c r="K79" s="796"/>
      <c r="L79" s="796"/>
    </row>
    <row r="80" spans="1:12" s="962" customFormat="1">
      <c r="A80" s="2338"/>
      <c r="D80" s="2339"/>
      <c r="K80" s="796"/>
      <c r="L80" s="796"/>
    </row>
    <row r="81" spans="1:12" s="962" customFormat="1">
      <c r="A81" s="2338"/>
      <c r="D81" s="2339"/>
      <c r="K81" s="796"/>
      <c r="L81" s="796"/>
    </row>
    <row r="82" spans="1:12" s="962" customFormat="1">
      <c r="A82" s="2338"/>
      <c r="D82" s="2339"/>
      <c r="K82" s="796"/>
      <c r="L82" s="796"/>
    </row>
    <row r="83" spans="1:12" s="962" customFormat="1">
      <c r="A83" s="2338"/>
      <c r="D83" s="2339"/>
      <c r="K83" s="796"/>
      <c r="L83" s="796"/>
    </row>
    <row r="84" spans="1:12" s="962" customFormat="1">
      <c r="A84" s="2338"/>
      <c r="D84" s="2339"/>
      <c r="K84" s="796"/>
      <c r="L84" s="796"/>
    </row>
    <row r="85" spans="1:12" s="962" customFormat="1">
      <c r="A85" s="2338"/>
      <c r="D85" s="2339"/>
      <c r="K85" s="796"/>
      <c r="L85" s="796"/>
    </row>
    <row r="86" spans="1:12" s="962" customFormat="1">
      <c r="A86" s="2338"/>
      <c r="D86" s="2339"/>
      <c r="K86" s="796"/>
      <c r="L86" s="796"/>
    </row>
    <row r="87" spans="1:12" s="962" customFormat="1">
      <c r="A87" s="2338"/>
      <c r="D87" s="2339"/>
      <c r="K87" s="796"/>
      <c r="L87" s="796"/>
    </row>
    <row r="88" spans="1:12" s="962" customFormat="1">
      <c r="A88" s="2338"/>
      <c r="D88" s="2339"/>
      <c r="K88" s="796"/>
      <c r="L88" s="796"/>
    </row>
    <row r="89" spans="1:12" s="962" customFormat="1">
      <c r="A89" s="2338"/>
      <c r="D89" s="2339"/>
      <c r="K89" s="796"/>
      <c r="L89" s="796"/>
    </row>
    <row r="90" spans="1:12" s="962" customFormat="1">
      <c r="A90" s="2338"/>
      <c r="D90" s="2339"/>
      <c r="K90" s="796"/>
      <c r="L90" s="796"/>
    </row>
    <row r="91" spans="1:12" s="962" customFormat="1">
      <c r="A91" s="2338"/>
      <c r="D91" s="2339"/>
      <c r="K91" s="796"/>
      <c r="L91" s="796"/>
    </row>
    <row r="92" spans="1:12" s="962" customFormat="1">
      <c r="A92" s="2338"/>
      <c r="D92" s="2339"/>
      <c r="K92" s="796"/>
      <c r="L92" s="796"/>
    </row>
    <row r="93" spans="1:12" s="962" customFormat="1">
      <c r="A93" s="2338"/>
      <c r="D93" s="2339"/>
      <c r="K93" s="796"/>
      <c r="L93" s="796"/>
    </row>
    <row r="94" spans="1:12" s="962" customFormat="1">
      <c r="A94" s="2338"/>
      <c r="D94" s="2339"/>
      <c r="K94" s="796"/>
      <c r="L94" s="796"/>
    </row>
    <row r="95" spans="1:12" s="962" customFormat="1">
      <c r="A95" s="2338"/>
      <c r="D95" s="2339"/>
      <c r="K95" s="796"/>
      <c r="L95" s="796"/>
    </row>
    <row r="96" spans="1:12" s="962" customFormat="1">
      <c r="A96" s="2338"/>
      <c r="D96" s="2339"/>
      <c r="K96" s="796"/>
      <c r="L96" s="796"/>
    </row>
    <row r="97" spans="1:12" s="962" customFormat="1">
      <c r="A97" s="2338"/>
      <c r="D97" s="2339"/>
      <c r="K97" s="796"/>
      <c r="L97" s="796"/>
    </row>
    <row r="98" spans="1:12" s="962" customFormat="1">
      <c r="A98" s="2338"/>
      <c r="D98" s="2339"/>
      <c r="K98" s="796"/>
      <c r="L98" s="796"/>
    </row>
    <row r="99" spans="1:12" s="962" customFormat="1">
      <c r="A99" s="2338"/>
      <c r="D99" s="2339"/>
      <c r="K99" s="796"/>
      <c r="L99" s="796"/>
    </row>
    <row r="100" spans="1:12" s="962" customFormat="1">
      <c r="A100" s="2338"/>
      <c r="D100" s="2339"/>
      <c r="K100" s="796"/>
      <c r="L100" s="796"/>
    </row>
    <row r="101" spans="1:12" s="962" customFormat="1">
      <c r="A101" s="2338"/>
      <c r="D101" s="2339"/>
      <c r="K101" s="796"/>
      <c r="L101" s="796"/>
    </row>
    <row r="102" spans="1:12" s="962" customFormat="1">
      <c r="A102" s="2338"/>
      <c r="D102" s="2339"/>
      <c r="K102" s="796"/>
      <c r="L102" s="796"/>
    </row>
    <row r="103" spans="1:12" s="962" customFormat="1">
      <c r="A103" s="2338"/>
      <c r="D103" s="2339"/>
      <c r="K103" s="796"/>
      <c r="L103" s="796"/>
    </row>
    <row r="104" spans="1:12" s="962" customFormat="1">
      <c r="A104" s="2338"/>
      <c r="D104" s="2339"/>
      <c r="K104" s="796"/>
      <c r="L104" s="796"/>
    </row>
    <row r="105" spans="1:12" s="962" customFormat="1">
      <c r="A105" s="2338"/>
      <c r="D105" s="2339"/>
      <c r="K105" s="796"/>
      <c r="L105" s="796"/>
    </row>
    <row r="106" spans="1:12" s="962" customFormat="1">
      <c r="A106" s="2338"/>
      <c r="D106" s="2339"/>
      <c r="K106" s="796"/>
      <c r="L106" s="796"/>
    </row>
    <row r="107" spans="1:12" s="962" customFormat="1">
      <c r="A107" s="2338"/>
      <c r="D107" s="2339"/>
      <c r="K107" s="796"/>
      <c r="L107" s="796"/>
    </row>
    <row r="108" spans="1:12" s="962" customFormat="1">
      <c r="A108" s="2338"/>
      <c r="D108" s="2339"/>
      <c r="K108" s="796"/>
      <c r="L108" s="796"/>
    </row>
    <row r="109" spans="1:12" s="962" customFormat="1">
      <c r="A109" s="2338"/>
      <c r="D109" s="2339"/>
      <c r="K109" s="796"/>
      <c r="L109" s="796"/>
    </row>
    <row r="110" spans="1:12" s="962" customFormat="1">
      <c r="A110" s="2338"/>
      <c r="D110" s="2339"/>
      <c r="K110" s="796"/>
      <c r="L110" s="796"/>
    </row>
    <row r="111" spans="1:12" s="962" customFormat="1">
      <c r="A111" s="2338"/>
      <c r="D111" s="2339"/>
      <c r="K111" s="796"/>
      <c r="L111" s="796"/>
    </row>
    <row r="112" spans="1:12" s="962" customFormat="1">
      <c r="A112" s="2338"/>
      <c r="D112" s="2339"/>
      <c r="K112" s="796"/>
      <c r="L112" s="796"/>
    </row>
    <row r="113" spans="1:12" s="962" customFormat="1">
      <c r="A113" s="2338"/>
      <c r="D113" s="2339"/>
      <c r="K113" s="796"/>
      <c r="L113" s="796"/>
    </row>
    <row r="114" spans="1:12" s="962" customFormat="1">
      <c r="A114" s="2338"/>
      <c r="D114" s="2339"/>
      <c r="K114" s="796"/>
      <c r="L114" s="796"/>
    </row>
    <row r="115" spans="1:12" s="962" customFormat="1">
      <c r="A115" s="2338"/>
      <c r="D115" s="2339"/>
      <c r="K115" s="796"/>
      <c r="L115" s="796"/>
    </row>
    <row r="116" spans="1:12" s="962" customFormat="1">
      <c r="A116" s="2338"/>
      <c r="D116" s="2339"/>
      <c r="K116" s="796"/>
      <c r="L116" s="796"/>
    </row>
    <row r="117" spans="1:12" s="962" customFormat="1">
      <c r="A117" s="2338"/>
      <c r="D117" s="2339"/>
      <c r="K117" s="796"/>
      <c r="L117" s="796"/>
    </row>
    <row r="118" spans="1:12" s="962" customFormat="1">
      <c r="A118" s="2338"/>
      <c r="D118" s="2339"/>
      <c r="K118" s="796"/>
      <c r="L118" s="796"/>
    </row>
    <row r="119" spans="1:12" s="962" customFormat="1">
      <c r="A119" s="2338"/>
      <c r="D119" s="2339"/>
      <c r="K119" s="796"/>
      <c r="L119" s="796"/>
    </row>
    <row r="120" spans="1:12" s="962" customFormat="1">
      <c r="A120" s="2338"/>
      <c r="D120" s="2339"/>
      <c r="K120" s="796"/>
      <c r="L120" s="796"/>
    </row>
    <row r="121" spans="1:12" s="962" customFormat="1">
      <c r="A121" s="2338"/>
      <c r="D121" s="2339"/>
      <c r="K121" s="796"/>
      <c r="L121" s="796"/>
    </row>
    <row r="122" spans="1:12" s="962" customFormat="1">
      <c r="A122" s="2338"/>
      <c r="D122" s="2339"/>
      <c r="K122" s="796"/>
      <c r="L122" s="796"/>
    </row>
    <row r="123" spans="1:12" s="962" customFormat="1">
      <c r="A123" s="2338"/>
      <c r="D123" s="2339"/>
      <c r="K123" s="796"/>
      <c r="L123" s="796"/>
    </row>
    <row r="124" spans="1:12" s="962" customFormat="1">
      <c r="A124" s="2338"/>
      <c r="D124" s="2339"/>
      <c r="K124" s="796"/>
      <c r="L124" s="796"/>
    </row>
    <row r="125" spans="1:12" s="962" customFormat="1">
      <c r="A125" s="2338"/>
      <c r="D125" s="2339"/>
      <c r="K125" s="796"/>
      <c r="L125" s="796"/>
    </row>
    <row r="126" spans="1:12" s="962" customFormat="1">
      <c r="A126" s="2338"/>
      <c r="D126" s="2339"/>
      <c r="K126" s="796"/>
      <c r="L126" s="796"/>
    </row>
    <row r="127" spans="1:12" s="962" customFormat="1">
      <c r="A127" s="2338"/>
      <c r="D127" s="2339"/>
      <c r="K127" s="796"/>
      <c r="L127" s="796"/>
    </row>
    <row r="128" spans="1:12" s="962" customFormat="1">
      <c r="A128" s="2338"/>
      <c r="D128" s="2339"/>
      <c r="K128" s="796"/>
      <c r="L128" s="796"/>
    </row>
    <row r="129" spans="1:12" s="962" customFormat="1">
      <c r="A129" s="2338"/>
      <c r="D129" s="2339"/>
      <c r="K129" s="796"/>
      <c r="L129" s="796"/>
    </row>
    <row r="130" spans="1:12" s="962" customFormat="1">
      <c r="A130" s="2338"/>
      <c r="D130" s="2339"/>
      <c r="K130" s="796"/>
      <c r="L130" s="796"/>
    </row>
    <row r="131" spans="1:12" s="962" customFormat="1">
      <c r="A131" s="2338"/>
      <c r="D131" s="2339"/>
      <c r="K131" s="796"/>
      <c r="L131" s="796"/>
    </row>
    <row r="132" spans="1:12" s="962" customFormat="1">
      <c r="A132" s="2338"/>
      <c r="D132" s="2339"/>
      <c r="K132" s="796"/>
      <c r="L132" s="796"/>
    </row>
    <row r="133" spans="1:12" s="962" customFormat="1">
      <c r="A133" s="2338"/>
      <c r="D133" s="2339"/>
      <c r="K133" s="796"/>
      <c r="L133" s="796"/>
    </row>
    <row r="134" spans="1:12" s="2271" customFormat="1">
      <c r="A134" s="2340"/>
      <c r="D134" s="2341"/>
      <c r="K134" s="26"/>
      <c r="L134" s="26"/>
    </row>
    <row r="135" spans="1:12" s="2271" customFormat="1">
      <c r="A135" s="2340"/>
      <c r="D135" s="2341"/>
      <c r="K135" s="26"/>
      <c r="L135" s="26"/>
    </row>
    <row r="136" spans="1:12" s="2271" customFormat="1">
      <c r="A136" s="2340"/>
      <c r="D136" s="2341"/>
      <c r="K136" s="26"/>
      <c r="L136" s="26"/>
    </row>
    <row r="137" spans="1:12" s="2271" customFormat="1">
      <c r="A137" s="2340"/>
      <c r="D137" s="2341"/>
      <c r="K137" s="26"/>
      <c r="L137" s="26"/>
    </row>
    <row r="138" spans="1:12" s="2271" customFormat="1">
      <c r="A138" s="2340"/>
      <c r="D138" s="2341"/>
      <c r="K138" s="26"/>
      <c r="L138" s="26"/>
    </row>
    <row r="139" spans="1:12" s="2271" customFormat="1">
      <c r="A139" s="2340"/>
      <c r="D139" s="2341"/>
      <c r="K139" s="26"/>
      <c r="L139" s="26"/>
    </row>
    <row r="140" spans="1:12" s="2271" customFormat="1">
      <c r="A140" s="2340"/>
      <c r="D140" s="2341"/>
      <c r="K140" s="26"/>
      <c r="L140" s="26"/>
    </row>
    <row r="141" spans="1:12" s="2271" customFormat="1">
      <c r="A141" s="2340"/>
      <c r="D141" s="2341"/>
      <c r="K141" s="26"/>
      <c r="L141" s="26"/>
    </row>
    <row r="142" spans="1:12" s="2271" customFormat="1">
      <c r="A142" s="2340"/>
      <c r="D142" s="2341"/>
      <c r="K142" s="26"/>
      <c r="L142" s="26"/>
    </row>
    <row r="143" spans="1:12" s="2271" customFormat="1">
      <c r="A143" s="2340"/>
      <c r="D143" s="2341"/>
      <c r="K143" s="26"/>
      <c r="L143" s="26"/>
    </row>
    <row r="144" spans="1:12" s="2271" customFormat="1">
      <c r="A144" s="2340"/>
      <c r="D144" s="2341"/>
      <c r="K144" s="26"/>
      <c r="L144" s="26"/>
    </row>
    <row r="145" spans="1:12" s="2271" customFormat="1">
      <c r="A145" s="2340"/>
      <c r="D145" s="2341"/>
      <c r="K145" s="26"/>
      <c r="L145" s="26"/>
    </row>
    <row r="146" spans="1:12" s="2271" customFormat="1">
      <c r="A146" s="2340"/>
      <c r="D146" s="2341"/>
      <c r="K146" s="26"/>
      <c r="L146" s="26"/>
    </row>
    <row r="147" spans="1:12" s="2271" customFormat="1">
      <c r="A147" s="2340"/>
      <c r="D147" s="2341"/>
      <c r="K147" s="26"/>
      <c r="L147" s="26"/>
    </row>
    <row r="148" spans="1:12" s="2271" customFormat="1">
      <c r="A148" s="2340"/>
      <c r="D148" s="2341"/>
      <c r="K148" s="26"/>
      <c r="L148" s="26"/>
    </row>
    <row r="149" spans="1:12" s="2271" customFormat="1">
      <c r="A149" s="2340"/>
      <c r="D149" s="2341"/>
      <c r="K149" s="26"/>
      <c r="L149" s="26"/>
    </row>
    <row r="150" spans="1:12" s="2271" customFormat="1">
      <c r="A150" s="2340"/>
      <c r="D150" s="2341"/>
      <c r="K150" s="26"/>
      <c r="L150" s="26"/>
    </row>
    <row r="151" spans="1:12" s="2271" customFormat="1">
      <c r="A151" s="2340"/>
      <c r="D151" s="2341"/>
      <c r="K151" s="26"/>
      <c r="L151" s="26"/>
    </row>
    <row r="152" spans="1:12" s="2271" customFormat="1">
      <c r="A152" s="2340"/>
      <c r="D152" s="2341"/>
      <c r="K152" s="26"/>
      <c r="L152" s="26"/>
    </row>
    <row r="153" spans="1:12" s="2271" customFormat="1">
      <c r="A153" s="2340"/>
      <c r="D153" s="2341"/>
      <c r="K153" s="26"/>
      <c r="L153" s="26"/>
    </row>
    <row r="154" spans="1:12" s="2271" customFormat="1">
      <c r="A154" s="2340"/>
      <c r="D154" s="2341"/>
      <c r="K154" s="26"/>
      <c r="L154" s="26"/>
    </row>
    <row r="155" spans="1:12" s="2271" customFormat="1">
      <c r="A155" s="2340"/>
      <c r="D155" s="2341"/>
      <c r="K155" s="26"/>
      <c r="L155" s="26"/>
    </row>
    <row r="156" spans="1:12" s="2271" customFormat="1">
      <c r="A156" s="2340"/>
      <c r="D156" s="2341"/>
      <c r="K156" s="26"/>
      <c r="L156" s="26"/>
    </row>
    <row r="157" spans="1:12" s="2271" customFormat="1">
      <c r="A157" s="2340"/>
      <c r="D157" s="2341"/>
      <c r="K157" s="26"/>
      <c r="L157" s="26"/>
    </row>
    <row r="158" spans="1:12" s="2271" customFormat="1">
      <c r="A158" s="2340"/>
      <c r="D158" s="2341"/>
      <c r="K158" s="26"/>
      <c r="L158" s="26"/>
    </row>
    <row r="159" spans="1:12" s="2271" customFormat="1">
      <c r="A159" s="2340"/>
      <c r="D159" s="2341"/>
      <c r="K159" s="26"/>
      <c r="L159" s="26"/>
    </row>
    <row r="160" spans="1:12" s="2271" customFormat="1">
      <c r="A160" s="2340"/>
      <c r="D160" s="2341"/>
      <c r="K160" s="26"/>
      <c r="L160" s="26"/>
    </row>
    <row r="161" spans="1:12" s="2271" customFormat="1">
      <c r="A161" s="2340"/>
      <c r="D161" s="2341"/>
      <c r="K161" s="26"/>
      <c r="L161" s="26"/>
    </row>
    <row r="162" spans="1:12" s="2271" customFormat="1">
      <c r="A162" s="2340"/>
      <c r="D162" s="2341"/>
      <c r="K162" s="26"/>
      <c r="L162" s="26"/>
    </row>
    <row r="163" spans="1:12" s="2271" customFormat="1">
      <c r="A163" s="2340"/>
      <c r="D163" s="2341"/>
      <c r="K163" s="26"/>
      <c r="L163" s="26"/>
    </row>
    <row r="164" spans="1:12" s="2271" customFormat="1">
      <c r="A164" s="2340"/>
      <c r="D164" s="2341"/>
      <c r="K164" s="26"/>
      <c r="L164" s="26"/>
    </row>
    <row r="165" spans="1:12" s="2271" customFormat="1">
      <c r="A165" s="2340"/>
      <c r="D165" s="2341"/>
      <c r="K165" s="26"/>
      <c r="L165" s="26"/>
    </row>
    <row r="166" spans="1:12" s="2271" customFormat="1">
      <c r="A166" s="2340"/>
      <c r="D166" s="2341"/>
      <c r="K166" s="26"/>
      <c r="L166" s="26"/>
    </row>
    <row r="167" spans="1:12" s="2271" customFormat="1">
      <c r="A167" s="2340"/>
      <c r="D167" s="2341"/>
      <c r="K167" s="26"/>
      <c r="L167" s="26"/>
    </row>
    <row r="168" spans="1:12" s="2271" customFormat="1">
      <c r="A168" s="2340"/>
      <c r="D168" s="2341"/>
      <c r="K168" s="26"/>
      <c r="L168" s="26"/>
    </row>
    <row r="169" spans="1:12" s="2271" customFormat="1">
      <c r="A169" s="2340"/>
      <c r="D169" s="2341"/>
      <c r="K169" s="26"/>
      <c r="L169" s="26"/>
    </row>
    <row r="170" spans="1:12" s="2271" customFormat="1">
      <c r="A170" s="2340"/>
      <c r="D170" s="2341"/>
      <c r="K170" s="26"/>
      <c r="L170" s="26"/>
    </row>
    <row r="171" spans="1:12" s="2271" customFormat="1">
      <c r="A171" s="2340"/>
      <c r="D171" s="2341"/>
      <c r="K171" s="26"/>
      <c r="L171" s="26"/>
    </row>
    <row r="172" spans="1:12" s="2271" customFormat="1">
      <c r="A172" s="2340"/>
      <c r="D172" s="2341"/>
      <c r="K172" s="26"/>
      <c r="L172" s="26"/>
    </row>
    <row r="173" spans="1:12" s="2271" customFormat="1">
      <c r="A173" s="2340"/>
      <c r="D173" s="2341"/>
      <c r="K173" s="26"/>
      <c r="L173" s="26"/>
    </row>
    <row r="174" spans="1:12" s="2271" customFormat="1">
      <c r="A174" s="2340"/>
      <c r="D174" s="2341"/>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114" t="s">
        <v>2073</v>
      </c>
      <c r="B1" s="3115"/>
      <c r="C1" s="3115"/>
      <c r="D1" s="3115"/>
      <c r="E1" s="3115"/>
      <c r="F1" s="3115"/>
      <c r="G1" s="311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2074</v>
      </c>
      <c r="D2" s="2363"/>
      <c r="E2" s="2364"/>
      <c r="F2" s="2283"/>
      <c r="G2" s="2362" t="s">
        <v>2075</v>
      </c>
      <c r="H2" s="2365"/>
      <c r="I2" s="2365"/>
      <c r="J2" s="2365"/>
      <c r="K2" s="2365"/>
      <c r="L2" s="2365"/>
      <c r="M2" s="2365"/>
      <c r="N2" s="2365"/>
      <c r="O2" s="2365"/>
      <c r="P2" s="2365"/>
      <c r="Q2" s="2365"/>
      <c r="R2" s="2365"/>
    </row>
    <row r="3" spans="1:29" ht="81">
      <c r="A3" s="414" t="s">
        <v>2076</v>
      </c>
      <c r="B3" s="1266" t="s">
        <v>2077</v>
      </c>
      <c r="C3" s="2995" t="s">
        <v>3259</v>
      </c>
      <c r="D3" s="2367"/>
      <c r="E3" s="430" t="s">
        <v>2076</v>
      </c>
      <c r="F3" s="2368" t="s">
        <v>2078</v>
      </c>
      <c r="G3" s="2369" t="s">
        <v>2079</v>
      </c>
      <c r="H3" s="2365"/>
      <c r="I3" s="2365"/>
      <c r="J3" s="2365"/>
      <c r="K3" s="2365"/>
      <c r="L3" s="2365"/>
      <c r="M3" s="2365"/>
      <c r="N3" s="2365"/>
      <c r="O3" s="2365"/>
      <c r="P3" s="2365"/>
      <c r="Q3" s="2365"/>
      <c r="R3" s="2365"/>
    </row>
    <row r="4" spans="1:29" ht="41.25">
      <c r="A4" s="430"/>
      <c r="B4" s="1793" t="s">
        <v>2080</v>
      </c>
      <c r="C4" s="2370" t="s">
        <v>3215</v>
      </c>
      <c r="D4" s="2367"/>
      <c r="E4" s="2371"/>
      <c r="F4" s="41" t="s">
        <v>2081</v>
      </c>
      <c r="G4" s="2372" t="s">
        <v>2082</v>
      </c>
      <c r="H4" s="2365"/>
      <c r="I4" s="2365"/>
      <c r="J4" s="2365"/>
      <c r="K4" s="2365"/>
      <c r="L4" s="2365"/>
      <c r="M4" s="2365"/>
      <c r="N4" s="2365"/>
      <c r="O4" s="2365"/>
      <c r="P4" s="2365"/>
      <c r="Q4" s="2365"/>
      <c r="R4" s="2365"/>
    </row>
    <row r="5" spans="1:29" ht="40.5">
      <c r="A5" s="430"/>
      <c r="B5" s="1793" t="s">
        <v>2083</v>
      </c>
      <c r="C5" s="2997" t="s">
        <v>3216</v>
      </c>
      <c r="D5" s="2367"/>
      <c r="E5" s="2371"/>
      <c r="F5" s="1793" t="s">
        <v>2084</v>
      </c>
      <c r="G5" s="2372" t="s">
        <v>2085</v>
      </c>
      <c r="H5" s="2365"/>
      <c r="I5" s="2365"/>
      <c r="J5" s="2365"/>
      <c r="K5" s="2365"/>
      <c r="L5" s="2365"/>
      <c r="M5" s="2365"/>
      <c r="N5" s="2365"/>
      <c r="O5" s="2365"/>
      <c r="P5" s="2365"/>
      <c r="Q5" s="2365"/>
      <c r="R5" s="2365"/>
    </row>
    <row r="6" spans="1:29" ht="121.5">
      <c r="A6" s="430"/>
      <c r="B6" s="1793" t="s">
        <v>2086</v>
      </c>
      <c r="C6" s="2996" t="s">
        <v>3260</v>
      </c>
      <c r="D6" s="2367"/>
      <c r="E6" s="2371"/>
      <c r="F6" s="1793" t="s">
        <v>2087</v>
      </c>
      <c r="G6" s="2372" t="s">
        <v>2088</v>
      </c>
      <c r="H6" s="2365"/>
      <c r="I6" s="2365"/>
      <c r="J6" s="2365"/>
      <c r="K6" s="2365"/>
      <c r="L6" s="2365"/>
      <c r="M6" s="2365"/>
      <c r="N6" s="2365"/>
      <c r="O6" s="2365"/>
      <c r="P6" s="2365"/>
      <c r="Q6" s="2365"/>
      <c r="R6" s="2365"/>
    </row>
    <row r="7" spans="1:29" ht="68.25" thickBot="1">
      <c r="A7" s="430"/>
      <c r="B7" s="1793" t="s">
        <v>2084</v>
      </c>
      <c r="C7" s="2996" t="s">
        <v>3261</v>
      </c>
      <c r="D7" s="2373"/>
      <c r="E7" s="2374"/>
      <c r="F7" s="2375" t="s">
        <v>2089</v>
      </c>
      <c r="G7" s="2376" t="s">
        <v>2090</v>
      </c>
      <c r="H7" s="2365"/>
      <c r="I7" s="2365"/>
      <c r="J7" s="2365"/>
      <c r="K7" s="2365"/>
      <c r="L7" s="2365"/>
      <c r="M7" s="2365"/>
      <c r="N7" s="2365"/>
      <c r="O7" s="2365"/>
      <c r="P7" s="2365"/>
      <c r="Q7" s="2365"/>
      <c r="R7" s="2365"/>
    </row>
    <row r="8" spans="1:29" ht="40.5">
      <c r="A8" s="430"/>
      <c r="B8" s="1793" t="s">
        <v>2087</v>
      </c>
      <c r="C8" s="2996" t="s">
        <v>3280</v>
      </c>
      <c r="D8" s="2373"/>
      <c r="E8" s="2373"/>
      <c r="F8" s="1131"/>
      <c r="G8" s="1131"/>
      <c r="H8" s="2365"/>
      <c r="I8" s="2365"/>
      <c r="J8" s="2365"/>
      <c r="K8" s="2365"/>
      <c r="L8" s="2365"/>
      <c r="M8" s="2365"/>
      <c r="N8" s="2365"/>
      <c r="O8" s="2365"/>
      <c r="P8" s="2365"/>
      <c r="Q8" s="2365"/>
      <c r="R8" s="2365"/>
    </row>
    <row r="9" spans="1:29" ht="94.5">
      <c r="A9" s="430"/>
      <c r="B9" s="1793" t="s">
        <v>2091</v>
      </c>
      <c r="C9" s="2997" t="s">
        <v>3265</v>
      </c>
      <c r="D9" s="2367"/>
      <c r="E9" s="2373"/>
      <c r="F9" s="1131"/>
      <c r="G9" s="1131"/>
      <c r="H9" s="2365"/>
      <c r="I9" s="2365"/>
      <c r="J9" s="2365"/>
      <c r="K9" s="2365"/>
      <c r="L9" s="2365"/>
      <c r="M9" s="2365"/>
      <c r="N9" s="2365"/>
      <c r="O9" s="2365"/>
      <c r="P9" s="2365"/>
      <c r="Q9" s="2365"/>
      <c r="R9" s="2365"/>
    </row>
    <row r="10" spans="1:29" s="116" customFormat="1" ht="15.75" thickBot="1">
      <c r="A10" s="2377"/>
      <c r="B10" s="2378" t="s">
        <v>2092</v>
      </c>
      <c r="C10" s="2998" t="s">
        <v>3170</v>
      </c>
      <c r="D10" s="2367"/>
      <c r="E10" s="2367"/>
      <c r="F10" s="1131"/>
      <c r="G10" s="1131"/>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6" customFormat="1" ht="15">
      <c r="A11" s="2382"/>
      <c r="B11" s="2373"/>
      <c r="C11" s="2367"/>
      <c r="D11" s="2367"/>
      <c r="E11" s="2367"/>
      <c r="F11" s="2373"/>
      <c r="G11" s="1149"/>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7"/>
      <c r="D12" s="2383"/>
      <c r="E12" s="2367"/>
      <c r="F12" s="2373"/>
      <c r="G12" s="1149"/>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2093</v>
      </c>
      <c r="B13" s="2383"/>
      <c r="C13" s="2383"/>
      <c r="D13" s="2390"/>
      <c r="E13" s="2383"/>
      <c r="F13" s="2383"/>
      <c r="G13" s="2383"/>
    </row>
    <row r="14" spans="1:29" ht="15.75" thickBot="1">
      <c r="A14" s="2394"/>
      <c r="B14" s="2395"/>
      <c r="C14" s="2396" t="s">
        <v>2094</v>
      </c>
      <c r="D14" s="2367"/>
      <c r="E14" s="2397"/>
      <c r="F14" s="2397"/>
      <c r="G14" s="2362" t="s">
        <v>2095</v>
      </c>
    </row>
    <row r="15" spans="1:29" ht="85.5">
      <c r="A15" s="67" t="s">
        <v>2096</v>
      </c>
      <c r="B15" s="1265" t="s">
        <v>2077</v>
      </c>
      <c r="C15" s="2398" t="str">
        <f>C3</f>
        <v>价对象周边有十字坡西里、民安小区、万国城MOMA等住宅成熟小区，居住用地比例较好，居住小区规模和社区发展完善程度较高，综合评价居住社区成熟度较好。</v>
      </c>
      <c r="D15" s="2367"/>
      <c r="E15" s="2399" t="s">
        <v>2097</v>
      </c>
      <c r="F15" s="1265" t="s">
        <v>2098</v>
      </c>
      <c r="G15" s="134" t="str">
        <f>G3</f>
        <v>估价对象位于XX开发区，园区建设成熟度XX，产业集聚程度XX</v>
      </c>
    </row>
    <row r="16" spans="1:29" ht="42.75">
      <c r="A16" s="644"/>
      <c r="B16" s="2400" t="s">
        <v>2080</v>
      </c>
      <c r="C16" s="2401" t="str">
        <f>C4</f>
        <v>估价对象位于XX商圈，周边商业氛围成熟，人流量大，商业繁华度好</v>
      </c>
      <c r="D16" s="2367"/>
      <c r="E16" s="2402"/>
      <c r="F16" s="2403" t="s">
        <v>2081</v>
      </c>
      <c r="G16" s="135" t="str">
        <f>G4</f>
        <v>估价对象周边道路状况、公共交通通达情况、停车便捷程度，综合评价交通便捷度较好</v>
      </c>
    </row>
    <row r="17" spans="1:18" ht="42.75">
      <c r="A17" s="644"/>
      <c r="B17" s="2400" t="s">
        <v>2083</v>
      </c>
      <c r="C17" s="2401" t="str">
        <f>C5</f>
        <v>估价对象位于东直门商圈，周边办公楼项目较多，入驻率高，办公集聚程度较好</v>
      </c>
      <c r="D17" s="2373"/>
      <c r="E17" s="2402"/>
      <c r="F17" s="2403" t="s">
        <v>2099</v>
      </c>
      <c r="G17" s="1567"/>
    </row>
    <row r="18" spans="1:18" ht="128.25">
      <c r="A18" s="644"/>
      <c r="B18" s="2403" t="s">
        <v>2086</v>
      </c>
      <c r="C18" s="135" t="str">
        <f>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8" s="2373"/>
      <c r="E18" s="2402"/>
      <c r="F18" s="2403" t="s">
        <v>2089</v>
      </c>
      <c r="G18" s="135" t="str">
        <f>G7</f>
        <v>该园区内是否有污染型企业，绿化情况，卫生条件，整体环境状况判断</v>
      </c>
    </row>
    <row r="19" spans="1:18" ht="28.5">
      <c r="A19" s="644"/>
      <c r="B19" s="2403" t="s">
        <v>2100</v>
      </c>
      <c r="C19" s="1567"/>
      <c r="D19" s="2367"/>
      <c r="E19" s="2402"/>
      <c r="F19" s="1793" t="s">
        <v>2084</v>
      </c>
      <c r="G19" s="135" t="str">
        <f>G5</f>
        <v>估价对象所在区域公共配套设施齐备情况</v>
      </c>
    </row>
    <row r="20" spans="1:18" ht="99.75">
      <c r="A20" s="644"/>
      <c r="B20" s="2403" t="s">
        <v>2101</v>
      </c>
      <c r="C20" s="2401" t="str">
        <f>C9</f>
        <v>区域内有新中街城市森林公园等，街道整洁，相邻路段无污染源，自然环境较好；区域内有保利剧院、中国医史博物馆等，人文环境较较好；综合评价环境状况较好。</v>
      </c>
      <c r="D20" s="2373"/>
      <c r="E20" s="2402"/>
      <c r="F20" s="1793" t="s">
        <v>2102</v>
      </c>
      <c r="G20" s="135" t="str">
        <f>G6</f>
        <v>估价对象所在区域基础设施水平</v>
      </c>
    </row>
    <row r="21" spans="1:18" ht="71.25">
      <c r="A21" s="644"/>
      <c r="B21" s="1793" t="s">
        <v>2084</v>
      </c>
      <c r="C21" s="135" t="str">
        <f>C7</f>
        <v>区域内有新中街幼儿园、西中街小学、东直门中学、北京中医药大学东直门医院、招商银行、华联超市等，公共服务设施较完善</v>
      </c>
      <c r="D21" s="2367"/>
      <c r="E21" s="2402"/>
      <c r="F21" s="2403" t="s">
        <v>2103</v>
      </c>
      <c r="G21" s="2404"/>
    </row>
    <row r="22" spans="1:18" ht="13.5" customHeight="1">
      <c r="A22" s="644"/>
      <c r="B22" s="1793" t="s">
        <v>2087</v>
      </c>
      <c r="C22" s="135" t="str">
        <f>C8</f>
        <v>估价对象所在区域红线内外七通，市政供暖，基础设施水平好。</v>
      </c>
      <c r="D22" s="2367"/>
      <c r="E22" s="2402"/>
      <c r="F22" s="2403" t="s">
        <v>2092</v>
      </c>
      <c r="G22" s="1567"/>
    </row>
    <row r="23" spans="1:18" s="2365" customFormat="1" ht="15.75" thickBot="1">
      <c r="A23" s="644"/>
      <c r="B23" s="2403" t="s">
        <v>2103</v>
      </c>
      <c r="C23" s="2404"/>
      <c r="D23" s="2391"/>
      <c r="E23" s="2405"/>
      <c r="F23" s="2406" t="s">
        <v>2104</v>
      </c>
      <c r="G23" s="2407"/>
      <c r="H23" s="2391"/>
      <c r="I23" s="2392"/>
      <c r="J23" s="2391"/>
      <c r="K23" s="2391"/>
      <c r="L23" s="2392"/>
      <c r="M23" s="2391"/>
      <c r="N23" s="2391"/>
      <c r="O23" s="2392"/>
      <c r="P23" s="2391"/>
      <c r="Q23" s="2391"/>
      <c r="R23" s="2393"/>
    </row>
    <row r="24" spans="1:18" s="2365" customFormat="1" ht="15.75" thickBot="1">
      <c r="A24" s="2408"/>
      <c r="B24" s="2406" t="s">
        <v>2105</v>
      </c>
      <c r="C24" s="136" t="str">
        <f>C10</f>
        <v>主干道</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11" sqref="F11"/>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t="e">
        <f>SUM(B14:B23)</f>
        <v>#REF!</v>
      </c>
      <c r="C1" s="1740"/>
      <c r="D1" s="1740"/>
      <c r="E1" s="1740"/>
      <c r="F1" s="1740"/>
      <c r="G1" s="1738"/>
    </row>
    <row r="2" spans="1:10" ht="16.5">
      <c r="A2" s="1741" t="s">
        <v>1349</v>
      </c>
      <c r="B2" s="1741" t="e">
        <f>SUM(C14:C23)</f>
        <v>#REF!</v>
      </c>
      <c r="C2" s="1740"/>
      <c r="D2" s="1740"/>
      <c r="E2" s="1740"/>
      <c r="F2" s="1740"/>
      <c r="G2" s="1738"/>
    </row>
    <row r="3" spans="1:10" ht="16.5">
      <c r="A3" s="1741" t="s">
        <v>1358</v>
      </c>
      <c r="B3" s="1742">
        <f>项目基本情况!D3</f>
        <v>43658</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t="e">
        <f ca="1">SUM(D14:D23)</f>
        <v>#REF!</v>
      </c>
      <c r="C5" s="1741" t="e">
        <f ca="1">ROUND(B5*10000/$B$1,0)</f>
        <v>#REF!</v>
      </c>
      <c r="D5" s="1741" t="e">
        <f ca="1">ROUND(B5*10000/$B$2,0)</f>
        <v>#REF!</v>
      </c>
      <c r="E5" s="1740"/>
      <c r="F5" s="1738"/>
      <c r="G5" s="1738"/>
    </row>
    <row r="6" spans="1:10" ht="16.5">
      <c r="A6" s="1741" t="s">
        <v>1352</v>
      </c>
      <c r="B6" s="1741">
        <f ca="1">SUM(G14:G23)</f>
        <v>1368</v>
      </c>
      <c r="C6" s="1741" t="e">
        <f ca="1">ROUND(B6*10000/$B$1,0)</f>
        <v>#REF!</v>
      </c>
      <c r="D6" s="1741" t="e">
        <f ca="1">ROUND(B6*10000/$B$2,0)</f>
        <v>#REF!</v>
      </c>
      <c r="E6" s="1740"/>
      <c r="F6" s="1738"/>
      <c r="G6" s="1738"/>
    </row>
    <row r="7" spans="1:10" ht="16.5">
      <c r="A7" s="1741" t="s">
        <v>1360</v>
      </c>
      <c r="B7" s="1741">
        <f>SUM(H14:H23)</f>
        <v>0</v>
      </c>
      <c r="C7" s="1741" t="e">
        <f>ROUND(B7*10000/$B$1,0)</f>
        <v>#REF!</v>
      </c>
      <c r="D7" s="1741" t="e">
        <f>ROUND(B7*10000/$B$2,0)</f>
        <v>#REF!</v>
      </c>
      <c r="E7" s="1740"/>
      <c r="F7" s="1738"/>
      <c r="G7" s="1738"/>
    </row>
    <row r="8" spans="1:10" ht="16.5">
      <c r="A8" s="1741" t="s">
        <v>1281</v>
      </c>
      <c r="B8" s="1741">
        <f>SUM(I14:I23)</f>
        <v>0</v>
      </c>
      <c r="C8" s="1741" t="e">
        <f>ROUND(B8*10000/$B$1,0)</f>
        <v>#REF!</v>
      </c>
      <c r="D8" s="1741" t="e">
        <f>ROUND(B8*10000/$B$2,0)</f>
        <v>#REF!</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194.47</v>
      </c>
      <c r="C14" s="1739">
        <f>结果表!C118</f>
        <v>53.64</v>
      </c>
      <c r="D14" s="1739">
        <f ca="1">结果表!H118</f>
        <v>1368</v>
      </c>
      <c r="E14" s="1739">
        <f ca="1">ROUND(D14*10000/B14,0)</f>
        <v>70345</v>
      </c>
      <c r="F14" s="1739">
        <f ca="1">ROUND(D14*10000/C14,0)</f>
        <v>255034</v>
      </c>
      <c r="G14" s="1739">
        <f ca="1">结果表!D122</f>
        <v>1368</v>
      </c>
      <c r="H14" s="1739" t="str">
        <f>结果表!D124</f>
        <v>——</v>
      </c>
      <c r="I14" s="1739" t="str">
        <f>结果表!D126</f>
        <v>——</v>
      </c>
      <c r="J14" s="1738"/>
    </row>
    <row r="15" spans="1:10" ht="16.5">
      <c r="A15" s="1737" t="s">
        <v>1345</v>
      </c>
      <c r="B15" s="1744" t="e">
        <f>#REF!</f>
        <v>#REF!</v>
      </c>
      <c r="C15" s="1744" t="e">
        <f>#REF!</f>
        <v>#REF!</v>
      </c>
      <c r="D15" s="1744" t="e">
        <f>#REF!</f>
        <v>#REF!</v>
      </c>
      <c r="E15" s="1739" t="e">
        <f t="shared" ref="E15:E23" si="0">ROUND(D15*10000/B15,0)</f>
        <v>#REF!</v>
      </c>
      <c r="F15" s="1739" t="e">
        <f t="shared" ref="F15:F23" si="1">ROUND(D15*10000/C15,0)</f>
        <v>#REF!</v>
      </c>
      <c r="G15" s="1745"/>
      <c r="H15" s="1745"/>
      <c r="I15" s="1744"/>
      <c r="J15" s="1738"/>
    </row>
    <row r="16" spans="1:10" ht="16.5">
      <c r="A16" s="1737" t="s">
        <v>1344</v>
      </c>
      <c r="B16" s="1744">
        <f>[1]系统读取表!$B$14</f>
        <v>278.92</v>
      </c>
      <c r="C16" s="1744">
        <f>[1]系统读取表!$C$14</f>
        <v>52.44</v>
      </c>
      <c r="D16" s="1744">
        <f>[1]系统读取表!$D$14</f>
        <v>1287</v>
      </c>
      <c r="E16" s="1739">
        <f t="shared" si="0"/>
        <v>46142</v>
      </c>
      <c r="F16" s="1739">
        <f t="shared" si="1"/>
        <v>245423</v>
      </c>
      <c r="G16" s="1745"/>
      <c r="H16" s="1745"/>
      <c r="I16" s="1744"/>
    </row>
    <row r="17" spans="1:9" ht="16.5">
      <c r="A17" s="1737" t="s">
        <v>1343</v>
      </c>
      <c r="B17" s="1744">
        <f>[2]系统读取表!$B$14</f>
        <v>2215.16</v>
      </c>
      <c r="C17" s="1744">
        <f>[2]系统读取表!$C$14</f>
        <v>95.610000000000014</v>
      </c>
      <c r="D17" s="1744">
        <f>[2]系统读取表!$D$14</f>
        <v>2580</v>
      </c>
      <c r="E17" s="1739">
        <f t="shared" si="0"/>
        <v>11647</v>
      </c>
      <c r="F17" s="1739">
        <f t="shared" si="1"/>
        <v>269846</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37" sqref="F37"/>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2" t="s">
        <v>2106</v>
      </c>
      <c r="B1" s="2414"/>
      <c r="C1" s="2415" t="s">
        <v>3053</v>
      </c>
      <c r="D1" s="2414"/>
      <c r="E1" s="2414"/>
      <c r="F1" s="2416" t="s">
        <v>2107</v>
      </c>
      <c r="G1" s="2067" t="s">
        <v>3077</v>
      </c>
      <c r="H1" s="2417" t="str">
        <f>IF(G1="现房","——","估价对象范围")</f>
        <v>——</v>
      </c>
      <c r="I1" s="2418"/>
    </row>
    <row r="2" spans="1:12" ht="21.75" customHeight="1" thickBot="1">
      <c r="A2" s="3149" t="str">
        <f>项目基本情况!S2</f>
        <v>北京市东城区东直门外大街48号1幢26层C29F住宅（公寓）用房及14层办公楼16A至16E共计5套办公用房房地产</v>
      </c>
      <c r="B2" s="3150"/>
      <c r="C2" s="3150"/>
      <c r="D2" s="3150"/>
      <c r="E2" s="3150"/>
      <c r="F2" s="3150"/>
      <c r="G2" s="3150"/>
      <c r="H2" s="3150"/>
      <c r="I2" s="3151"/>
    </row>
    <row r="3" spans="1:12" ht="12.75">
      <c r="A3" s="3153" t="s">
        <v>2108</v>
      </c>
      <c r="B3" s="3154"/>
      <c r="C3" s="3154"/>
      <c r="D3" s="3154"/>
      <c r="E3" s="3154"/>
      <c r="F3" s="3154"/>
      <c r="G3" s="3154"/>
      <c r="H3" s="3154"/>
      <c r="I3" s="3154"/>
    </row>
    <row r="4" spans="1:12" ht="14.25">
      <c r="A4" s="2421" t="s">
        <v>2109</v>
      </c>
      <c r="B4" s="2422" t="s">
        <v>2110</v>
      </c>
      <c r="C4" s="2423" t="s">
        <v>3078</v>
      </c>
      <c r="D4" s="2423" t="s">
        <v>3073</v>
      </c>
      <c r="E4" s="3146" t="s">
        <v>2111</v>
      </c>
      <c r="F4" s="3147"/>
      <c r="G4" s="3147"/>
      <c r="H4" s="3147"/>
      <c r="I4" s="3155"/>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29" t="s">
        <v>2112</v>
      </c>
      <c r="B5" s="3067">
        <v>25</v>
      </c>
      <c r="C5" s="3132"/>
      <c r="D5" s="3152"/>
      <c r="E5" s="139" t="s">
        <v>2113</v>
      </c>
      <c r="F5" s="2425"/>
      <c r="G5" s="2425"/>
      <c r="H5" s="2425"/>
      <c r="I5" s="1829"/>
    </row>
    <row r="6" spans="1:12" ht="12.75">
      <c r="A6" s="3129"/>
      <c r="B6" s="3067"/>
      <c r="C6" s="3133"/>
      <c r="D6" s="3152"/>
      <c r="E6" s="139" t="s">
        <v>2114</v>
      </c>
      <c r="F6" s="2425"/>
      <c r="G6" s="2425"/>
      <c r="H6" s="2425"/>
      <c r="I6" s="1829"/>
    </row>
    <row r="7" spans="1:12" ht="12.75">
      <c r="A7" s="3129"/>
      <c r="B7" s="3067"/>
      <c r="C7" s="3134"/>
      <c r="D7" s="3152"/>
      <c r="E7" s="139" t="s">
        <v>2115</v>
      </c>
      <c r="F7" s="2425"/>
      <c r="G7" s="2425"/>
      <c r="H7" s="2425"/>
      <c r="I7" s="1829"/>
    </row>
    <row r="8" spans="1:12" ht="12.75">
      <c r="A8" s="3129" t="s">
        <v>2116</v>
      </c>
      <c r="B8" s="3067">
        <v>15</v>
      </c>
      <c r="C8" s="3132"/>
      <c r="D8" s="3152"/>
      <c r="E8" s="139" t="s">
        <v>2117</v>
      </c>
      <c r="F8" s="2425"/>
      <c r="G8" s="2425"/>
      <c r="H8" s="2425"/>
      <c r="I8" s="1829"/>
    </row>
    <row r="9" spans="1:12" ht="12.75">
      <c r="A9" s="3129"/>
      <c r="B9" s="3067"/>
      <c r="C9" s="3134"/>
      <c r="D9" s="3152"/>
      <c r="E9" s="139" t="s">
        <v>2118</v>
      </c>
      <c r="F9" s="2425"/>
      <c r="G9" s="2425"/>
      <c r="H9" s="2425"/>
      <c r="I9" s="1829"/>
    </row>
    <row r="10" spans="1:12" ht="12.75">
      <c r="A10" s="3129" t="s">
        <v>2119</v>
      </c>
      <c r="B10" s="3067">
        <v>15</v>
      </c>
      <c r="C10" s="3132"/>
      <c r="D10" s="3152"/>
      <c r="E10" s="139" t="s">
        <v>2120</v>
      </c>
      <c r="F10" s="2425"/>
      <c r="G10" s="2425"/>
      <c r="H10" s="2425"/>
      <c r="I10" s="1829"/>
    </row>
    <row r="11" spans="1:12" ht="12.75">
      <c r="A11" s="3129"/>
      <c r="B11" s="3067"/>
      <c r="C11" s="3134"/>
      <c r="D11" s="3152"/>
      <c r="E11" s="139" t="s">
        <v>2121</v>
      </c>
      <c r="F11" s="2425"/>
      <c r="G11" s="2425"/>
      <c r="H11" s="2425"/>
      <c r="I11" s="1829"/>
    </row>
    <row r="12" spans="1:12" ht="12.75">
      <c r="A12" s="3129" t="s">
        <v>2122</v>
      </c>
      <c r="B12" s="3067">
        <v>15</v>
      </c>
      <c r="C12" s="3132"/>
      <c r="D12" s="3152"/>
      <c r="E12" s="139" t="s">
        <v>2123</v>
      </c>
      <c r="F12" s="2425"/>
      <c r="G12" s="2425"/>
      <c r="H12" s="2425"/>
      <c r="I12" s="1829"/>
    </row>
    <row r="13" spans="1:12" ht="12.75">
      <c r="A13" s="3129"/>
      <c r="B13" s="3067"/>
      <c r="C13" s="3134"/>
      <c r="D13" s="3152"/>
      <c r="E13" s="139" t="s">
        <v>2124</v>
      </c>
      <c r="F13" s="2425"/>
      <c r="G13" s="2425"/>
      <c r="H13" s="2425"/>
      <c r="I13" s="1829"/>
    </row>
    <row r="14" spans="1:12" ht="12.75">
      <c r="A14" s="3129" t="s">
        <v>2125</v>
      </c>
      <c r="B14" s="3067">
        <v>30</v>
      </c>
      <c r="C14" s="3132">
        <v>1</v>
      </c>
      <c r="D14" s="3152">
        <v>0</v>
      </c>
      <c r="E14" s="139" t="s">
        <v>2126</v>
      </c>
      <c r="F14" s="2425"/>
      <c r="G14" s="2425"/>
      <c r="H14" s="2425"/>
      <c r="I14" s="1829"/>
    </row>
    <row r="15" spans="1:12" ht="12.75">
      <c r="A15" s="3129"/>
      <c r="B15" s="3067"/>
      <c r="C15" s="3133"/>
      <c r="D15" s="3152"/>
      <c r="E15" s="139" t="s">
        <v>2127</v>
      </c>
      <c r="F15" s="2425"/>
      <c r="G15" s="2425"/>
      <c r="H15" s="2425"/>
      <c r="I15" s="1829"/>
    </row>
    <row r="16" spans="1:12" ht="12.75">
      <c r="A16" s="3129"/>
      <c r="B16" s="3067"/>
      <c r="C16" s="3134"/>
      <c r="D16" s="3152"/>
      <c r="E16" s="139" t="s">
        <v>2128</v>
      </c>
      <c r="F16" s="2425"/>
      <c r="G16" s="2425"/>
      <c r="H16" s="2425"/>
      <c r="I16" s="1829"/>
    </row>
    <row r="17" spans="1:35" ht="15">
      <c r="A17" s="2426" t="s">
        <v>2129</v>
      </c>
      <c r="B17" s="63"/>
      <c r="C17" s="140">
        <f>SUM(C5:C16)</f>
        <v>1</v>
      </c>
      <c r="D17" s="140">
        <f>SUM(D5:D16)</f>
        <v>0</v>
      </c>
      <c r="E17" s="137"/>
      <c r="F17" s="137"/>
      <c r="G17" s="137"/>
      <c r="H17" s="137"/>
      <c r="I17" s="137"/>
      <c r="K17" s="2424"/>
      <c r="L17" s="2427" t="s">
        <v>2130</v>
      </c>
      <c r="M17" s="2427" t="s">
        <v>2131</v>
      </c>
    </row>
    <row r="18" spans="1:35" ht="15.75" thickBot="1">
      <c r="A18" s="2428" t="s">
        <v>2132</v>
      </c>
      <c r="B18" s="2429"/>
      <c r="C18" s="141">
        <f>ROUND(C17/SUM(C17:D17),2)</f>
        <v>1</v>
      </c>
      <c r="D18" s="141">
        <f>1-C18</f>
        <v>0</v>
      </c>
      <c r="E18" s="137"/>
      <c r="F18" s="137"/>
      <c r="G18" s="137"/>
      <c r="H18" s="137"/>
      <c r="I18" s="137"/>
      <c r="K18" s="2424" t="s">
        <v>2133</v>
      </c>
      <c r="L18" s="2424">
        <f>IF(C1="",'数据-汇总表'!E3,SUMIF(项目类型,C1,'数据-汇总表'!E17:E26)+SUMIF(项目类型,C1,'数据-汇总表'!I17:I26))</f>
        <v>194.47</v>
      </c>
      <c r="M18" s="2424">
        <f>IF(C1="",'数据-汇总表'!E3,SUMIF(项目类型,C1,'数据-汇总表'!E17:E26))</f>
        <v>194.47</v>
      </c>
    </row>
    <row r="19" spans="1:35" ht="15">
      <c r="A19" s="2430" t="s">
        <v>2134</v>
      </c>
      <c r="B19" s="2431" t="s">
        <v>2135</v>
      </c>
      <c r="C19" s="142">
        <f ca="1">SUMIF(INDIRECT("'"&amp;C4&amp;"'"&amp;"!A:A"),结果表!B19,INDIRECT("'"&amp;C4&amp;"'"&amp;"!B:B"))</f>
        <v>1368</v>
      </c>
      <c r="D19" s="143">
        <f ca="1">SUMIF(INDIRECT("'"&amp;D4&amp;"'"&amp;"!A:A"),结果表!B19,INDIRECT("'"&amp;D4&amp;"'"&amp;"!B:B"))</f>
        <v>892</v>
      </c>
      <c r="E19" s="2430" t="s">
        <v>2136</v>
      </c>
      <c r="F19" s="2431" t="s">
        <v>2135</v>
      </c>
      <c r="G19" s="144">
        <f ca="1">ROUND(C19*$C$18+D19*$D$18,0)</f>
        <v>1368</v>
      </c>
      <c r="H19" s="2432" t="s">
        <v>2137</v>
      </c>
      <c r="I19" s="137"/>
      <c r="K19" s="2424" t="s">
        <v>2138</v>
      </c>
      <c r="L19" s="2424">
        <f>IF(C1="",'数据-汇总表'!D3,SUMIF(项目类型,C1,'数据-汇总表'!D17:D26)+SUMIF(项目类型,C1,'数据-汇总表'!H17:H27))</f>
        <v>53.64</v>
      </c>
      <c r="M19" s="2424">
        <f>IF(C1="",'数据-汇总表'!D3,SUMIF(项目类型,C1,'数据-汇总表'!D17:D26))</f>
        <v>53.64</v>
      </c>
    </row>
    <row r="20" spans="1:35" ht="15">
      <c r="A20" s="2433"/>
      <c r="B20" s="1245" t="s">
        <v>2139</v>
      </c>
      <c r="C20" s="145">
        <f ca="1">SUMIF(INDIRECT("'"&amp;C4&amp;"'"&amp;"!A:A"),结果表!B20,INDIRECT("'"&amp;C4&amp;"'"&amp;"!B:B"))</f>
        <v>70333</v>
      </c>
      <c r="D20" s="146">
        <f ca="1">SUMIF(INDIRECT("'"&amp;D4&amp;"'"&amp;"!A:A"),结果表!B20,INDIRECT("'"&amp;D4&amp;"'"&amp;"!B:B"))</f>
        <v>45890</v>
      </c>
      <c r="E20" s="2433"/>
      <c r="F20" s="1245" t="s">
        <v>2139</v>
      </c>
      <c r="G20" s="147">
        <f ca="1">ROUND(C20*$C$18+D20*$D$18,0)</f>
        <v>70333</v>
      </c>
      <c r="H20" s="978" t="s">
        <v>2140</v>
      </c>
      <c r="I20" s="137"/>
    </row>
    <row r="21" spans="1:35" ht="15" customHeight="1" thickBot="1">
      <c r="A21" s="998"/>
      <c r="B21" s="2434" t="s">
        <v>2141</v>
      </c>
      <c r="C21" s="787">
        <f ca="1">ROUND(C19*10000/L19,0)</f>
        <v>255034</v>
      </c>
      <c r="D21" s="788">
        <f ca="1">ROUND(D19*10000/L19,0)</f>
        <v>166294</v>
      </c>
      <c r="E21" s="998"/>
      <c r="F21" s="2434" t="s">
        <v>2141</v>
      </c>
      <c r="G21" s="148">
        <f ca="1">ROUND(G19*10000/L19,0)</f>
        <v>255034</v>
      </c>
      <c r="H21" s="2435" t="s">
        <v>2140</v>
      </c>
      <c r="I21" s="137"/>
    </row>
    <row r="22" spans="1:35" ht="15" thickBot="1">
      <c r="A22" s="2278" t="s">
        <v>2142</v>
      </c>
      <c r="B22" s="2436"/>
      <c r="C22" s="2437"/>
      <c r="D22" s="789">
        <f ca="1">IF(C19&lt;D19,D19/C19-1,C19/D19-1)</f>
        <v>0.53363228699551568</v>
      </c>
      <c r="E22" s="137"/>
      <c r="F22" s="137"/>
      <c r="G22" s="137"/>
      <c r="H22" s="137"/>
      <c r="I22" s="137"/>
    </row>
    <row r="23" spans="1:35" ht="13.5" thickBot="1">
      <c r="A23" s="2414"/>
      <c r="B23" s="2414"/>
      <c r="C23" s="2414"/>
      <c r="D23" s="2414"/>
      <c r="E23" s="137"/>
      <c r="F23" s="137"/>
      <c r="G23" s="137"/>
      <c r="H23" s="137"/>
      <c r="I23" s="137"/>
    </row>
    <row r="24" spans="1:35" ht="14.25">
      <c r="A24" s="3123" t="s">
        <v>2143</v>
      </c>
      <c r="B24" s="2431" t="s">
        <v>2135</v>
      </c>
      <c r="C24" s="144">
        <f>IF(B30=0,0,D30)</f>
        <v>0</v>
      </c>
      <c r="D24" s="2438"/>
      <c r="E24" s="137"/>
      <c r="F24" s="137"/>
      <c r="G24" s="137"/>
      <c r="H24" s="137"/>
      <c r="I24" s="137"/>
    </row>
    <row r="25" spans="1:35" ht="14.25">
      <c r="A25" s="3124"/>
      <c r="B25" s="1245" t="s">
        <v>2139</v>
      </c>
      <c r="C25" s="149">
        <f>IF(B30=0,0,C30)</f>
        <v>0</v>
      </c>
      <c r="D25" s="2439"/>
      <c r="E25" s="137"/>
      <c r="F25" s="137"/>
      <c r="G25" s="137"/>
      <c r="H25" s="137"/>
      <c r="I25" s="137"/>
    </row>
    <row r="26" spans="1:35" ht="13.5" customHeight="1">
      <c r="A26" s="2440" t="s">
        <v>2144</v>
      </c>
      <c r="B26" s="150" t="s">
        <v>2145</v>
      </c>
      <c r="C26" s="150" t="s">
        <v>2146</v>
      </c>
      <c r="D26" s="151" t="s">
        <v>2147</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2148</v>
      </c>
      <c r="B30" s="150"/>
      <c r="C30" s="150"/>
      <c r="D30" s="150"/>
      <c r="E30" s="2911" t="s">
        <v>3021</v>
      </c>
      <c r="F30" s="137"/>
      <c r="G30" s="137"/>
      <c r="H30" s="137"/>
      <c r="I30" s="137"/>
    </row>
    <row r="31" spans="1:35" s="2442" customFormat="1" ht="15" thickBot="1">
      <c r="A31" s="2441"/>
      <c r="B31" s="2441"/>
      <c r="C31" s="2441"/>
      <c r="D31" s="2441"/>
      <c r="E31" s="137"/>
      <c r="F31" s="137"/>
      <c r="G31" s="137"/>
      <c r="H31" s="137"/>
      <c r="I31" s="137"/>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2149</v>
      </c>
      <c r="B32" s="2444"/>
      <c r="C32" s="152">
        <f ca="1">IF(D32="总价",G19-C24,G20-C25)</f>
        <v>1368</v>
      </c>
      <c r="D32" s="2445" t="s">
        <v>2150</v>
      </c>
      <c r="E32" s="137"/>
      <c r="F32" s="137"/>
      <c r="G32" s="137"/>
      <c r="H32" s="137"/>
      <c r="I32" s="137"/>
    </row>
    <row r="33" spans="1:15" ht="15">
      <c r="A33" s="955" t="s">
        <v>2151</v>
      </c>
      <c r="B33" s="2446"/>
      <c r="C33" s="2447" t="s">
        <v>3284</v>
      </c>
      <c r="D33" s="2448" t="s">
        <v>3073</v>
      </c>
      <c r="E33" s="2449" t="s">
        <v>2152</v>
      </c>
      <c r="F33" s="2450" t="str">
        <f>IF(D32="楼面单价","取值（单价）","取值（总价）")</f>
        <v>取值（总价）</v>
      </c>
      <c r="G33" s="137"/>
      <c r="H33" s="137"/>
      <c r="I33" s="137"/>
    </row>
    <row r="34" spans="1:15" ht="15">
      <c r="A34" s="2451"/>
      <c r="B34" s="2452" t="s">
        <v>2153</v>
      </c>
      <c r="C34" s="156">
        <f ca="1">IF(C33="自定义",F34,C32-C35)</f>
        <v>1144</v>
      </c>
      <c r="D34" s="1053">
        <f ca="1">IF(C33="自定义",ROUND(C34/C32,3),IF(C33="收益比率",SUMIF(INDIRECT("'"&amp;D33&amp;"'"&amp;"!b:b"),"土地收益比率",INDIRECT("'"&amp;D33&amp;"'"&amp;"!c:c")),SUMIF(INDIRECT("'"&amp;D33&amp;"'"&amp;"!b:b"),"土地成本比率",INDIRECT("'"&amp;D33&amp;"'"&amp;"!c:c"))))</f>
        <v>0.83599999999999997</v>
      </c>
      <c r="E34" s="2453" t="s">
        <v>2154</v>
      </c>
      <c r="F34" s="1734"/>
      <c r="G34" s="137"/>
      <c r="H34" s="137"/>
      <c r="I34" s="137"/>
    </row>
    <row r="35" spans="1:15" ht="15.75" thickBot="1">
      <c r="A35" s="2454"/>
      <c r="B35" s="2455" t="s">
        <v>2155</v>
      </c>
      <c r="C35" s="1439">
        <f ca="1">IF(C33="自定义",F35,ROUND(C32*D35,0))</f>
        <v>224</v>
      </c>
      <c r="D35" s="1440">
        <f ca="1">IF(C33="自定义",ROUND(C35/C32,3),IF(C33="收益比率",SUMIF(INDIRECT("'"&amp;D33&amp;"'"&amp;"!b:b"),"建筑物收益比率",INDIRECT("'"&amp;D33&amp;"'"&amp;"!c:c")),SUMIF(INDIRECT("'"&amp;D33&amp;"'"&amp;"!b:b"),"建筑物成本比率",INDIRECT("'"&amp;D33&amp;"'"&amp;"!c:c"))))</f>
        <v>0.16400000000000001</v>
      </c>
      <c r="E35" s="2456" t="s">
        <v>2156</v>
      </c>
      <c r="F35" s="162"/>
      <c r="G35" s="137"/>
      <c r="H35" s="137"/>
      <c r="I35" s="137"/>
    </row>
    <row r="36" spans="1:15" ht="15.75" thickBot="1">
      <c r="A36" s="3141" t="s">
        <v>2157</v>
      </c>
      <c r="B36" s="2457" t="s">
        <v>2158</v>
      </c>
      <c r="C36" s="153"/>
      <c r="D36" s="2458"/>
      <c r="E36" s="2459"/>
      <c r="F36" s="2460"/>
      <c r="G36" s="137"/>
      <c r="H36" s="137"/>
      <c r="I36" s="137"/>
    </row>
    <row r="37" spans="1:15" ht="15.75" thickBot="1">
      <c r="A37" s="3142"/>
      <c r="B37" s="2264" t="s">
        <v>2159</v>
      </c>
      <c r="C37" s="155"/>
      <c r="D37" s="1390"/>
      <c r="E37" s="1390"/>
      <c r="F37" s="2460"/>
      <c r="G37" s="137"/>
      <c r="H37" s="137"/>
      <c r="I37" s="137"/>
    </row>
    <row r="38" spans="1:15" ht="15.75" thickBot="1">
      <c r="A38" s="3143"/>
      <c r="B38" s="2461" t="s">
        <v>2160</v>
      </c>
      <c r="C38" s="725"/>
      <c r="D38" s="2462" t="s">
        <v>2161</v>
      </c>
      <c r="E38" s="1390"/>
      <c r="F38" s="2460"/>
      <c r="G38" s="137"/>
      <c r="H38" s="137"/>
      <c r="I38" s="137"/>
    </row>
    <row r="39" spans="1:15" ht="15">
      <c r="A39" s="2433" t="s">
        <v>2162</v>
      </c>
      <c r="B39" s="2463" t="s">
        <v>2163</v>
      </c>
      <c r="C39" s="2464" t="s">
        <v>2164</v>
      </c>
      <c r="D39" s="2464" t="s">
        <v>2165</v>
      </c>
      <c r="E39" s="2465" t="s">
        <v>2166</v>
      </c>
      <c r="F39" s="2460"/>
      <c r="G39" s="137"/>
      <c r="H39" s="137"/>
      <c r="I39" s="137"/>
    </row>
    <row r="40" spans="1:15" ht="14.25">
      <c r="A40" s="2466" t="s">
        <v>2167</v>
      </c>
      <c r="B40" s="157"/>
      <c r="C40" s="158"/>
      <c r="D40" s="158"/>
      <c r="E40" s="159"/>
      <c r="F40" s="2460"/>
      <c r="G40" s="137"/>
      <c r="H40" s="137"/>
      <c r="I40" s="137"/>
    </row>
    <row r="41" spans="1:15" ht="14.25">
      <c r="A41" s="2466" t="s">
        <v>2168</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2"/>
      <c r="B43" s="2162"/>
      <c r="C43" s="2162"/>
      <c r="D43" s="2162"/>
      <c r="E43" s="2162"/>
      <c r="F43" s="2468"/>
      <c r="G43" s="2468"/>
      <c r="H43" s="2468"/>
      <c r="I43" s="2469"/>
    </row>
    <row r="44" spans="1:15" ht="18.75">
      <c r="A44" s="2470" t="s">
        <v>2169</v>
      </c>
      <c r="B44" s="2471"/>
      <c r="C44" s="2471"/>
      <c r="D44" s="2472"/>
      <c r="E44" s="2472"/>
      <c r="F44" s="2473"/>
      <c r="G44" s="2473"/>
      <c r="H44" s="2473"/>
      <c r="I44" s="2473"/>
      <c r="J44" s="2474" t="s">
        <v>2170</v>
      </c>
      <c r="K44" s="2475"/>
      <c r="L44" s="2475"/>
      <c r="M44" s="2475"/>
      <c r="N44" s="2475"/>
      <c r="O44" s="2475"/>
    </row>
    <row r="45" spans="1:15" ht="14.25" customHeight="1" thickBot="1">
      <c r="A45" s="3120" t="s">
        <v>2171</v>
      </c>
      <c r="B45" s="3121"/>
      <c r="C45" s="3122"/>
      <c r="D45" s="163">
        <f ca="1">ROUND(H101*F45,0)</f>
        <v>1368</v>
      </c>
      <c r="E45" s="164" t="s">
        <v>2172</v>
      </c>
      <c r="F45" s="165">
        <v>1</v>
      </c>
      <c r="G45" s="166" t="s">
        <v>2173</v>
      </c>
      <c r="H45" s="137"/>
      <c r="I45" s="137"/>
      <c r="J45" s="3180" t="s">
        <v>2174</v>
      </c>
      <c r="K45" s="3180"/>
      <c r="L45" s="3180"/>
      <c r="M45" s="3180"/>
      <c r="N45" s="3180"/>
      <c r="O45" s="3180"/>
    </row>
    <row r="46" spans="1:15" ht="14.25" customHeight="1">
      <c r="A46" s="3117" t="s">
        <v>2175</v>
      </c>
      <c r="B46" s="3118"/>
      <c r="C46" s="3118"/>
      <c r="D46" s="3118"/>
      <c r="E46" s="3118"/>
      <c r="F46" s="3118"/>
      <c r="G46" s="3119"/>
      <c r="H46" s="2476"/>
      <c r="I46" s="167"/>
      <c r="J46" s="1807">
        <v>1</v>
      </c>
      <c r="K46" s="3180" t="s">
        <v>2176</v>
      </c>
      <c r="L46" s="3180"/>
      <c r="M46" s="3200"/>
      <c r="N46" s="3200"/>
      <c r="O46" s="3200"/>
    </row>
    <row r="47" spans="1:15" ht="12" customHeight="1">
      <c r="A47" s="168" t="s">
        <v>2177</v>
      </c>
      <c r="B47" s="169"/>
      <c r="C47" s="170"/>
      <c r="D47" s="171" t="s">
        <v>2178</v>
      </c>
      <c r="E47" s="23" t="s">
        <v>2179</v>
      </c>
      <c r="F47" s="172" t="s">
        <v>2180</v>
      </c>
      <c r="G47" s="173" t="s">
        <v>2181</v>
      </c>
      <c r="H47" s="2476"/>
      <c r="I47" s="167"/>
      <c r="J47" s="1807">
        <v>2</v>
      </c>
      <c r="K47" s="3180" t="s">
        <v>2182</v>
      </c>
      <c r="L47" s="3180"/>
      <c r="M47" s="3201">
        <f>'数据-取费表'!B2</f>
        <v>43658</v>
      </c>
      <c r="N47" s="3201"/>
      <c r="O47" s="3201"/>
    </row>
    <row r="48" spans="1:15" ht="25.5">
      <c r="A48" s="3148" t="s">
        <v>2183</v>
      </c>
      <c r="B48" s="3131"/>
      <c r="C48" s="3131"/>
      <c r="D48" s="139">
        <f>IF(H48="情况1",0,IF(H48="情况2",D52,IF(H48="情况3",D53,IF(H48="情况4",D54))))</f>
        <v>0</v>
      </c>
      <c r="E48" s="1796" t="str">
        <f>IF(H48="情况4","(销售额-原购置价)×税（费）率","销售额×税（费）率")</f>
        <v>销售额×税（费）率</v>
      </c>
      <c r="F48" s="174" t="str">
        <f>IF(H48="情况1","免征",'数据-取费表'!B41)</f>
        <v>免征</v>
      </c>
      <c r="G48" s="2477" t="s">
        <v>2184</v>
      </c>
      <c r="H48" s="2478" t="s">
        <v>2185</v>
      </c>
      <c r="I48" s="2476"/>
      <c r="J48" s="1807">
        <v>3</v>
      </c>
      <c r="K48" s="3180" t="s">
        <v>2186</v>
      </c>
      <c r="L48" s="3180"/>
      <c r="M48" s="3202">
        <f ca="1">H101</f>
        <v>1368</v>
      </c>
      <c r="N48" s="3202"/>
      <c r="O48" s="3202"/>
    </row>
    <row r="49" spans="1:35" ht="25.5" customHeight="1">
      <c r="A49" s="175" t="s">
        <v>2187</v>
      </c>
      <c r="B49" s="3116" t="s">
        <v>2188</v>
      </c>
      <c r="C49" s="3116"/>
      <c r="D49" s="176">
        <v>0</v>
      </c>
      <c r="E49" s="22" t="s">
        <v>2189</v>
      </c>
      <c r="F49" s="27" t="s">
        <v>34</v>
      </c>
      <c r="G49" s="3186"/>
      <c r="H49" s="137"/>
      <c r="I49" s="2479"/>
      <c r="J49" s="1807">
        <v>4</v>
      </c>
      <c r="K49" s="3180" t="str">
        <f>IF(项目基本情况!E8="房地产抵押价值","房地产抵押价值","抵押担保权已注销时的房地产抵押价值")</f>
        <v>抵押担保权已注销时的房地产抵押价值</v>
      </c>
      <c r="L49" s="3180"/>
      <c r="M49" s="3202" t="str">
        <f>IF(项目基本情况!E8="房地产抵押价值",H107,H109)</f>
        <v>——</v>
      </c>
      <c r="N49" s="3202"/>
      <c r="O49" s="3202"/>
    </row>
    <row r="50" spans="1:35" ht="25.5" customHeight="1">
      <c r="A50" s="177"/>
      <c r="B50" s="3116" t="s">
        <v>2190</v>
      </c>
      <c r="C50" s="3116"/>
      <c r="D50" s="178"/>
      <c r="E50" s="30"/>
      <c r="F50" s="179"/>
      <c r="G50" s="3187"/>
      <c r="H50" s="137"/>
      <c r="I50" s="2479"/>
      <c r="J50" s="3180" t="s">
        <v>2191</v>
      </c>
      <c r="K50" s="3180"/>
      <c r="L50" s="3180"/>
      <c r="M50" s="3180"/>
      <c r="N50" s="3180"/>
      <c r="O50" s="3180"/>
    </row>
    <row r="51" spans="1:35" ht="12" customHeight="1">
      <c r="A51" s="180"/>
      <c r="B51" s="3116" t="s">
        <v>2192</v>
      </c>
      <c r="C51" s="3116"/>
      <c r="D51" s="181"/>
      <c r="E51" s="29"/>
      <c r="F51" s="179"/>
      <c r="G51" s="3188"/>
      <c r="H51" s="137"/>
      <c r="I51" s="2479"/>
      <c r="J51" s="2480" t="s">
        <v>2193</v>
      </c>
      <c r="K51" s="3180" t="s">
        <v>2194</v>
      </c>
      <c r="L51" s="3180"/>
      <c r="M51" s="2480" t="s">
        <v>2195</v>
      </c>
      <c r="N51" s="2480" t="s">
        <v>2196</v>
      </c>
      <c r="O51" s="2480" t="s">
        <v>2197</v>
      </c>
    </row>
    <row r="52" spans="1:35" ht="24" customHeight="1">
      <c r="A52" s="182" t="s">
        <v>2198</v>
      </c>
      <c r="B52" s="3116" t="s">
        <v>2199</v>
      </c>
      <c r="C52" s="3116"/>
      <c r="D52" s="181">
        <f ca="1">ROUND(D45*'数据-取费表'!B41/(1+'数据-取费表'!C42),0)</f>
        <v>73</v>
      </c>
      <c r="E52" s="11" t="s">
        <v>2200</v>
      </c>
      <c r="F52" s="183">
        <f>'数据-取费表'!B41</f>
        <v>5.6000000000000001E-2</v>
      </c>
      <c r="G52" s="2481"/>
      <c r="H52" s="137"/>
      <c r="I52" s="2479"/>
      <c r="J52" s="1807">
        <v>1</v>
      </c>
      <c r="K52" s="3181" t="s">
        <v>2201</v>
      </c>
      <c r="L52" s="3181"/>
      <c r="M52" s="1749">
        <f>D48</f>
        <v>0</v>
      </c>
      <c r="N52" s="1807" t="str">
        <f>E48</f>
        <v>销售额×税（费）率</v>
      </c>
      <c r="O52" s="1750" t="str">
        <f>F48</f>
        <v>免征</v>
      </c>
    </row>
    <row r="53" spans="1:35" ht="12" customHeight="1">
      <c r="A53" s="182" t="s">
        <v>2202</v>
      </c>
      <c r="B53" s="3139" t="s">
        <v>2203</v>
      </c>
      <c r="C53" s="3140"/>
      <c r="D53" s="181">
        <f ca="1">ROUND(D45*'数据-取费表'!B41/(1+'数据-取费表'!C42),0)</f>
        <v>73</v>
      </c>
      <c r="E53" s="11" t="s">
        <v>2200</v>
      </c>
      <c r="F53" s="183">
        <f>'数据-取费表'!B41</f>
        <v>5.6000000000000001E-2</v>
      </c>
      <c r="G53" s="2481"/>
      <c r="H53" s="137"/>
      <c r="I53" s="2479"/>
      <c r="J53" s="1807">
        <v>2</v>
      </c>
      <c r="K53" s="3181" t="s">
        <v>2204</v>
      </c>
      <c r="L53" s="3181"/>
      <c r="M53" s="1749">
        <f t="shared" ref="M53:O54" ca="1" si="0">D55</f>
        <v>1</v>
      </c>
      <c r="N53" s="1807" t="str">
        <f t="shared" si="0"/>
        <v>销售额×税（费）率</v>
      </c>
      <c r="O53" s="1750">
        <f t="shared" si="0"/>
        <v>5.0000000000000001E-4</v>
      </c>
    </row>
    <row r="54" spans="1:35" ht="12" customHeight="1">
      <c r="A54" s="182" t="s">
        <v>2205</v>
      </c>
      <c r="B54" s="3139" t="s">
        <v>2206</v>
      </c>
      <c r="C54" s="3140"/>
      <c r="D54" s="181">
        <f ca="1">C68</f>
        <v>73</v>
      </c>
      <c r="E54" s="29" t="s">
        <v>2207</v>
      </c>
      <c r="F54" s="183">
        <f>'数据-取费表'!B41</f>
        <v>5.6000000000000001E-2</v>
      </c>
      <c r="G54" s="2481"/>
      <c r="H54" s="2482"/>
      <c r="I54" s="2479"/>
      <c r="J54" s="1807">
        <v>3</v>
      </c>
      <c r="K54" s="3181" t="s">
        <v>2208</v>
      </c>
      <c r="L54" s="3181"/>
      <c r="M54" s="1749">
        <f t="shared" ca="1" si="0"/>
        <v>774</v>
      </c>
      <c r="N54" s="1807" t="str">
        <f t="shared" si="0"/>
        <v>增值额×税（费）率</v>
      </c>
      <c r="O54" s="1751" t="str">
        <f t="shared" si="0"/>
        <v>——</v>
      </c>
    </row>
    <row r="55" spans="1:35" ht="24" customHeight="1">
      <c r="A55" s="3130" t="s">
        <v>2209</v>
      </c>
      <c r="B55" s="3131"/>
      <c r="C55" s="3131"/>
      <c r="D55" s="184">
        <f ca="1">IF(H55="个人住宅",0,ROUND(D45*I55,0))</f>
        <v>1</v>
      </c>
      <c r="E55" s="11" t="s">
        <v>2210</v>
      </c>
      <c r="F55" s="183">
        <f>IF(H55="正常",I55,"免征")</f>
        <v>5.0000000000000001E-4</v>
      </c>
      <c r="G55" s="2481"/>
      <c r="H55" s="2478" t="s">
        <v>2211</v>
      </c>
      <c r="I55" s="185">
        <f>'数据-取费表'!B49</f>
        <v>5.0000000000000001E-4</v>
      </c>
      <c r="J55" s="1807" t="str">
        <f>IF(H59="非个人房产","",4)</f>
        <v/>
      </c>
      <c r="K55" s="3181" t="str">
        <f>IF(H59="非个人房产","——","个人所得税")</f>
        <v>——</v>
      </c>
      <c r="L55" s="3181"/>
      <c r="M55" s="1752" t="str">
        <f>D59</f>
        <v>——</v>
      </c>
      <c r="N55" s="1805" t="str">
        <f>E59</f>
        <v>——</v>
      </c>
      <c r="O55" s="1753" t="str">
        <f>F59</f>
        <v>——</v>
      </c>
    </row>
    <row r="56" spans="1:35" ht="24.75">
      <c r="A56" s="3130" t="s">
        <v>2212</v>
      </c>
      <c r="B56" s="3131"/>
      <c r="C56" s="3131"/>
      <c r="D56" s="184">
        <f ca="1">IF(H56="个人住宅",D57,D58)</f>
        <v>774</v>
      </c>
      <c r="E56" s="11" t="s">
        <v>2213</v>
      </c>
      <c r="F56" s="183" t="str">
        <f>IF(H56="正常",F58,"免征")</f>
        <v>——</v>
      </c>
      <c r="G56" s="2483" t="s">
        <v>2214</v>
      </c>
      <c r="H56" s="2484" t="s">
        <v>2211</v>
      </c>
      <c r="I56" s="2485"/>
      <c r="J56" s="1807" t="str">
        <f>IF(项目基本情况!K6="上海银行",IF(J55="",4,J55+1),"")</f>
        <v/>
      </c>
      <c r="K56" s="3204" t="str">
        <f>IF(项目基本情况!K6="上海银行","其他处置费用","")</f>
        <v/>
      </c>
      <c r="L56" s="3205"/>
      <c r="M56" s="1749" t="str">
        <f>IF(项目基本情况!K6="上海银行",M69,"")</f>
        <v/>
      </c>
      <c r="N56" s="3207" t="str">
        <f>IF(项目基本情况!K6="上海银行","包含处置中涉及的律师、诉讼、拍卖、评估等费用","")</f>
        <v/>
      </c>
      <c r="O56" s="3208"/>
    </row>
    <row r="57" spans="1:35" ht="12.75">
      <c r="A57" s="182" t="s">
        <v>2187</v>
      </c>
      <c r="B57" s="3146" t="s">
        <v>2215</v>
      </c>
      <c r="C57" s="3155"/>
      <c r="D57" s="186">
        <v>0</v>
      </c>
      <c r="E57" s="22" t="s">
        <v>2189</v>
      </c>
      <c r="F57" s="154"/>
      <c r="G57" s="2481"/>
      <c r="H57" s="2485"/>
      <c r="I57" s="2485"/>
      <c r="J57" s="3181">
        <f>IF(AND(J55="",J56=""),4,IF(项目基本情况!K6="上海银行",结果表!J56+1,结果表!J55+1))</f>
        <v>4</v>
      </c>
      <c r="K57" s="3181" t="s">
        <v>2216</v>
      </c>
      <c r="L57" s="2486" t="s">
        <v>2217</v>
      </c>
      <c r="M57" s="1754"/>
      <c r="N57" s="1755">
        <f ca="1">SUMIF(M52:M56,"&lt;9e307")</f>
        <v>775</v>
      </c>
      <c r="O57" s="2487"/>
      <c r="P57" s="1748" t="e">
        <f ca="1">N57/M49</f>
        <v>#VALUE!</v>
      </c>
    </row>
    <row r="58" spans="1:35" ht="24.75">
      <c r="A58" s="182" t="s">
        <v>2198</v>
      </c>
      <c r="B58" s="3146" t="s">
        <v>2218</v>
      </c>
      <c r="C58" s="3147"/>
      <c r="D58" s="184">
        <f ca="1">IF(H58="转让取得",C81,C97)</f>
        <v>774</v>
      </c>
      <c r="E58" s="11" t="s">
        <v>2213</v>
      </c>
      <c r="F58" s="23" t="s">
        <v>34</v>
      </c>
      <c r="G58" s="2481"/>
      <c r="H58" s="2484" t="s">
        <v>2219</v>
      </c>
      <c r="I58" s="2485"/>
      <c r="J58" s="3181"/>
      <c r="K58" s="3181"/>
      <c r="L58" s="2486" t="s">
        <v>2220</v>
      </c>
      <c r="M58" s="1756"/>
      <c r="N58" s="2488" t="str">
        <f ca="1">NUMBERSTRING(INT(N57*10000),2)&amp;"元整"</f>
        <v>柒佰柒拾伍万元整</v>
      </c>
      <c r="O58" s="2489"/>
    </row>
    <row r="59" spans="1:35" ht="24.75" thickBot="1">
      <c r="A59" s="3184" t="s">
        <v>2221</v>
      </c>
      <c r="B59" s="3185"/>
      <c r="C59" s="3185"/>
      <c r="D59" s="187" t="str">
        <f>IF(H59="非个人房产","——",IF(H59="个人住宅",0,ROUND(D45*I59,0)))</f>
        <v>——</v>
      </c>
      <c r="E59" s="188" t="str">
        <f>IF(H59="非个人房产","——","销售额×税（费）率")</f>
        <v>——</v>
      </c>
      <c r="F59" s="189" t="str">
        <f>IF(H59="非个人房产","——",IF(H59="个人住宅","免征",I59))</f>
        <v>——</v>
      </c>
      <c r="G59" s="2490" t="s">
        <v>2214</v>
      </c>
      <c r="H59" s="2484" t="s">
        <v>2222</v>
      </c>
      <c r="I59" s="190">
        <v>0.01</v>
      </c>
      <c r="J59" s="3182">
        <f>J57+1</f>
        <v>5</v>
      </c>
      <c r="K59" s="3181" t="s">
        <v>2223</v>
      </c>
      <c r="L59" s="1807" t="s">
        <v>2217</v>
      </c>
      <c r="M59" s="1757"/>
      <c r="N59" s="1758" t="e">
        <f ca="1">M49-N57</f>
        <v>#VALUE!</v>
      </c>
      <c r="O59" s="2491"/>
    </row>
    <row r="60" spans="1:35" ht="12" customHeight="1">
      <c r="A60" s="2492"/>
      <c r="B60" s="2414"/>
      <c r="C60" s="2414"/>
      <c r="D60" s="2414"/>
      <c r="E60" s="2163"/>
      <c r="F60" s="2485"/>
      <c r="G60" s="2485"/>
      <c r="H60" s="2493"/>
      <c r="I60" s="137"/>
      <c r="J60" s="3183"/>
      <c r="K60" s="3181"/>
      <c r="L60" s="2486" t="s">
        <v>2220</v>
      </c>
      <c r="M60" s="1756"/>
      <c r="N60" s="2488" t="e">
        <f ca="1">NUMBERSTRING(INT(N59*10000),2)&amp;"元整"</f>
        <v>#VALUE!</v>
      </c>
      <c r="O60" s="2489"/>
    </row>
    <row r="61" spans="1:35" ht="13.5" thickBot="1">
      <c r="A61" s="3128" t="s">
        <v>2224</v>
      </c>
      <c r="B61" s="3128"/>
      <c r="C61" s="3128"/>
      <c r="D61" s="3128"/>
      <c r="E61" s="3128"/>
      <c r="F61" s="2485"/>
      <c r="G61" s="2485"/>
      <c r="H61" s="2493"/>
      <c r="I61" s="137"/>
      <c r="J61" s="1807">
        <f>J59+1</f>
        <v>6</v>
      </c>
      <c r="K61" s="3181" t="s">
        <v>2225</v>
      </c>
      <c r="L61" s="3181"/>
      <c r="M61" s="1759"/>
      <c r="N61" s="1760" t="e">
        <f ca="1">ROUND(N59*10000/'数据-汇总表'!E3,0)</f>
        <v>#VALUE!</v>
      </c>
      <c r="O61" s="2494"/>
    </row>
    <row r="62" spans="1:35" ht="12.75">
      <c r="A62" s="3144" t="s">
        <v>2226</v>
      </c>
      <c r="B62" s="3145"/>
      <c r="C62" s="1799"/>
      <c r="D62" s="1799" t="s">
        <v>2227</v>
      </c>
      <c r="E62" s="191" t="s">
        <v>2228</v>
      </c>
      <c r="F62" s="2485"/>
      <c r="G62" s="2485"/>
      <c r="H62" s="2493"/>
      <c r="I62" s="137"/>
    </row>
    <row r="63" spans="1:35" ht="12.75">
      <c r="A63" s="202" t="s">
        <v>775</v>
      </c>
      <c r="B63" s="192" t="s">
        <v>2229</v>
      </c>
      <c r="C63" s="193">
        <f ca="1">ROUND((C64+C65)/(1+'数据-取费表'!C42),0)</f>
        <v>1303</v>
      </c>
      <c r="D63" s="194"/>
      <c r="E63" s="195"/>
      <c r="F63" s="2485"/>
      <c r="G63" s="2485"/>
      <c r="H63" s="2493"/>
      <c r="I63" s="137"/>
      <c r="J63" s="3206" t="s">
        <v>2230</v>
      </c>
      <c r="K63" s="2495" t="s">
        <v>2231</v>
      </c>
      <c r="L63" s="1747" t="e">
        <f>IF(M49&gt;10000,M49*0.5%,IF(AND(M49&gt;1000,M49&lt;=10000),M49*1%,IF(AND(M49&gt;100,M49&lt;=1000),M49*3%,IF(AND(M49&gt;10,M49&lt;=100),M49*5%,M49*8%))))</f>
        <v>#VALUE!</v>
      </c>
      <c r="M63" s="23" t="e">
        <f>ROUND(L63,1)</f>
        <v>#VALUE!</v>
      </c>
      <c r="Z63" s="2419"/>
      <c r="AI63" s="2420"/>
    </row>
    <row r="64" spans="1:35" ht="14.25" customHeight="1">
      <c r="A64" s="196" t="s">
        <v>770</v>
      </c>
      <c r="B64" s="197" t="s">
        <v>2232</v>
      </c>
      <c r="C64" s="198">
        <f ca="1">D45</f>
        <v>1368</v>
      </c>
      <c r="D64" s="199" t="s">
        <v>32</v>
      </c>
      <c r="E64" s="200"/>
      <c r="F64" s="2485"/>
      <c r="G64" s="2485"/>
      <c r="H64" s="2493"/>
      <c r="I64" s="137"/>
      <c r="J64" s="3206"/>
      <c r="K64" s="2495" t="s">
        <v>2233</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2234</v>
      </c>
      <c r="Z64" s="2419"/>
      <c r="AI64" s="2420"/>
    </row>
    <row r="65" spans="1:35" ht="14.25" customHeight="1">
      <c r="A65" s="196" t="s">
        <v>771</v>
      </c>
      <c r="B65" s="197" t="s">
        <v>2235</v>
      </c>
      <c r="C65" s="201"/>
      <c r="D65" s="199"/>
      <c r="E65" s="200"/>
      <c r="F65" s="2485"/>
      <c r="G65" s="2485"/>
      <c r="H65" s="2493"/>
      <c r="I65" s="137"/>
      <c r="J65" s="3206"/>
      <c r="K65" s="2495" t="s">
        <v>2236</v>
      </c>
      <c r="L65" s="1747" t="e">
        <f>IF(M49&gt;1000,M49*0.1%,IF(AND(M49&gt;500,M49&lt;=1000),M49*0.5%,IF(AND(M49&gt;50,M49&lt;=500),M49*1%,IF(AND(M49&gt;1,M49&lt;=50),M49*1.5%))))</f>
        <v>#VALUE!</v>
      </c>
      <c r="M65" s="23" t="e">
        <f t="shared" si="1"/>
        <v>#VALUE!</v>
      </c>
      <c r="N65" s="137" t="s">
        <v>2234</v>
      </c>
      <c r="Z65" s="2419"/>
      <c r="AI65" s="2420"/>
    </row>
    <row r="66" spans="1:35" ht="14.25" customHeight="1">
      <c r="A66" s="202" t="s">
        <v>772</v>
      </c>
      <c r="B66" s="203" t="s">
        <v>2237</v>
      </c>
      <c r="C66" s="204"/>
      <c r="D66" s="205" t="s">
        <v>32</v>
      </c>
      <c r="E66" s="1771" t="s">
        <v>1367</v>
      </c>
      <c r="F66" s="2485"/>
      <c r="G66" s="2485"/>
      <c r="H66" s="2493"/>
      <c r="I66" s="137"/>
      <c r="J66" s="3206"/>
      <c r="K66" s="2495" t="s">
        <v>2238</v>
      </c>
      <c r="L66" s="1747" t="e">
        <f>M49*0.5%</f>
        <v>#VALUE!</v>
      </c>
      <c r="M66" s="23" t="e">
        <f>IF(L66&gt;0.5,0.5,ROUND(L66,0))</f>
        <v>#VALUE!</v>
      </c>
      <c r="N66" s="137" t="s">
        <v>2239</v>
      </c>
      <c r="Z66" s="2419"/>
      <c r="AI66" s="2420"/>
    </row>
    <row r="67" spans="1:35" ht="14.25" customHeight="1">
      <c r="A67" s="202" t="s">
        <v>773</v>
      </c>
      <c r="B67" s="203" t="s">
        <v>2240</v>
      </c>
      <c r="C67" s="206">
        <f ca="1">C63-C66</f>
        <v>1303</v>
      </c>
      <c r="D67" s="199" t="s">
        <v>32</v>
      </c>
      <c r="E67" s="200"/>
      <c r="F67" s="2485"/>
      <c r="G67" s="2485"/>
      <c r="H67" s="2493"/>
      <c r="I67" s="137"/>
      <c r="J67" s="3206"/>
      <c r="K67" s="2495" t="s">
        <v>2241</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19"/>
      <c r="AI67" s="2420"/>
    </row>
    <row r="68" spans="1:35" ht="14.25" customHeight="1" thickBot="1">
      <c r="A68" s="207" t="s">
        <v>774</v>
      </c>
      <c r="B68" s="208" t="s">
        <v>2242</v>
      </c>
      <c r="C68" s="209">
        <f ca="1">IF(C67&lt;=0,0,ROUND(C67*D68,0))</f>
        <v>73</v>
      </c>
      <c r="D68" s="210">
        <f>'数据-取费表'!B41</f>
        <v>5.6000000000000001E-2</v>
      </c>
      <c r="E68" s="211"/>
      <c r="F68" s="2485"/>
      <c r="G68" s="2485"/>
      <c r="H68" s="2493"/>
      <c r="I68" s="137"/>
      <c r="J68" s="3206"/>
      <c r="K68" s="2495" t="s">
        <v>2243</v>
      </c>
      <c r="L68" s="1747" t="e">
        <f>IF(M49&gt;10000,M49*0.5%,IF(AND(M49&gt;5000,M49&lt;=10000),M49*1%,IF(AND(M49&gt;1000,M49&lt;=5000),M49*2%,IF(AND(M49&gt;200,M49&lt;=1000),M49*3%,M49*5%))))</f>
        <v>#VALUE!</v>
      </c>
      <c r="M68" s="23" t="e">
        <f>ROUND(L68,1)</f>
        <v>#VALUE!</v>
      </c>
      <c r="Z68" s="2419"/>
      <c r="AI68" s="2420"/>
    </row>
    <row r="69" spans="1:35" s="2442" customFormat="1" ht="16.5" customHeight="1">
      <c r="A69" s="2496"/>
      <c r="B69" s="2497"/>
      <c r="C69" s="2498"/>
      <c r="D69" s="2499"/>
      <c r="E69" s="2500"/>
      <c r="F69" s="2163"/>
      <c r="G69" s="2163"/>
      <c r="H69" s="2162"/>
      <c r="I69" s="2414"/>
      <c r="J69" s="3206"/>
      <c r="K69" s="2495" t="s">
        <v>2244</v>
      </c>
      <c r="L69" s="2501"/>
      <c r="M69" s="23" t="e">
        <f>ROUND(SUM(M63:M68),0)</f>
        <v>#VALUE!</v>
      </c>
      <c r="N69" s="1748" t="e">
        <f>M69/M49</f>
        <v>#VALUE!</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165" t="s">
        <v>2245</v>
      </c>
      <c r="B70" s="3166"/>
      <c r="C70" s="3166"/>
      <c r="D70" s="3166"/>
      <c r="E70" s="3166"/>
      <c r="F70" s="3166"/>
      <c r="G70" s="3166"/>
      <c r="H70" s="316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44" t="s">
        <v>2226</v>
      </c>
      <c r="B71" s="3145"/>
      <c r="C71" s="1799"/>
      <c r="D71" s="1799" t="s">
        <v>2227</v>
      </c>
      <c r="E71" s="212" t="s">
        <v>2228</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2246</v>
      </c>
      <c r="C72" s="206">
        <f ca="1">ROUND(D45/(1+'数据-取费表'!C42),0)</f>
        <v>1303</v>
      </c>
      <c r="D72" s="199" t="s">
        <v>32</v>
      </c>
      <c r="E72" s="1798"/>
      <c r="F72" s="1792"/>
      <c r="G72" s="1792"/>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2247</v>
      </c>
      <c r="C73" s="206">
        <f ca="1">C74+C78</f>
        <v>8</v>
      </c>
      <c r="D73" s="199" t="s">
        <v>32</v>
      </c>
      <c r="E73" s="1798"/>
      <c r="F73" s="1792"/>
      <c r="G73" s="1792"/>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2248</v>
      </c>
      <c r="C74" s="199">
        <f>ROUND(IF(G77="2016年5月1日后购买",C75/(1+'数据-取费表'!C42)+C76+C77,C75+C76+C77),0)</f>
        <v>0</v>
      </c>
      <c r="D74" s="199" t="s">
        <v>32</v>
      </c>
      <c r="E74" s="1798"/>
      <c r="F74" s="1792"/>
      <c r="G74" s="1792"/>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2249</v>
      </c>
      <c r="C75" s="217"/>
      <c r="D75" s="199" t="s">
        <v>32</v>
      </c>
      <c r="E75" s="218" t="s">
        <v>2250</v>
      </c>
      <c r="F75" s="2507" t="s">
        <v>2251</v>
      </c>
      <c r="G75" s="218" t="s">
        <v>2252</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2253</v>
      </c>
      <c r="C76" s="199">
        <f>IF(F75="购房发票",ROUND(C75*H75*D76,0),0)</f>
        <v>0</v>
      </c>
      <c r="D76" s="221">
        <v>0.05</v>
      </c>
      <c r="E76" s="3139" t="s">
        <v>2254</v>
      </c>
      <c r="F76" s="3116"/>
      <c r="G76" s="3116"/>
      <c r="H76" s="316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2255</v>
      </c>
      <c r="C77" s="199">
        <f>ROUND(IF(G77="个人住宅",0,IF(G77="2016年5月1日前购买",C75*D77,C75*D77/(1+'数据-取费表'!C42))),0)</f>
        <v>0</v>
      </c>
      <c r="D77" s="222">
        <f>'数据-取费表'!B48+'数据-取费表'!B49</f>
        <v>3.0499999999999999E-2</v>
      </c>
      <c r="E77" s="14" t="s">
        <v>2256</v>
      </c>
      <c r="F77" s="223"/>
      <c r="G77" s="2509" t="s">
        <v>2257</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2258</v>
      </c>
      <c r="C78" s="224">
        <f ca="1">ROUND(D45*D78/(1+'数据-取费表'!C42),0)</f>
        <v>8</v>
      </c>
      <c r="D78" s="225">
        <f>'数据-取费表'!B43</f>
        <v>6.000000000000001E-3</v>
      </c>
      <c r="E78" s="3125" t="s">
        <v>2259</v>
      </c>
      <c r="F78" s="3126"/>
      <c r="G78" s="3126"/>
      <c r="H78" s="313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2260</v>
      </c>
      <c r="C79" s="206">
        <f ca="1">C72-C73</f>
        <v>1295</v>
      </c>
      <c r="D79" s="199" t="s">
        <v>32</v>
      </c>
      <c r="E79" s="1798"/>
      <c r="F79" s="1792"/>
      <c r="G79" s="1792"/>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2261</v>
      </c>
      <c r="C80" s="226">
        <f ca="1">IF(C79&lt;=0,0,C79/C73)</f>
        <v>161.875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2262</v>
      </c>
      <c r="C81" s="227">
        <f ca="1">ROUND(IF(C79&lt;=0,0,IF(C80&gt;=200%,C79*60%-C73*35%,IF(C80&gt;=100%,C79*50%-C73*15%,IF(C80&gt;=50%,C79*40%-C73*5%,IF(C80&lt;50%,C79*30%,0))))),0)</f>
        <v>774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65" t="s">
        <v>2263</v>
      </c>
      <c r="B83" s="3166"/>
      <c r="C83" s="3166"/>
      <c r="D83" s="3166"/>
      <c r="E83" s="3166"/>
      <c r="F83" s="3166"/>
      <c r="G83" s="3166"/>
      <c r="H83" s="316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44" t="s">
        <v>2226</v>
      </c>
      <c r="B84" s="3145"/>
      <c r="C84" s="1799"/>
      <c r="D84" s="1799" t="s">
        <v>2227</v>
      </c>
      <c r="E84" s="212" t="s">
        <v>2228</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2246</v>
      </c>
      <c r="C85" s="206">
        <f ca="1">ROUND(D45/(1+'数据-取费表'!C42),0)</f>
        <v>1303</v>
      </c>
      <c r="D85" s="199" t="s">
        <v>32</v>
      </c>
      <c r="E85" s="1798"/>
      <c r="F85" s="1792"/>
      <c r="G85" s="1792"/>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2247</v>
      </c>
      <c r="C86" s="206">
        <f ca="1">IF(H88="仅含出让金",C87+C90+C91+C92+C93+C94,C87+C91+C92+C93+C94)</f>
        <v>8</v>
      </c>
      <c r="D86" s="234"/>
      <c r="E86" s="1798"/>
      <c r="F86" s="1792"/>
      <c r="G86" s="1792"/>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2264</v>
      </c>
      <c r="C87" s="224">
        <f>C88+C89</f>
        <v>0</v>
      </c>
      <c r="D87" s="225"/>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2265</v>
      </c>
      <c r="C88" s="235"/>
      <c r="D88" s="225"/>
      <c r="E88" s="236" t="s">
        <v>2266</v>
      </c>
      <c r="F88" s="1795"/>
      <c r="G88" s="237" t="s">
        <v>2267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2255</v>
      </c>
      <c r="C89" s="224">
        <f>ROUND(C88*D89,0)</f>
        <v>0</v>
      </c>
      <c r="D89" s="225">
        <f>'数据-取费表'!B48+'数据-取费表'!B49</f>
        <v>3.0499999999999999E-2</v>
      </c>
      <c r="E89" s="236" t="s">
        <v>2268</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2269</v>
      </c>
      <c r="C90" s="235"/>
      <c r="D90" s="225"/>
      <c r="E90" s="236"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2270</v>
      </c>
      <c r="B91" s="197" t="s">
        <v>2271</v>
      </c>
      <c r="C91" s="224">
        <f>IF(H91="——",成本法!C33,I91)</f>
        <v>0</v>
      </c>
      <c r="D91" s="225"/>
      <c r="E91" s="3125" t="s">
        <v>2272</v>
      </c>
      <c r="F91" s="3126"/>
      <c r="G91" s="3126"/>
      <c r="H91" s="2514" t="s">
        <v>2273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2274</v>
      </c>
      <c r="B92" s="197" t="s">
        <v>2275</v>
      </c>
      <c r="C92" s="224">
        <f>ROUND((C87+C90+C91)*D92,0)</f>
        <v>0</v>
      </c>
      <c r="D92" s="225">
        <v>0.1</v>
      </c>
      <c r="E92" s="3125" t="s">
        <v>2276</v>
      </c>
      <c r="F92" s="3126"/>
      <c r="G92" s="3126"/>
      <c r="H92" s="313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2277</v>
      </c>
      <c r="B93" s="197" t="s">
        <v>2258</v>
      </c>
      <c r="C93" s="224">
        <f ca="1">ROUND(D45*D93/(1+'数据-取费表'!C42),0)</f>
        <v>8</v>
      </c>
      <c r="D93" s="225">
        <f>'数据-取费表'!B43</f>
        <v>6.000000000000001E-3</v>
      </c>
      <c r="E93" s="3125" t="s">
        <v>2259</v>
      </c>
      <c r="F93" s="3126"/>
      <c r="G93" s="3126"/>
      <c r="H93" s="313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2278</v>
      </c>
      <c r="B94" s="197" t="s">
        <v>2279</v>
      </c>
      <c r="C94" s="235">
        <f>ROUND((C87+C90+C91)*D94,0)</f>
        <v>0</v>
      </c>
      <c r="D94" s="225">
        <v>0.2</v>
      </c>
      <c r="E94" s="3136" t="s">
        <v>2280</v>
      </c>
      <c r="F94" s="3137"/>
      <c r="G94" s="3137"/>
      <c r="H94" s="313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2260</v>
      </c>
      <c r="C95" s="206">
        <f ca="1">ROUND(C85-C86,0)</f>
        <v>1295</v>
      </c>
      <c r="D95" s="199" t="s">
        <v>32</v>
      </c>
      <c r="E95" s="1798"/>
      <c r="F95" s="1792"/>
      <c r="G95" s="1792"/>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2261</v>
      </c>
      <c r="C96" s="226">
        <f ca="1">IF(C95&lt;=0,0,C95/C86)</f>
        <v>161.875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2262</v>
      </c>
      <c r="C97" s="227">
        <f ca="1">ROUND(IF(C95&lt;=0,0,IF(C96&gt;=200%,C95*60%-C86*35%,IF(C96&gt;=100%,C95*50%-C86*15%,IF(C96&gt;=50%,C95*40%-C86*5%,IF(C96&lt;50%,C95*30%,0))))),0)</f>
        <v>774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7"/>
    </row>
    <row r="99" spans="1:35" ht="21.75" customHeight="1" thickBot="1">
      <c r="A99" s="2470" t="s">
        <v>2281</v>
      </c>
      <c r="B99" s="2414"/>
      <c r="C99" s="2414"/>
      <c r="D99" s="2414"/>
      <c r="E99" s="2163"/>
      <c r="F99" s="2163"/>
      <c r="G99" s="2163"/>
      <c r="H99" s="2162"/>
      <c r="I99" s="137"/>
    </row>
    <row r="100" spans="1:35" ht="18.75" customHeight="1">
      <c r="A100" s="3110" t="s">
        <v>2282</v>
      </c>
      <c r="B100" s="3111"/>
      <c r="C100" s="3111"/>
      <c r="D100" s="3127"/>
      <c r="E100" s="3111" t="s">
        <v>2283</v>
      </c>
      <c r="F100" s="3111"/>
      <c r="G100" s="3111"/>
      <c r="H100" s="3127"/>
      <c r="I100" s="137"/>
    </row>
    <row r="101" spans="1:35" ht="18.75" customHeight="1">
      <c r="A101" s="3189" t="s">
        <v>2284</v>
      </c>
      <c r="B101" s="3190"/>
      <c r="C101" s="734" t="str">
        <f>C4</f>
        <v>比较法-住宅</v>
      </c>
      <c r="D101" s="735" t="str">
        <f>D4</f>
        <v>收益法-住宅</v>
      </c>
      <c r="E101" s="3203" t="s">
        <v>2285</v>
      </c>
      <c r="F101" s="3157"/>
      <c r="G101" s="2516" t="s">
        <v>2286</v>
      </c>
      <c r="H101" s="1043">
        <f ca="1">H118</f>
        <v>1368</v>
      </c>
      <c r="I101" s="137"/>
    </row>
    <row r="102" spans="1:35" ht="18.75" customHeight="1">
      <c r="A102" s="3159" t="s">
        <v>2287</v>
      </c>
      <c r="B102" s="2516" t="s">
        <v>2286</v>
      </c>
      <c r="C102" s="734">
        <f ca="1">C19</f>
        <v>1368</v>
      </c>
      <c r="D102" s="735">
        <f ca="1">D19</f>
        <v>892</v>
      </c>
      <c r="E102" s="3203"/>
      <c r="F102" s="3157"/>
      <c r="G102" s="2516" t="s">
        <v>2288</v>
      </c>
      <c r="H102" s="370">
        <f ca="1">I118</f>
        <v>70345</v>
      </c>
      <c r="I102" s="137"/>
    </row>
    <row r="103" spans="1:35" ht="42.75" customHeight="1">
      <c r="A103" s="3159"/>
      <c r="B103" s="2516" t="s">
        <v>2288</v>
      </c>
      <c r="C103" s="736">
        <f ca="1">C20</f>
        <v>70333</v>
      </c>
      <c r="D103" s="737">
        <f ca="1">D20</f>
        <v>45890</v>
      </c>
      <c r="E103" s="3198" t="s">
        <v>2289</v>
      </c>
      <c r="F103" s="3199"/>
      <c r="G103" s="2517" t="s">
        <v>2290</v>
      </c>
      <c r="H103" s="1043">
        <f>IF(D36="正常操作",H104+H105+H106,H105+H106)</f>
        <v>0</v>
      </c>
      <c r="I103" s="137"/>
    </row>
    <row r="104" spans="1:35" ht="18.75" customHeight="1">
      <c r="A104" s="3159" t="s">
        <v>2291</v>
      </c>
      <c r="B104" s="2518" t="s">
        <v>2286</v>
      </c>
      <c r="C104" s="738">
        <f ca="1">H118</f>
        <v>1368</v>
      </c>
      <c r="D104" s="739"/>
      <c r="E104" s="2264" t="s">
        <v>2292</v>
      </c>
      <c r="F104" s="2255"/>
      <c r="G104" s="2517" t="s">
        <v>2290</v>
      </c>
      <c r="H104" s="1044">
        <f>IF(D36="同一抵押权人同一抵押物续贷",C36&amp;"（未扣减，详见特别提示）",C36)</f>
        <v>0</v>
      </c>
      <c r="I104" s="137"/>
    </row>
    <row r="105" spans="1:35" ht="18.75" customHeight="1" thickBot="1">
      <c r="A105" s="3160"/>
      <c r="B105" s="2519" t="s">
        <v>2288</v>
      </c>
      <c r="C105" s="740">
        <f ca="1">I118</f>
        <v>70345</v>
      </c>
      <c r="D105" s="741"/>
      <c r="E105" s="2264" t="s">
        <v>2293</v>
      </c>
      <c r="F105" s="2255"/>
      <c r="G105" s="2517" t="s">
        <v>2290</v>
      </c>
      <c r="H105" s="1044">
        <f>C37</f>
        <v>0</v>
      </c>
      <c r="I105" s="137"/>
    </row>
    <row r="106" spans="1:35" ht="18.75" customHeight="1">
      <c r="A106" s="2414" t="s">
        <v>2294</v>
      </c>
      <c r="B106" s="2414"/>
      <c r="C106" s="2414"/>
      <c r="D106" s="2414"/>
      <c r="E106" s="2520" t="s">
        <v>2295</v>
      </c>
      <c r="F106" s="2255"/>
      <c r="G106" s="2517" t="s">
        <v>2290</v>
      </c>
      <c r="H106" s="1044">
        <f>C38</f>
        <v>0</v>
      </c>
      <c r="I106" s="137"/>
    </row>
    <row r="107" spans="1:35" ht="18.75" customHeight="1">
      <c r="A107" s="137"/>
      <c r="B107" s="137"/>
      <c r="C107" s="137"/>
      <c r="D107" s="137"/>
      <c r="E107" s="3156" t="str">
        <f>IF(项目基本情况!E8="已注销","——","3.房地产抵押价值")</f>
        <v>3.房地产抵押价值</v>
      </c>
      <c r="F107" s="3157"/>
      <c r="G107" s="2516" t="s">
        <v>2286</v>
      </c>
      <c r="H107" s="1043">
        <f ca="1">IF(E107="——","——",H101-H103)</f>
        <v>1368</v>
      </c>
      <c r="I107" s="137"/>
    </row>
    <row r="108" spans="1:35" ht="18.75" customHeight="1">
      <c r="A108" s="137"/>
      <c r="B108" s="137"/>
      <c r="C108" s="137"/>
      <c r="D108" s="137"/>
      <c r="E108" s="3156"/>
      <c r="F108" s="3157"/>
      <c r="G108" s="2516" t="s">
        <v>2288</v>
      </c>
      <c r="H108" s="370">
        <f ca="1">ROUND(H107*10000/'数据-汇总表'!E3,0)</f>
        <v>44933</v>
      </c>
      <c r="I108" s="137"/>
    </row>
    <row r="109" spans="1:35" ht="18.75" customHeight="1">
      <c r="A109" s="137"/>
      <c r="B109" s="137"/>
      <c r="C109" s="137"/>
      <c r="D109" s="137"/>
      <c r="E109" s="3156" t="str">
        <f>IF(项目基本情况!E8="已注销及未注销","4.抵押担保权已注销时的房地产抵押价值",IF(项目基本情况!E8="已注销","3.抵押担保权已注销时的房地产抵押价值","——"))</f>
        <v>——</v>
      </c>
      <c r="F109" s="3157"/>
      <c r="G109" s="2516" t="s">
        <v>2286</v>
      </c>
      <c r="H109" s="347" t="str">
        <f>IF(E109="——","——",H101-H105-H106)</f>
        <v>——</v>
      </c>
      <c r="I109" s="137"/>
    </row>
    <row r="110" spans="1:35" ht="18.75" customHeight="1">
      <c r="A110" s="137"/>
      <c r="B110" s="137"/>
      <c r="C110" s="137"/>
      <c r="D110" s="137"/>
      <c r="E110" s="3156"/>
      <c r="F110" s="3157"/>
      <c r="G110" s="2516" t="s">
        <v>2288</v>
      </c>
      <c r="H110" s="370" t="str">
        <f>IF(H109="——","——",ROUND(H109*10000/'数据-汇总表'!E3,0))</f>
        <v>——</v>
      </c>
      <c r="I110" s="137"/>
    </row>
    <row r="111" spans="1:35" ht="18.75" customHeight="1">
      <c r="A111" s="137"/>
      <c r="B111" s="137"/>
      <c r="C111" s="137"/>
      <c r="D111" s="137"/>
      <c r="E111" s="3191" t="str">
        <f>IF(项目基本情况!E9="抵押净值",IF(OR(项目基本情况!E8="已注销",项目基本情况!E8="房地产抵押价值"),"4.抵押净值","5.抵押净值"),"——")</f>
        <v>——</v>
      </c>
      <c r="F111" s="3192"/>
      <c r="G111" s="2516" t="s">
        <v>2286</v>
      </c>
      <c r="H111" s="1043" t="str">
        <f>IF(E111="——","——",N59)</f>
        <v>——</v>
      </c>
      <c r="I111" s="137"/>
    </row>
    <row r="112" spans="1:35" ht="18.75" customHeight="1" thickBot="1">
      <c r="A112" s="137"/>
      <c r="B112" s="137"/>
      <c r="C112" s="137"/>
      <c r="D112" s="137"/>
      <c r="E112" s="3193"/>
      <c r="F112" s="3194"/>
      <c r="G112" s="2521" t="s">
        <v>2288</v>
      </c>
      <c r="H112" s="788" t="str">
        <f>IF(E111="——","——",N61)</f>
        <v>——</v>
      </c>
      <c r="I112" s="137"/>
    </row>
    <row r="113" spans="1:11" ht="18.75" customHeight="1">
      <c r="A113" s="137"/>
      <c r="B113" s="137"/>
      <c r="C113" s="137"/>
      <c r="D113" s="137"/>
      <c r="E113" s="3161" t="s">
        <v>2294</v>
      </c>
      <c r="F113" s="3161"/>
      <c r="G113" s="3161"/>
      <c r="H113" s="3161"/>
      <c r="I113" s="137"/>
    </row>
    <row r="114" spans="1:11" ht="3.75" customHeight="1">
      <c r="A114" s="2414"/>
      <c r="B114" s="2414"/>
      <c r="C114" s="2414"/>
      <c r="D114" s="2414"/>
      <c r="E114" s="2492"/>
      <c r="F114" s="2492"/>
      <c r="G114" s="2492"/>
      <c r="H114" s="2492"/>
      <c r="I114" s="2414"/>
    </row>
    <row r="115" spans="1:11" ht="18.75" customHeight="1">
      <c r="A115" s="3174" t="s">
        <v>2296</v>
      </c>
      <c r="B115" s="3175"/>
      <c r="C115" s="3175"/>
      <c r="D115" s="3175"/>
      <c r="E115" s="3175"/>
      <c r="F115" s="3175"/>
      <c r="G115" s="3175"/>
      <c r="H115" s="3175"/>
      <c r="I115" s="3176"/>
    </row>
    <row r="116" spans="1:11" ht="27" customHeight="1">
      <c r="A116" s="3067" t="s">
        <v>2297</v>
      </c>
      <c r="B116" s="3162" t="s">
        <v>2298</v>
      </c>
      <c r="C116" s="3162" t="s">
        <v>2299</v>
      </c>
      <c r="D116" s="3178" t="s">
        <v>2300</v>
      </c>
      <c r="E116" s="3179"/>
      <c r="F116" s="3170" t="s">
        <v>2301</v>
      </c>
      <c r="G116" s="3170"/>
      <c r="H116" s="3067" t="s">
        <v>2302</v>
      </c>
      <c r="I116" s="3067"/>
    </row>
    <row r="117" spans="1:11" ht="18.75" customHeight="1">
      <c r="A117" s="3067"/>
      <c r="B117" s="3163"/>
      <c r="C117" s="3163"/>
      <c r="D117" s="1793" t="s">
        <v>2303</v>
      </c>
      <c r="E117" s="1793" t="s">
        <v>2304</v>
      </c>
      <c r="F117" s="1793" t="s">
        <v>2303</v>
      </c>
      <c r="G117" s="1793" t="s">
        <v>2305</v>
      </c>
      <c r="H117" s="1793" t="s">
        <v>2303</v>
      </c>
      <c r="I117" s="1793" t="s">
        <v>2305</v>
      </c>
    </row>
    <row r="118" spans="1:11" ht="24.75" customHeight="1">
      <c r="A118" s="2522" t="str">
        <f>项目基本情况!S2</f>
        <v>北京市东城区东直门外大街48号1幢26层C29F住宅（公寓）用房及14层办公楼16A至16E共计5套办公用房房地产</v>
      </c>
      <c r="B118" s="1793">
        <f>M18</f>
        <v>194.47</v>
      </c>
      <c r="C118" s="1793">
        <f>M19</f>
        <v>53.64</v>
      </c>
      <c r="D118" s="1793">
        <f ca="1">ROUND(IF(D32="总价",C34,E118*B118/10000),0)</f>
        <v>1144</v>
      </c>
      <c r="E118" s="1793">
        <f ca="1">ROUND(IF(C33="自定义",IF(D32="楼面单价",C34,D118*10000/B118),I118-G118),0)</f>
        <v>58827</v>
      </c>
      <c r="F118" s="1793">
        <f ca="1">ROUND(IF(D32="总价",C35,G118*B118/10000),0)</f>
        <v>224</v>
      </c>
      <c r="G118" s="1793">
        <f ca="1">ROUND(IF(D32="楼面单价",C35,F118*10000/B118),0)</f>
        <v>11518</v>
      </c>
      <c r="H118" s="1793">
        <f ca="1">ROUND(IF(D32="总价",C32,I118*B118/10000),0)</f>
        <v>1368</v>
      </c>
      <c r="I118" s="1793">
        <f ca="1">ROUND(IF(D32="楼面单价",C32,H118*10000/B118),0)</f>
        <v>70345</v>
      </c>
    </row>
    <row r="119" spans="1:11" ht="18.75" customHeight="1">
      <c r="A119" s="3067" t="s">
        <v>2306</v>
      </c>
      <c r="B119" s="3067"/>
      <c r="C119" s="3067"/>
      <c r="D119" s="3167" t="str">
        <f ca="1">NUMBERSTRING(INT(D118*10000),2)&amp;"元整"</f>
        <v>壹仟壹佰肆拾肆万元整</v>
      </c>
      <c r="E119" s="3169"/>
      <c r="F119" s="3167" t="str">
        <f ca="1">NUMBERSTRING(INT(F118*10000),2)&amp;"元整"</f>
        <v>贰佰贰拾肆万元整</v>
      </c>
      <c r="G119" s="3169"/>
      <c r="H119" s="3167" t="str">
        <f ca="1">NUMBERSTRING(INT(H118*10000),2)&amp;"元整"</f>
        <v>壹仟叁佰陆拾捌万元整</v>
      </c>
      <c r="I119" s="3169"/>
    </row>
    <row r="120" spans="1:11" ht="18.75" customHeight="1">
      <c r="A120" s="3195" t="str">
        <f>IF(项目基本情况!B9="房地产市场价值","",MID(E103,3,LEN(E103)-2))</f>
        <v/>
      </c>
      <c r="B120" s="3196"/>
      <c r="C120" s="3197"/>
      <c r="D120" s="3195">
        <f>H103</f>
        <v>0</v>
      </c>
      <c r="E120" s="3196"/>
      <c r="F120" s="3196"/>
      <c r="G120" s="3196"/>
      <c r="H120" s="3196"/>
      <c r="I120" s="3197"/>
      <c r="K120" s="2419" t="str">
        <f>IF(D120=0,"故，本次评估不存在"&amp;A120,"故，本次评估"&amp;A120&amp;"为人民币"&amp;D120&amp;"万元整。")</f>
        <v>故，本次评估不存在</v>
      </c>
    </row>
    <row r="121" spans="1:11" ht="18.75" customHeight="1">
      <c r="A121" s="3171" t="s">
        <v>2306</v>
      </c>
      <c r="B121" s="3172"/>
      <c r="C121" s="3173"/>
      <c r="D121" s="3167" t="str">
        <f>IF(D120=0,"零元整",NUMBERSTRING(INT(D120*10000),2)&amp;"元整")</f>
        <v>零元整</v>
      </c>
      <c r="E121" s="3168"/>
      <c r="F121" s="3168"/>
      <c r="G121" s="3168"/>
      <c r="H121" s="3168"/>
      <c r="I121" s="3169"/>
    </row>
    <row r="122" spans="1:11" ht="18.75" customHeight="1">
      <c r="A122" s="3158" t="str">
        <f>IF(项目基本情况!B9="房地产市场价值","",MID(E107,3,LEN(E107)-2))</f>
        <v/>
      </c>
      <c r="B122" s="3158"/>
      <c r="C122" s="3158"/>
      <c r="D122" s="3195">
        <f ca="1">H107</f>
        <v>1368</v>
      </c>
      <c r="E122" s="3196"/>
      <c r="F122" s="3196"/>
      <c r="G122" s="3196"/>
      <c r="H122" s="3196"/>
      <c r="I122" s="3197"/>
    </row>
    <row r="123" spans="1:11" ht="18.75" customHeight="1">
      <c r="A123" s="3067" t="s">
        <v>2306</v>
      </c>
      <c r="B123" s="3067"/>
      <c r="C123" s="3067"/>
      <c r="D123" s="3167" t="str">
        <f ca="1">NUMBERSTRING(INT(D122*10000),2)&amp;"元整"</f>
        <v>壹仟叁佰陆拾捌万元整</v>
      </c>
      <c r="E123" s="3168"/>
      <c r="F123" s="3168"/>
      <c r="G123" s="3168"/>
      <c r="H123" s="3168"/>
      <c r="I123" s="3169"/>
    </row>
    <row r="124" spans="1:11" ht="18.75" customHeight="1">
      <c r="A124" s="3158" t="str">
        <f>IF(项目基本情况!B9="房地产市场价值","",MID(E109,3,LEN(E109)-2))</f>
        <v/>
      </c>
      <c r="B124" s="3158"/>
      <c r="C124" s="3158"/>
      <c r="D124" s="3195" t="str">
        <f>H109</f>
        <v>——</v>
      </c>
      <c r="E124" s="3196"/>
      <c r="F124" s="3196"/>
      <c r="G124" s="3196"/>
      <c r="H124" s="3196"/>
      <c r="I124" s="3197"/>
    </row>
    <row r="125" spans="1:11" ht="18.75" customHeight="1">
      <c r="A125" s="3067" t="s">
        <v>2306</v>
      </c>
      <c r="B125" s="3067"/>
      <c r="C125" s="3067"/>
      <c r="D125" s="3167" t="e">
        <f>NUMBERSTRING(INT(D124*10000),2)&amp;"元整"</f>
        <v>#VALUE!</v>
      </c>
      <c r="E125" s="3168"/>
      <c r="F125" s="3168"/>
      <c r="G125" s="3168"/>
      <c r="H125" s="3168"/>
      <c r="I125" s="3169"/>
    </row>
    <row r="126" spans="1:11" ht="18.75" customHeight="1">
      <c r="A126" s="3158" t="str">
        <f>IF(项目基本情况!B9="房地产市场价值","",MID(E111,3,LEN(E111)-2))</f>
        <v/>
      </c>
      <c r="B126" s="3158"/>
      <c r="C126" s="3158"/>
      <c r="D126" s="3195" t="str">
        <f>H111</f>
        <v>——</v>
      </c>
      <c r="E126" s="3196"/>
      <c r="F126" s="3196"/>
      <c r="G126" s="3196"/>
      <c r="H126" s="3196"/>
      <c r="I126" s="3197"/>
    </row>
    <row r="127" spans="1:11" ht="18.75" customHeight="1">
      <c r="A127" s="3067" t="s">
        <v>2306</v>
      </c>
      <c r="B127" s="3067"/>
      <c r="C127" s="3067"/>
      <c r="D127" s="3167" t="e">
        <f>NUMBERSTRING(INT(D126*10000),2)&amp;"元整"</f>
        <v>#VALUE!</v>
      </c>
      <c r="E127" s="3168"/>
      <c r="F127" s="3168"/>
      <c r="G127" s="3168"/>
      <c r="H127" s="3168"/>
      <c r="I127" s="3169"/>
    </row>
    <row r="128" spans="1:11" ht="21.75" customHeight="1">
      <c r="A128" s="3177" t="s">
        <v>2307</v>
      </c>
      <c r="B128" s="3177"/>
      <c r="C128" s="3177"/>
      <c r="D128" s="3177"/>
      <c r="E128" s="3177"/>
      <c r="F128" s="3177"/>
      <c r="G128" s="3177"/>
      <c r="H128" s="3177"/>
      <c r="I128" s="3177"/>
    </row>
    <row r="129" spans="1:35" ht="21.75" customHeight="1">
      <c r="A129" s="2523" t="s">
        <v>2308</v>
      </c>
      <c r="B129" s="2524"/>
      <c r="C129" s="2525" t="s">
        <v>2309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2310</v>
      </c>
      <c r="G135" s="2540"/>
      <c r="H135" s="2540"/>
      <c r="I135" s="2541" t="s">
        <v>2311</v>
      </c>
    </row>
    <row r="136" spans="1:35" ht="21.75" customHeight="1">
      <c r="A136" s="793"/>
      <c r="B136" s="2542" t="s">
        <v>2312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2313</v>
      </c>
    </row>
    <row r="139" spans="1:35" ht="21.75" customHeight="1">
      <c r="A139" s="793"/>
      <c r="B139" s="2542" t="s">
        <v>2314</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2313</v>
      </c>
    </row>
    <row r="142" spans="1:35" ht="21.75" customHeight="1">
      <c r="A142" s="793"/>
      <c r="B142" s="2542"/>
      <c r="C142" s="2543"/>
      <c r="D142" s="2544"/>
      <c r="E142" s="2544"/>
      <c r="F142" s="2338"/>
      <c r="G142" s="793"/>
      <c r="H142" s="793"/>
      <c r="I142" s="793"/>
    </row>
    <row r="143" spans="1:35" s="138" customFormat="1" ht="21.75" customHeight="1">
      <c r="A143" s="793"/>
      <c r="B143" s="2542"/>
      <c r="C143" s="2543"/>
      <c r="D143" s="2544"/>
      <c r="E143" s="2544"/>
      <c r="F143" s="233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2" t="s">
        <v>2106</v>
      </c>
      <c r="B1" s="2414"/>
      <c r="C1" s="2415" t="s">
        <v>27</v>
      </c>
      <c r="D1" s="2414"/>
      <c r="E1" s="2414"/>
      <c r="F1" s="2416" t="s">
        <v>2107</v>
      </c>
      <c r="G1" s="2067" t="s">
        <v>3077</v>
      </c>
      <c r="H1" s="2417" t="str">
        <f>IF(G1="现房","——","估价对象范围")</f>
        <v>——</v>
      </c>
      <c r="I1" s="2418"/>
    </row>
    <row r="2" spans="1:12" ht="21.75" customHeight="1" thickBot="1">
      <c r="A2" s="3149" t="str">
        <f>项目基本情况!S2</f>
        <v>北京市东城区东直门外大街48号1幢26层C29F住宅（公寓）用房及14层办公楼16A至16E共计5套办公用房房地产</v>
      </c>
      <c r="B2" s="3150"/>
      <c r="C2" s="3150"/>
      <c r="D2" s="3150"/>
      <c r="E2" s="3150"/>
      <c r="F2" s="3150"/>
      <c r="G2" s="3150"/>
      <c r="H2" s="3150"/>
      <c r="I2" s="3151"/>
    </row>
    <row r="3" spans="1:12" ht="12.75">
      <c r="A3" s="3153" t="s">
        <v>2108</v>
      </c>
      <c r="B3" s="3154"/>
      <c r="C3" s="3154"/>
      <c r="D3" s="3154"/>
      <c r="E3" s="3154"/>
      <c r="F3" s="3154"/>
      <c r="G3" s="3154"/>
      <c r="H3" s="3154"/>
      <c r="I3" s="3154"/>
    </row>
    <row r="4" spans="1:12" ht="14.25">
      <c r="A4" s="2421" t="s">
        <v>2109</v>
      </c>
      <c r="B4" s="2422" t="s">
        <v>2110</v>
      </c>
      <c r="C4" s="2423" t="s">
        <v>3096</v>
      </c>
      <c r="D4" s="2423" t="s">
        <v>3095</v>
      </c>
      <c r="E4" s="3146" t="s">
        <v>2111</v>
      </c>
      <c r="F4" s="3147"/>
      <c r="G4" s="3147"/>
      <c r="H4" s="3147"/>
      <c r="I4" s="3155"/>
      <c r="K4" s="2424" t="str">
        <f>IF(ISNUMBER(FIND("比较法",'结果表-办公'!C4)),"比较法",IF(ISNUMBER(FIND("成本法",'结果表-办公'!C4)),"成本法",IF(ISNUMBER(FIND("假设开发法",'结果表-办公'!C4)),"假设开发法",IF(ISNUMBER(FIND("收益法",'结果表-办公'!C4)),"收益法","基准地价系数修正法"))))</f>
        <v>比较法</v>
      </c>
      <c r="L4" s="242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29" t="s">
        <v>2112</v>
      </c>
      <c r="B5" s="3067">
        <v>25</v>
      </c>
      <c r="C5" s="3132"/>
      <c r="D5" s="3152"/>
      <c r="E5" s="139" t="s">
        <v>2113</v>
      </c>
      <c r="F5" s="2425"/>
      <c r="G5" s="2425"/>
      <c r="H5" s="2425"/>
      <c r="I5" s="1829"/>
    </row>
    <row r="6" spans="1:12" ht="12.75">
      <c r="A6" s="3129"/>
      <c r="B6" s="3067"/>
      <c r="C6" s="3133"/>
      <c r="D6" s="3152"/>
      <c r="E6" s="139" t="s">
        <v>2114</v>
      </c>
      <c r="F6" s="2425"/>
      <c r="G6" s="2425"/>
      <c r="H6" s="2425"/>
      <c r="I6" s="1829"/>
    </row>
    <row r="7" spans="1:12" ht="12.75">
      <c r="A7" s="3129"/>
      <c r="B7" s="3067"/>
      <c r="C7" s="3134"/>
      <c r="D7" s="3152"/>
      <c r="E7" s="139" t="s">
        <v>2115</v>
      </c>
      <c r="F7" s="2425"/>
      <c r="G7" s="2425"/>
      <c r="H7" s="2425"/>
      <c r="I7" s="1829"/>
    </row>
    <row r="8" spans="1:12" ht="12.75">
      <c r="A8" s="3129" t="s">
        <v>2116</v>
      </c>
      <c r="B8" s="3067">
        <v>15</v>
      </c>
      <c r="C8" s="3132"/>
      <c r="D8" s="3152"/>
      <c r="E8" s="139" t="s">
        <v>2117</v>
      </c>
      <c r="F8" s="2425"/>
      <c r="G8" s="2425"/>
      <c r="H8" s="2425"/>
      <c r="I8" s="1829"/>
    </row>
    <row r="9" spans="1:12" ht="12.75">
      <c r="A9" s="3129"/>
      <c r="B9" s="3067"/>
      <c r="C9" s="3134"/>
      <c r="D9" s="3152"/>
      <c r="E9" s="139" t="s">
        <v>2118</v>
      </c>
      <c r="F9" s="2425"/>
      <c r="G9" s="2425"/>
      <c r="H9" s="2425"/>
      <c r="I9" s="1829"/>
    </row>
    <row r="10" spans="1:12" ht="12.75">
      <c r="A10" s="3129" t="s">
        <v>2119</v>
      </c>
      <c r="B10" s="3067">
        <v>15</v>
      </c>
      <c r="C10" s="3132"/>
      <c r="D10" s="3152"/>
      <c r="E10" s="139" t="s">
        <v>2120</v>
      </c>
      <c r="F10" s="2425"/>
      <c r="G10" s="2425"/>
      <c r="H10" s="2425"/>
      <c r="I10" s="1829"/>
    </row>
    <row r="11" spans="1:12" ht="12.75">
      <c r="A11" s="3129"/>
      <c r="B11" s="3067"/>
      <c r="C11" s="3134"/>
      <c r="D11" s="3152"/>
      <c r="E11" s="139" t="s">
        <v>2121</v>
      </c>
      <c r="F11" s="2425"/>
      <c r="G11" s="2425"/>
      <c r="H11" s="2425"/>
      <c r="I11" s="1829"/>
    </row>
    <row r="12" spans="1:12" ht="12.75">
      <c r="A12" s="3129" t="s">
        <v>2122</v>
      </c>
      <c r="B12" s="3067">
        <v>15</v>
      </c>
      <c r="C12" s="3132"/>
      <c r="D12" s="3152"/>
      <c r="E12" s="139" t="s">
        <v>2123</v>
      </c>
      <c r="F12" s="2425"/>
      <c r="G12" s="2425"/>
      <c r="H12" s="2425"/>
      <c r="I12" s="1829"/>
    </row>
    <row r="13" spans="1:12" ht="12.75">
      <c r="A13" s="3129"/>
      <c r="B13" s="3067"/>
      <c r="C13" s="3134"/>
      <c r="D13" s="3152"/>
      <c r="E13" s="139" t="s">
        <v>2124</v>
      </c>
      <c r="F13" s="2425"/>
      <c r="G13" s="2425"/>
      <c r="H13" s="2425"/>
      <c r="I13" s="1829"/>
    </row>
    <row r="14" spans="1:12" ht="12.75">
      <c r="A14" s="3129" t="s">
        <v>2125</v>
      </c>
      <c r="B14" s="3067">
        <v>30</v>
      </c>
      <c r="C14" s="3132">
        <v>5</v>
      </c>
      <c r="D14" s="3152">
        <v>5</v>
      </c>
      <c r="E14" s="139" t="s">
        <v>2126</v>
      </c>
      <c r="F14" s="2425"/>
      <c r="G14" s="2425"/>
      <c r="H14" s="2425"/>
      <c r="I14" s="1829"/>
    </row>
    <row r="15" spans="1:12" ht="12.75">
      <c r="A15" s="3129"/>
      <c r="B15" s="3067"/>
      <c r="C15" s="3133"/>
      <c r="D15" s="3152"/>
      <c r="E15" s="139" t="s">
        <v>2127</v>
      </c>
      <c r="F15" s="2425"/>
      <c r="G15" s="2425"/>
      <c r="H15" s="2425"/>
      <c r="I15" s="1829"/>
    </row>
    <row r="16" spans="1:12" ht="12.75">
      <c r="A16" s="3129"/>
      <c r="B16" s="3067"/>
      <c r="C16" s="3134"/>
      <c r="D16" s="3152"/>
      <c r="E16" s="139" t="s">
        <v>2128</v>
      </c>
      <c r="F16" s="2425"/>
      <c r="G16" s="2425"/>
      <c r="H16" s="2425"/>
      <c r="I16" s="1829"/>
    </row>
    <row r="17" spans="1:35" ht="15">
      <c r="A17" s="2426" t="s">
        <v>2129</v>
      </c>
      <c r="B17" s="63"/>
      <c r="C17" s="140">
        <f>SUM(C5:C16)</f>
        <v>5</v>
      </c>
      <c r="D17" s="140">
        <f>SUM(D5:D16)</f>
        <v>5</v>
      </c>
      <c r="E17" s="137"/>
      <c r="F17" s="137"/>
      <c r="G17" s="137"/>
      <c r="H17" s="137"/>
      <c r="I17" s="137"/>
      <c r="K17" s="2424"/>
      <c r="L17" s="2427" t="s">
        <v>2130</v>
      </c>
      <c r="M17" s="2427" t="s">
        <v>2131</v>
      </c>
    </row>
    <row r="18" spans="1:35" ht="15.75" thickBot="1">
      <c r="A18" s="2428" t="s">
        <v>2132</v>
      </c>
      <c r="B18" s="2429"/>
      <c r="C18" s="141">
        <f>ROUND(C17/SUM(C17:D17),2)</f>
        <v>0.5</v>
      </c>
      <c r="D18" s="141">
        <f>1-C18</f>
        <v>0.5</v>
      </c>
      <c r="E18" s="137"/>
      <c r="F18" s="137"/>
      <c r="G18" s="137"/>
      <c r="H18" s="137"/>
      <c r="I18" s="137"/>
      <c r="K18" s="2424" t="s">
        <v>2133</v>
      </c>
      <c r="L18" s="2424">
        <f>IF(C1="",'数据-汇总表'!E3,SUMIF(项目类型,C1,'数据-汇总表'!E17:E26)+SUMIF(项目类型,C1,'数据-汇总表'!I17:I26))</f>
        <v>109.98</v>
      </c>
      <c r="M18" s="2424">
        <f>IF(C1="",'数据-汇总表'!E3,SUMIF(项目类型,C1,'数据-汇总表'!E17:E26))</f>
        <v>109.98</v>
      </c>
    </row>
    <row r="19" spans="1:35" ht="15">
      <c r="A19" s="2430" t="s">
        <v>2134</v>
      </c>
      <c r="B19" s="2431" t="s">
        <v>2135</v>
      </c>
      <c r="C19" s="142">
        <f ca="1">SUMIF(INDIRECT("'"&amp;C4&amp;"'"&amp;"!A:A"),'结果表-办公'!B19,INDIRECT("'"&amp;C4&amp;"'"&amp;"!B:B"))</f>
        <v>448</v>
      </c>
      <c r="D19" s="143">
        <f ca="1">SUMIF(INDIRECT("'"&amp;D4&amp;"'"&amp;"!A:A"),'结果表-办公'!B19,INDIRECT("'"&amp;D4&amp;"'"&amp;"!B:B"))</f>
        <v>445</v>
      </c>
      <c r="E19" s="2430" t="s">
        <v>2136</v>
      </c>
      <c r="F19" s="2431" t="s">
        <v>2135</v>
      </c>
      <c r="G19" s="144">
        <f ca="1">ROUND(C19*$C$18+D19*$D$18,0)</f>
        <v>447</v>
      </c>
      <c r="H19" s="2432" t="s">
        <v>2137</v>
      </c>
      <c r="I19" s="137"/>
      <c r="K19" s="2424" t="s">
        <v>2138</v>
      </c>
      <c r="L19" s="2424">
        <f>IF(C1="",'数据-汇总表'!D3,SUMIF(项目类型,C1,'数据-汇总表'!D17:D26)+SUMIF(项目类型,C1,'数据-汇总表'!H17:H27))</f>
        <v>30.34</v>
      </c>
      <c r="M19" s="2424">
        <f>IF(C1="",'数据-汇总表'!D3,SUMIF(项目类型,C1,'数据-汇总表'!D17:D26))</f>
        <v>30.34</v>
      </c>
    </row>
    <row r="20" spans="1:35" ht="15">
      <c r="A20" s="2433"/>
      <c r="B20" s="1245" t="s">
        <v>2139</v>
      </c>
      <c r="C20" s="145">
        <f ca="1">SUMIF(INDIRECT("'"&amp;C4&amp;"'"&amp;"!A:A"),'结果表-办公'!B20,INDIRECT("'"&amp;C4&amp;"'"&amp;"!B:B"))</f>
        <v>40692</v>
      </c>
      <c r="D20" s="146">
        <f ca="1">SUMIF(INDIRECT("'"&amp;D4&amp;"'"&amp;"!A:A"),'结果表-办公'!B20,INDIRECT("'"&amp;D4&amp;"'"&amp;"!B:B"))</f>
        <v>40492</v>
      </c>
      <c r="E20" s="2433"/>
      <c r="F20" s="1245" t="s">
        <v>2139</v>
      </c>
      <c r="G20" s="147">
        <f ca="1">ROUND(C20*$C$18+D20*$D$18,0)</f>
        <v>40592</v>
      </c>
      <c r="H20" s="978" t="s">
        <v>2140</v>
      </c>
      <c r="I20" s="137"/>
    </row>
    <row r="21" spans="1:35" ht="15" customHeight="1" thickBot="1">
      <c r="A21" s="998"/>
      <c r="B21" s="2434" t="s">
        <v>2141</v>
      </c>
      <c r="C21" s="787">
        <f ca="1">ROUND(C19*10000/L19,0)</f>
        <v>147660</v>
      </c>
      <c r="D21" s="788">
        <f ca="1">ROUND(D19*10000/L19,0)</f>
        <v>146671</v>
      </c>
      <c r="E21" s="998"/>
      <c r="F21" s="2434" t="s">
        <v>2141</v>
      </c>
      <c r="G21" s="148">
        <f ca="1">ROUND(G19*10000/L19,0)</f>
        <v>147330</v>
      </c>
      <c r="H21" s="2435" t="s">
        <v>2140</v>
      </c>
      <c r="I21" s="137"/>
    </row>
    <row r="22" spans="1:35" ht="15" thickBot="1">
      <c r="A22" s="2278" t="s">
        <v>2142</v>
      </c>
      <c r="B22" s="2436"/>
      <c r="C22" s="2437"/>
      <c r="D22" s="789">
        <f ca="1">IF(C19&lt;D19,D19/C19-1,C19/D19-1)</f>
        <v>6.741573033707926E-3</v>
      </c>
      <c r="E22" s="137"/>
      <c r="F22" s="137"/>
      <c r="G22" s="137"/>
      <c r="H22" s="137"/>
      <c r="I22" s="137"/>
    </row>
    <row r="23" spans="1:35" ht="13.5" thickBot="1">
      <c r="A23" s="2414"/>
      <c r="B23" s="2414"/>
      <c r="C23" s="2414"/>
      <c r="D23" s="2414"/>
      <c r="E23" s="137"/>
      <c r="F23" s="137"/>
      <c r="G23" s="137"/>
      <c r="H23" s="137"/>
      <c r="I23" s="137"/>
    </row>
    <row r="24" spans="1:35" ht="14.25">
      <c r="A24" s="3123" t="s">
        <v>2143</v>
      </c>
      <c r="B24" s="2431" t="s">
        <v>2135</v>
      </c>
      <c r="C24" s="144">
        <f>IF(B30=0,0,D30)</f>
        <v>0</v>
      </c>
      <c r="D24" s="2438"/>
      <c r="E24" s="137"/>
      <c r="F24" s="137"/>
      <c r="G24" s="137"/>
      <c r="H24" s="137"/>
      <c r="I24" s="137"/>
    </row>
    <row r="25" spans="1:35" ht="14.25">
      <c r="A25" s="3124"/>
      <c r="B25" s="1245" t="s">
        <v>2139</v>
      </c>
      <c r="C25" s="149">
        <f>IF(B30=0,0,C30)</f>
        <v>0</v>
      </c>
      <c r="D25" s="2439"/>
      <c r="E25" s="137"/>
      <c r="F25" s="137"/>
      <c r="G25" s="137"/>
      <c r="H25" s="137"/>
      <c r="I25" s="137"/>
    </row>
    <row r="26" spans="1:35" ht="13.5" customHeight="1">
      <c r="A26" s="2440" t="s">
        <v>2144</v>
      </c>
      <c r="B26" s="150" t="s">
        <v>2145</v>
      </c>
      <c r="C26" s="150" t="s">
        <v>2146</v>
      </c>
      <c r="D26" s="151" t="s">
        <v>2147</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2148</v>
      </c>
      <c r="B30" s="150"/>
      <c r="C30" s="150"/>
      <c r="D30" s="150"/>
      <c r="E30" s="2911" t="s">
        <v>3021</v>
      </c>
      <c r="F30" s="137"/>
      <c r="G30" s="137"/>
      <c r="H30" s="137"/>
      <c r="I30" s="137"/>
    </row>
    <row r="31" spans="1:35" s="2442" customFormat="1" ht="15" thickBot="1">
      <c r="A31" s="2441"/>
      <c r="B31" s="2441"/>
      <c r="C31" s="2441"/>
      <c r="D31" s="2441"/>
      <c r="E31" s="137"/>
      <c r="F31" s="137"/>
      <c r="G31" s="137"/>
      <c r="H31" s="137"/>
      <c r="I31" s="137"/>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2149</v>
      </c>
      <c r="B32" s="2444"/>
      <c r="C32" s="152">
        <f ca="1">IF(D32="总价",G19-C24,G20-C25)</f>
        <v>40592</v>
      </c>
      <c r="D32" s="2445" t="s">
        <v>3097</v>
      </c>
      <c r="E32" s="137"/>
      <c r="F32" s="137"/>
      <c r="G32" s="137"/>
      <c r="H32" s="137"/>
      <c r="I32" s="137"/>
    </row>
    <row r="33" spans="1:15" ht="15">
      <c r="A33" s="955" t="s">
        <v>2151</v>
      </c>
      <c r="B33" s="2446"/>
      <c r="C33" s="2447"/>
      <c r="D33" s="2448"/>
      <c r="E33" s="2449" t="s">
        <v>2152</v>
      </c>
      <c r="F33" s="2947" t="str">
        <f>IF(D32="楼面单价","取值（单价）","取值（总价）")</f>
        <v>取值（单价）</v>
      </c>
      <c r="G33" s="137"/>
      <c r="H33" s="137"/>
      <c r="I33" s="137"/>
    </row>
    <row r="34" spans="1:15" ht="15">
      <c r="A34" s="2451"/>
      <c r="B34" s="2452" t="s">
        <v>2153</v>
      </c>
      <c r="C34" s="156" t="e">
        <f ca="1">IF(C33="自定义",F34,C32-C35)</f>
        <v>#REF!</v>
      </c>
      <c r="D34" s="1053" t="e">
        <f ca="1">IF(C33="自定义",ROUND(C34/C32,3),IF(C33="收益比率",SUMIF(INDIRECT("'"&amp;D33&amp;"'"&amp;"!b:b"),"土地收益比率",INDIRECT("'"&amp;D33&amp;"'"&amp;"!c:c")),SUMIF(INDIRECT("'"&amp;D33&amp;"'"&amp;"!b:b"),"土地成本比率",INDIRECT("'"&amp;D33&amp;"'"&amp;"!c:c"))))</f>
        <v>#REF!</v>
      </c>
      <c r="E34" s="2453" t="s">
        <v>2154</v>
      </c>
      <c r="F34" s="1734"/>
      <c r="G34" s="137"/>
      <c r="H34" s="137"/>
      <c r="I34" s="137"/>
    </row>
    <row r="35" spans="1:15" ht="15.75" thickBot="1">
      <c r="A35" s="2454"/>
      <c r="B35" s="2455" t="s">
        <v>2155</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2156</v>
      </c>
      <c r="F35" s="162"/>
      <c r="G35" s="137"/>
      <c r="H35" s="137"/>
      <c r="I35" s="137"/>
    </row>
    <row r="36" spans="1:15" ht="15.75" thickBot="1">
      <c r="A36" s="3141" t="s">
        <v>2157</v>
      </c>
      <c r="B36" s="2457" t="s">
        <v>2158</v>
      </c>
      <c r="C36" s="153"/>
      <c r="D36" s="2458"/>
      <c r="E36" s="2459"/>
      <c r="F36" s="2460"/>
      <c r="G36" s="137"/>
      <c r="H36" s="137"/>
      <c r="I36" s="137"/>
    </row>
    <row r="37" spans="1:15" ht="15.75" thickBot="1">
      <c r="A37" s="3142"/>
      <c r="B37" s="2264" t="s">
        <v>2159</v>
      </c>
      <c r="C37" s="155"/>
      <c r="D37" s="1390"/>
      <c r="E37" s="1390"/>
      <c r="F37" s="2460"/>
      <c r="G37" s="137"/>
      <c r="H37" s="137"/>
      <c r="I37" s="137"/>
    </row>
    <row r="38" spans="1:15" ht="15.75" thickBot="1">
      <c r="A38" s="3143"/>
      <c r="B38" s="2461" t="s">
        <v>2160</v>
      </c>
      <c r="C38" s="725"/>
      <c r="D38" s="2462" t="s">
        <v>2161</v>
      </c>
      <c r="E38" s="1390"/>
      <c r="F38" s="2460"/>
      <c r="G38" s="137"/>
      <c r="H38" s="137"/>
      <c r="I38" s="137"/>
    </row>
    <row r="39" spans="1:15" ht="15">
      <c r="A39" s="2433" t="s">
        <v>2162</v>
      </c>
      <c r="B39" s="2463" t="s">
        <v>2163</v>
      </c>
      <c r="C39" s="2464" t="s">
        <v>2164</v>
      </c>
      <c r="D39" s="2464" t="s">
        <v>2165</v>
      </c>
      <c r="E39" s="2465" t="s">
        <v>2166</v>
      </c>
      <c r="F39" s="2460"/>
      <c r="G39" s="137"/>
      <c r="H39" s="137"/>
      <c r="I39" s="137"/>
    </row>
    <row r="40" spans="1:15" ht="14.25">
      <c r="A40" s="2466" t="s">
        <v>2167</v>
      </c>
      <c r="B40" s="157"/>
      <c r="C40" s="158"/>
      <c r="D40" s="158"/>
      <c r="E40" s="159"/>
      <c r="F40" s="2460"/>
      <c r="G40" s="137"/>
      <c r="H40" s="137"/>
      <c r="I40" s="137"/>
    </row>
    <row r="41" spans="1:15" ht="14.25">
      <c r="A41" s="2466" t="s">
        <v>2168</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2"/>
      <c r="B43" s="2162"/>
      <c r="C43" s="2162"/>
      <c r="D43" s="2162"/>
      <c r="E43" s="2162"/>
      <c r="F43" s="2468"/>
      <c r="G43" s="2468"/>
      <c r="H43" s="2468"/>
      <c r="I43" s="2469"/>
    </row>
    <row r="44" spans="1:15" ht="18.75">
      <c r="A44" s="2470" t="s">
        <v>2169</v>
      </c>
      <c r="B44" s="2471"/>
      <c r="C44" s="2471"/>
      <c r="D44" s="2472"/>
      <c r="E44" s="2472"/>
      <c r="F44" s="2473"/>
      <c r="G44" s="2473"/>
      <c r="H44" s="2473"/>
      <c r="I44" s="2473"/>
      <c r="J44" s="2474" t="s">
        <v>2170</v>
      </c>
      <c r="K44" s="2475"/>
      <c r="L44" s="2475"/>
      <c r="M44" s="2475"/>
      <c r="N44" s="2475"/>
      <c r="O44" s="2475"/>
    </row>
    <row r="45" spans="1:15" ht="14.25" customHeight="1" thickBot="1">
      <c r="A45" s="3120" t="s">
        <v>2171</v>
      </c>
      <c r="B45" s="3121"/>
      <c r="C45" s="3122"/>
      <c r="D45" s="163">
        <f ca="1">ROUND(H101*F45,0)</f>
        <v>446</v>
      </c>
      <c r="E45" s="164" t="s">
        <v>2172</v>
      </c>
      <c r="F45" s="165">
        <v>1</v>
      </c>
      <c r="G45" s="166" t="s">
        <v>2173</v>
      </c>
      <c r="H45" s="137"/>
      <c r="I45" s="137"/>
      <c r="J45" s="3180" t="s">
        <v>2174</v>
      </c>
      <c r="K45" s="3180"/>
      <c r="L45" s="3180"/>
      <c r="M45" s="3180"/>
      <c r="N45" s="3180"/>
      <c r="O45" s="3180"/>
    </row>
    <row r="46" spans="1:15" ht="14.25" customHeight="1">
      <c r="A46" s="3117" t="s">
        <v>2175</v>
      </c>
      <c r="B46" s="3118"/>
      <c r="C46" s="3118"/>
      <c r="D46" s="3118"/>
      <c r="E46" s="3118"/>
      <c r="F46" s="3118"/>
      <c r="G46" s="3119"/>
      <c r="H46" s="2476"/>
      <c r="I46" s="167"/>
      <c r="J46" s="2959">
        <v>1</v>
      </c>
      <c r="K46" s="3180" t="s">
        <v>2176</v>
      </c>
      <c r="L46" s="3180"/>
      <c r="M46" s="3200"/>
      <c r="N46" s="3200"/>
      <c r="O46" s="3200"/>
    </row>
    <row r="47" spans="1:15" ht="12" customHeight="1">
      <c r="A47" s="168" t="s">
        <v>2177</v>
      </c>
      <c r="B47" s="169"/>
      <c r="C47" s="170"/>
      <c r="D47" s="171" t="s">
        <v>2178</v>
      </c>
      <c r="E47" s="23" t="s">
        <v>2179</v>
      </c>
      <c r="F47" s="172" t="s">
        <v>2180</v>
      </c>
      <c r="G47" s="173" t="s">
        <v>2181</v>
      </c>
      <c r="H47" s="2476"/>
      <c r="I47" s="167"/>
      <c r="J47" s="2959">
        <v>2</v>
      </c>
      <c r="K47" s="3180" t="s">
        <v>2182</v>
      </c>
      <c r="L47" s="3180"/>
      <c r="M47" s="3201">
        <f>'数据-取费表'!B2</f>
        <v>43658</v>
      </c>
      <c r="N47" s="3201"/>
      <c r="O47" s="3201"/>
    </row>
    <row r="48" spans="1:15" ht="25.5">
      <c r="A48" s="3148" t="s">
        <v>2183</v>
      </c>
      <c r="B48" s="3131"/>
      <c r="C48" s="3131"/>
      <c r="D48" s="139">
        <f>IF(H48="情况1",0,IF(H48="情况2",D52,IF(H48="情况3",D53,IF(H48="情况4",D54))))</f>
        <v>0</v>
      </c>
      <c r="E48" s="2951" t="str">
        <f>IF(H48="情况4","(销售额-原购置价)×税（费）率","销售额×税（费）率")</f>
        <v>销售额×税（费）率</v>
      </c>
      <c r="F48" s="174" t="str">
        <f>IF(H48="情况1","免征",'数据-取费表'!B41)</f>
        <v>免征</v>
      </c>
      <c r="G48" s="2477" t="s">
        <v>2184</v>
      </c>
      <c r="H48" s="2478" t="s">
        <v>2185</v>
      </c>
      <c r="I48" s="2476"/>
      <c r="J48" s="2959">
        <v>3</v>
      </c>
      <c r="K48" s="3180" t="s">
        <v>2186</v>
      </c>
      <c r="L48" s="3180"/>
      <c r="M48" s="3202">
        <f ca="1">H101</f>
        <v>446</v>
      </c>
      <c r="N48" s="3202"/>
      <c r="O48" s="3202"/>
    </row>
    <row r="49" spans="1:35" ht="25.5" customHeight="1">
      <c r="A49" s="175" t="s">
        <v>2187</v>
      </c>
      <c r="B49" s="3116" t="s">
        <v>2188</v>
      </c>
      <c r="C49" s="3116"/>
      <c r="D49" s="176">
        <v>0</v>
      </c>
      <c r="E49" s="22" t="s">
        <v>2189</v>
      </c>
      <c r="F49" s="27" t="s">
        <v>34</v>
      </c>
      <c r="G49" s="3186"/>
      <c r="H49" s="137"/>
      <c r="I49" s="2479"/>
      <c r="J49" s="2959">
        <v>4</v>
      </c>
      <c r="K49" s="3180" t="str">
        <f>IF(项目基本情况!E8="房地产抵押价值","房地产抵押价值","抵押担保权已注销时的房地产抵押价值")</f>
        <v>抵押担保权已注销时的房地产抵押价值</v>
      </c>
      <c r="L49" s="3180"/>
      <c r="M49" s="3202" t="str">
        <f>IF(项目基本情况!E8="房地产抵押价值",H107,H109)</f>
        <v>——</v>
      </c>
      <c r="N49" s="3202"/>
      <c r="O49" s="3202"/>
    </row>
    <row r="50" spans="1:35" ht="25.5" customHeight="1">
      <c r="A50" s="177"/>
      <c r="B50" s="3116" t="s">
        <v>2190</v>
      </c>
      <c r="C50" s="3116"/>
      <c r="D50" s="178"/>
      <c r="E50" s="30"/>
      <c r="F50" s="179"/>
      <c r="G50" s="3187"/>
      <c r="H50" s="137"/>
      <c r="I50" s="2479"/>
      <c r="J50" s="3180" t="s">
        <v>2191</v>
      </c>
      <c r="K50" s="3180"/>
      <c r="L50" s="3180"/>
      <c r="M50" s="3180"/>
      <c r="N50" s="3180"/>
      <c r="O50" s="3180"/>
    </row>
    <row r="51" spans="1:35" ht="12" customHeight="1">
      <c r="A51" s="180"/>
      <c r="B51" s="3116" t="s">
        <v>2192</v>
      </c>
      <c r="C51" s="3116"/>
      <c r="D51" s="181"/>
      <c r="E51" s="29"/>
      <c r="F51" s="179"/>
      <c r="G51" s="3188"/>
      <c r="H51" s="137"/>
      <c r="I51" s="2479"/>
      <c r="J51" s="2958" t="s">
        <v>2193</v>
      </c>
      <c r="K51" s="3180" t="s">
        <v>2194</v>
      </c>
      <c r="L51" s="3180"/>
      <c r="M51" s="2958" t="s">
        <v>2195</v>
      </c>
      <c r="N51" s="2958" t="s">
        <v>2196</v>
      </c>
      <c r="O51" s="2958" t="s">
        <v>2197</v>
      </c>
    </row>
    <row r="52" spans="1:35" ht="24" customHeight="1">
      <c r="A52" s="182" t="s">
        <v>2198</v>
      </c>
      <c r="B52" s="3116" t="s">
        <v>2199</v>
      </c>
      <c r="C52" s="3116"/>
      <c r="D52" s="181">
        <f ca="1">ROUND(D45*'数据-取费表'!B41/(1+'数据-取费表'!C42),0)</f>
        <v>24</v>
      </c>
      <c r="E52" s="11" t="s">
        <v>2200</v>
      </c>
      <c r="F52" s="183">
        <f>'数据-取费表'!B41</f>
        <v>5.6000000000000001E-2</v>
      </c>
      <c r="G52" s="2481"/>
      <c r="H52" s="137"/>
      <c r="I52" s="2479"/>
      <c r="J52" s="2959">
        <v>1</v>
      </c>
      <c r="K52" s="3181" t="s">
        <v>2201</v>
      </c>
      <c r="L52" s="3181"/>
      <c r="M52" s="1749">
        <f>D48</f>
        <v>0</v>
      </c>
      <c r="N52" s="2959" t="str">
        <f>E48</f>
        <v>销售额×税（费）率</v>
      </c>
      <c r="O52" s="1750" t="str">
        <f>F48</f>
        <v>免征</v>
      </c>
    </row>
    <row r="53" spans="1:35" ht="12" customHeight="1">
      <c r="A53" s="182" t="s">
        <v>2202</v>
      </c>
      <c r="B53" s="3139" t="s">
        <v>2203</v>
      </c>
      <c r="C53" s="3140"/>
      <c r="D53" s="181">
        <f ca="1">ROUND(D45*'数据-取费表'!B41/(1+'数据-取费表'!C42),0)</f>
        <v>24</v>
      </c>
      <c r="E53" s="11" t="s">
        <v>2200</v>
      </c>
      <c r="F53" s="183">
        <f>'数据-取费表'!B41</f>
        <v>5.6000000000000001E-2</v>
      </c>
      <c r="G53" s="2481"/>
      <c r="H53" s="137"/>
      <c r="I53" s="2479"/>
      <c r="J53" s="2959">
        <v>2</v>
      </c>
      <c r="K53" s="3181" t="s">
        <v>2204</v>
      </c>
      <c r="L53" s="3181"/>
      <c r="M53" s="1749">
        <f t="shared" ref="M53:O54" ca="1" si="0">D55</f>
        <v>0</v>
      </c>
      <c r="N53" s="2959" t="str">
        <f t="shared" si="0"/>
        <v>销售额×税（费）率</v>
      </c>
      <c r="O53" s="1750">
        <f t="shared" si="0"/>
        <v>5.0000000000000001E-4</v>
      </c>
    </row>
    <row r="54" spans="1:35" ht="12" customHeight="1">
      <c r="A54" s="182" t="s">
        <v>2205</v>
      </c>
      <c r="B54" s="3139" t="s">
        <v>2206</v>
      </c>
      <c r="C54" s="3140"/>
      <c r="D54" s="181">
        <f ca="1">C68</f>
        <v>24</v>
      </c>
      <c r="E54" s="29" t="s">
        <v>2207</v>
      </c>
      <c r="F54" s="183">
        <f>'数据-取费表'!B41</f>
        <v>5.6000000000000001E-2</v>
      </c>
      <c r="G54" s="2481"/>
      <c r="H54" s="2482"/>
      <c r="I54" s="2479"/>
      <c r="J54" s="2959">
        <v>3</v>
      </c>
      <c r="K54" s="3181" t="s">
        <v>2208</v>
      </c>
      <c r="L54" s="3181"/>
      <c r="M54" s="1749">
        <f t="shared" ca="1" si="0"/>
        <v>252</v>
      </c>
      <c r="N54" s="2959" t="str">
        <f t="shared" si="0"/>
        <v>增值额×税（费）率</v>
      </c>
      <c r="O54" s="1751" t="str">
        <f t="shared" si="0"/>
        <v>——</v>
      </c>
    </row>
    <row r="55" spans="1:35" ht="24" customHeight="1">
      <c r="A55" s="3130" t="s">
        <v>2209</v>
      </c>
      <c r="B55" s="3131"/>
      <c r="C55" s="3131"/>
      <c r="D55" s="184">
        <f ca="1">IF(H55="个人住宅",0,ROUND(D45*I55,0))</f>
        <v>0</v>
      </c>
      <c r="E55" s="11" t="s">
        <v>2210</v>
      </c>
      <c r="F55" s="183">
        <f>IF(H55="正常",I55,"免征")</f>
        <v>5.0000000000000001E-4</v>
      </c>
      <c r="G55" s="2481"/>
      <c r="H55" s="2478" t="s">
        <v>2211</v>
      </c>
      <c r="I55" s="185">
        <f>'数据-取费表'!B49</f>
        <v>5.0000000000000001E-4</v>
      </c>
      <c r="J55" s="2959" t="str">
        <f>IF(H59="非个人房产","",4)</f>
        <v/>
      </c>
      <c r="K55" s="3181" t="str">
        <f>IF(H59="非个人房产","——","个人所得税")</f>
        <v>——</v>
      </c>
      <c r="L55" s="3181"/>
      <c r="M55" s="1752" t="str">
        <f>D59</f>
        <v>——</v>
      </c>
      <c r="N55" s="2960" t="str">
        <f>E59</f>
        <v>——</v>
      </c>
      <c r="O55" s="1753" t="str">
        <f>F59</f>
        <v>——</v>
      </c>
    </row>
    <row r="56" spans="1:35" ht="24.75">
      <c r="A56" s="3130" t="s">
        <v>2212</v>
      </c>
      <c r="B56" s="3131"/>
      <c r="C56" s="3131"/>
      <c r="D56" s="184">
        <f ca="1">IF(H56="个人住宅",D57,D58)</f>
        <v>252</v>
      </c>
      <c r="E56" s="11" t="s">
        <v>2213</v>
      </c>
      <c r="F56" s="183" t="str">
        <f>IF(H56="正常",F58,"免征")</f>
        <v>——</v>
      </c>
      <c r="G56" s="2483" t="s">
        <v>2214</v>
      </c>
      <c r="H56" s="2484" t="s">
        <v>2211</v>
      </c>
      <c r="I56" s="2485"/>
      <c r="J56" s="2959" t="str">
        <f>IF(项目基本情况!K6="上海银行",IF(J55="",4,J55+1),"")</f>
        <v/>
      </c>
      <c r="K56" s="3204" t="str">
        <f>IF(项目基本情况!K6="上海银行","其他处置费用","")</f>
        <v/>
      </c>
      <c r="L56" s="3205"/>
      <c r="M56" s="1749" t="str">
        <f>IF(项目基本情况!K6="上海银行",M69,"")</f>
        <v/>
      </c>
      <c r="N56" s="3207" t="str">
        <f>IF(项目基本情况!K6="上海银行","包含处置中涉及的律师、诉讼、拍卖、评估等费用","")</f>
        <v/>
      </c>
      <c r="O56" s="3208"/>
    </row>
    <row r="57" spans="1:35" ht="12.75">
      <c r="A57" s="182" t="s">
        <v>2187</v>
      </c>
      <c r="B57" s="3146" t="s">
        <v>2215</v>
      </c>
      <c r="C57" s="3155"/>
      <c r="D57" s="186">
        <v>0</v>
      </c>
      <c r="E57" s="22" t="s">
        <v>2189</v>
      </c>
      <c r="F57" s="154"/>
      <c r="G57" s="2481"/>
      <c r="H57" s="2485"/>
      <c r="I57" s="2485"/>
      <c r="J57" s="3181">
        <f>IF(AND(J55="",J56=""),4,IF(项目基本情况!K6="上海银行",'结果表-办公'!J56+1,'结果表-办公'!J55+1))</f>
        <v>4</v>
      </c>
      <c r="K57" s="3181" t="s">
        <v>2216</v>
      </c>
      <c r="L57" s="2486" t="s">
        <v>2217</v>
      </c>
      <c r="M57" s="1754"/>
      <c r="N57" s="1755">
        <f ca="1">SUMIF(M52:M56,"&lt;9e307")</f>
        <v>252</v>
      </c>
      <c r="O57" s="2487"/>
      <c r="P57" s="1748" t="e">
        <f ca="1">N57/M49</f>
        <v>#VALUE!</v>
      </c>
    </row>
    <row r="58" spans="1:35" ht="24.75">
      <c r="A58" s="182" t="s">
        <v>2198</v>
      </c>
      <c r="B58" s="3146" t="s">
        <v>2218</v>
      </c>
      <c r="C58" s="3147"/>
      <c r="D58" s="184">
        <f ca="1">IF(H58="转让取得",C81,C97)</f>
        <v>252</v>
      </c>
      <c r="E58" s="11" t="s">
        <v>2213</v>
      </c>
      <c r="F58" s="23" t="s">
        <v>34</v>
      </c>
      <c r="G58" s="2481"/>
      <c r="H58" s="2484" t="s">
        <v>2219</v>
      </c>
      <c r="I58" s="2485"/>
      <c r="J58" s="3181"/>
      <c r="K58" s="3181"/>
      <c r="L58" s="2486" t="s">
        <v>2220</v>
      </c>
      <c r="M58" s="1756"/>
      <c r="N58" s="2488" t="str">
        <f ca="1">NUMBERSTRING(INT(N57*10000),2)&amp;"元整"</f>
        <v>贰佰伍拾贰万元整</v>
      </c>
      <c r="O58" s="2489"/>
    </row>
    <row r="59" spans="1:35" ht="24.75" thickBot="1">
      <c r="A59" s="3184" t="s">
        <v>2221</v>
      </c>
      <c r="B59" s="3185"/>
      <c r="C59" s="3185"/>
      <c r="D59" s="187" t="str">
        <f>IF(H59="非个人房产","——",IF(H59="个人住宅",0,ROUND(D45*I59,0)))</f>
        <v>——</v>
      </c>
      <c r="E59" s="188" t="str">
        <f>IF(H59="非个人房产","——","销售额×税（费）率")</f>
        <v>——</v>
      </c>
      <c r="F59" s="189" t="str">
        <f>IF(H59="非个人房产","——",IF(H59="个人住宅","免征",I59))</f>
        <v>——</v>
      </c>
      <c r="G59" s="2490" t="s">
        <v>2214</v>
      </c>
      <c r="H59" s="2484" t="s">
        <v>2222</v>
      </c>
      <c r="I59" s="190">
        <v>0.01</v>
      </c>
      <c r="J59" s="3182">
        <f>J57+1</f>
        <v>5</v>
      </c>
      <c r="K59" s="3181" t="s">
        <v>2223</v>
      </c>
      <c r="L59" s="2959" t="s">
        <v>2217</v>
      </c>
      <c r="M59" s="1757"/>
      <c r="N59" s="1758" t="e">
        <f ca="1">M49-N57</f>
        <v>#VALUE!</v>
      </c>
      <c r="O59" s="2491"/>
    </row>
    <row r="60" spans="1:35" ht="12" customHeight="1">
      <c r="A60" s="2492"/>
      <c r="B60" s="2414"/>
      <c r="C60" s="2414"/>
      <c r="D60" s="2414"/>
      <c r="E60" s="2163"/>
      <c r="F60" s="2485"/>
      <c r="G60" s="2485"/>
      <c r="H60" s="2493"/>
      <c r="I60" s="137"/>
      <c r="J60" s="3183"/>
      <c r="K60" s="3181"/>
      <c r="L60" s="2486" t="s">
        <v>2220</v>
      </c>
      <c r="M60" s="1756"/>
      <c r="N60" s="2488" t="e">
        <f ca="1">NUMBERSTRING(INT(N59*10000),2)&amp;"元整"</f>
        <v>#VALUE!</v>
      </c>
      <c r="O60" s="2489"/>
    </row>
    <row r="61" spans="1:35" ht="13.5" thickBot="1">
      <c r="A61" s="3128" t="s">
        <v>2224</v>
      </c>
      <c r="B61" s="3128"/>
      <c r="C61" s="3128"/>
      <c r="D61" s="3128"/>
      <c r="E61" s="3128"/>
      <c r="F61" s="2485"/>
      <c r="G61" s="2485"/>
      <c r="H61" s="2493"/>
      <c r="I61" s="137"/>
      <c r="J61" s="2959">
        <f>J59+1</f>
        <v>6</v>
      </c>
      <c r="K61" s="3181" t="s">
        <v>2225</v>
      </c>
      <c r="L61" s="3181"/>
      <c r="M61" s="1759"/>
      <c r="N61" s="1760" t="e">
        <f ca="1">ROUND(N59*10000/'数据-汇总表'!E3,0)</f>
        <v>#VALUE!</v>
      </c>
      <c r="O61" s="2494"/>
    </row>
    <row r="62" spans="1:35" ht="12.75">
      <c r="A62" s="3144" t="s">
        <v>2226</v>
      </c>
      <c r="B62" s="3145"/>
      <c r="C62" s="2954"/>
      <c r="D62" s="2954" t="s">
        <v>2227</v>
      </c>
      <c r="E62" s="191" t="s">
        <v>2228</v>
      </c>
      <c r="F62" s="2485"/>
      <c r="G62" s="2485"/>
      <c r="H62" s="2493"/>
      <c r="I62" s="137"/>
    </row>
    <row r="63" spans="1:35" ht="12.75">
      <c r="A63" s="202" t="s">
        <v>775</v>
      </c>
      <c r="B63" s="192" t="s">
        <v>2229</v>
      </c>
      <c r="C63" s="193">
        <f ca="1">ROUND((C64+C65)/(1+'数据-取费表'!C42),0)</f>
        <v>425</v>
      </c>
      <c r="D63" s="194"/>
      <c r="E63" s="195"/>
      <c r="F63" s="2485"/>
      <c r="G63" s="2485"/>
      <c r="H63" s="2493"/>
      <c r="I63" s="137"/>
      <c r="J63" s="3206" t="s">
        <v>2230</v>
      </c>
      <c r="K63" s="2963" t="s">
        <v>2231</v>
      </c>
      <c r="L63" s="1747" t="e">
        <f>IF(M49&gt;10000,M49*0.5%,IF(AND(M49&gt;1000,M49&lt;=10000),M49*1%,IF(AND(M49&gt;100,M49&lt;=1000),M49*3%,IF(AND(M49&gt;10,M49&lt;=100),M49*5%,M49*8%))))</f>
        <v>#VALUE!</v>
      </c>
      <c r="M63" s="23" t="e">
        <f>ROUND(L63,1)</f>
        <v>#VALUE!</v>
      </c>
      <c r="Z63" s="2419"/>
      <c r="AI63" s="2420"/>
    </row>
    <row r="64" spans="1:35" ht="14.25" customHeight="1">
      <c r="A64" s="196" t="s">
        <v>770</v>
      </c>
      <c r="B64" s="197" t="s">
        <v>2232</v>
      </c>
      <c r="C64" s="198">
        <f ca="1">D45</f>
        <v>446</v>
      </c>
      <c r="D64" s="199" t="s">
        <v>32</v>
      </c>
      <c r="E64" s="200"/>
      <c r="F64" s="2485"/>
      <c r="G64" s="2485"/>
      <c r="H64" s="2493"/>
      <c r="I64" s="137"/>
      <c r="J64" s="3206"/>
      <c r="K64" s="2963" t="s">
        <v>2233</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2234</v>
      </c>
      <c r="Z64" s="2419"/>
      <c r="AI64" s="2420"/>
    </row>
    <row r="65" spans="1:35" ht="14.25" customHeight="1">
      <c r="A65" s="196" t="s">
        <v>771</v>
      </c>
      <c r="B65" s="197" t="s">
        <v>2235</v>
      </c>
      <c r="C65" s="201"/>
      <c r="D65" s="199"/>
      <c r="E65" s="200"/>
      <c r="F65" s="2485"/>
      <c r="G65" s="2485"/>
      <c r="H65" s="2493"/>
      <c r="I65" s="137"/>
      <c r="J65" s="3206"/>
      <c r="K65" s="2963" t="s">
        <v>2236</v>
      </c>
      <c r="L65" s="1747" t="e">
        <f>IF(M49&gt;1000,M49*0.1%,IF(AND(M49&gt;500,M49&lt;=1000),M49*0.5%,IF(AND(M49&gt;50,M49&lt;=500),M49*1%,IF(AND(M49&gt;1,M49&lt;=50),M49*1.5%))))</f>
        <v>#VALUE!</v>
      </c>
      <c r="M65" s="23" t="e">
        <f t="shared" si="1"/>
        <v>#VALUE!</v>
      </c>
      <c r="N65" s="137" t="s">
        <v>2234</v>
      </c>
      <c r="Z65" s="2419"/>
      <c r="AI65" s="2420"/>
    </row>
    <row r="66" spans="1:35" ht="14.25" customHeight="1">
      <c r="A66" s="202" t="s">
        <v>772</v>
      </c>
      <c r="B66" s="203" t="s">
        <v>2237</v>
      </c>
      <c r="C66" s="204"/>
      <c r="D66" s="205" t="s">
        <v>32</v>
      </c>
      <c r="E66" s="1771" t="s">
        <v>1367</v>
      </c>
      <c r="F66" s="2485"/>
      <c r="G66" s="2485"/>
      <c r="H66" s="2493"/>
      <c r="I66" s="137"/>
      <c r="J66" s="3206"/>
      <c r="K66" s="2963" t="s">
        <v>2238</v>
      </c>
      <c r="L66" s="1747" t="e">
        <f>M49*0.5%</f>
        <v>#VALUE!</v>
      </c>
      <c r="M66" s="23" t="e">
        <f>IF(L66&gt;0.5,0.5,ROUND(L66,0))</f>
        <v>#VALUE!</v>
      </c>
      <c r="N66" s="137" t="s">
        <v>2239</v>
      </c>
      <c r="Z66" s="2419"/>
      <c r="AI66" s="2420"/>
    </row>
    <row r="67" spans="1:35" ht="14.25" customHeight="1">
      <c r="A67" s="202" t="s">
        <v>773</v>
      </c>
      <c r="B67" s="203" t="s">
        <v>2240</v>
      </c>
      <c r="C67" s="206">
        <f ca="1">C63-C66</f>
        <v>425</v>
      </c>
      <c r="D67" s="199" t="s">
        <v>32</v>
      </c>
      <c r="E67" s="200"/>
      <c r="F67" s="2485"/>
      <c r="G67" s="2485"/>
      <c r="H67" s="2493"/>
      <c r="I67" s="137"/>
      <c r="J67" s="3206"/>
      <c r="K67" s="2963" t="s">
        <v>2241</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19"/>
      <c r="AI67" s="2420"/>
    </row>
    <row r="68" spans="1:35" ht="14.25" customHeight="1" thickBot="1">
      <c r="A68" s="207" t="s">
        <v>774</v>
      </c>
      <c r="B68" s="208" t="s">
        <v>2242</v>
      </c>
      <c r="C68" s="209">
        <f ca="1">IF(C67&lt;=0,0,ROUND(C67*D68,0))</f>
        <v>24</v>
      </c>
      <c r="D68" s="210">
        <f>'数据-取费表'!B41</f>
        <v>5.6000000000000001E-2</v>
      </c>
      <c r="E68" s="211"/>
      <c r="F68" s="2485"/>
      <c r="G68" s="2485"/>
      <c r="H68" s="2493"/>
      <c r="I68" s="137"/>
      <c r="J68" s="3206"/>
      <c r="K68" s="2963" t="s">
        <v>2243</v>
      </c>
      <c r="L68" s="1747" t="e">
        <f>IF(M49&gt;10000,M49*0.5%,IF(AND(M49&gt;5000,M49&lt;=10000),M49*1%,IF(AND(M49&gt;1000,M49&lt;=5000),M49*2%,IF(AND(M49&gt;200,M49&lt;=1000),M49*3%,M49*5%))))</f>
        <v>#VALUE!</v>
      </c>
      <c r="M68" s="23" t="e">
        <f>ROUND(L68,1)</f>
        <v>#VALUE!</v>
      </c>
      <c r="Z68" s="2419"/>
      <c r="AI68" s="2420"/>
    </row>
    <row r="69" spans="1:35" s="2442" customFormat="1" ht="16.5" customHeight="1">
      <c r="A69" s="2496"/>
      <c r="B69" s="2497"/>
      <c r="C69" s="2498"/>
      <c r="D69" s="2499"/>
      <c r="E69" s="2500"/>
      <c r="F69" s="2163"/>
      <c r="G69" s="2163"/>
      <c r="H69" s="2162"/>
      <c r="I69" s="2414"/>
      <c r="J69" s="3206"/>
      <c r="K69" s="2963" t="s">
        <v>2244</v>
      </c>
      <c r="L69" s="2501"/>
      <c r="M69" s="23" t="e">
        <f>ROUND(SUM(M63:M68),0)</f>
        <v>#VALUE!</v>
      </c>
      <c r="N69" s="1748" t="e">
        <f>M69/M49</f>
        <v>#VALUE!</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165" t="s">
        <v>2245</v>
      </c>
      <c r="B70" s="3166"/>
      <c r="C70" s="3166"/>
      <c r="D70" s="3166"/>
      <c r="E70" s="3166"/>
      <c r="F70" s="3166"/>
      <c r="G70" s="3166"/>
      <c r="H70" s="316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44" t="s">
        <v>2226</v>
      </c>
      <c r="B71" s="3145"/>
      <c r="C71" s="2954"/>
      <c r="D71" s="2954" t="s">
        <v>2227</v>
      </c>
      <c r="E71" s="212" t="s">
        <v>2228</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2246</v>
      </c>
      <c r="C72" s="206">
        <f ca="1">ROUND(D45/(1+'数据-取费表'!C42),0)</f>
        <v>425</v>
      </c>
      <c r="D72" s="199" t="s">
        <v>32</v>
      </c>
      <c r="E72" s="2953"/>
      <c r="F72" s="2948"/>
      <c r="G72" s="2948"/>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2247</v>
      </c>
      <c r="C73" s="206">
        <f ca="1">C74+C78</f>
        <v>3</v>
      </c>
      <c r="D73" s="199" t="s">
        <v>32</v>
      </c>
      <c r="E73" s="2953"/>
      <c r="F73" s="2948"/>
      <c r="G73" s="2948"/>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2248</v>
      </c>
      <c r="C74" s="199">
        <f>ROUND(IF(G77="2016年5月1日后购买",C75/(1+'数据-取费表'!C42)+C76+C77,C75+C76+C77),0)</f>
        <v>0</v>
      </c>
      <c r="D74" s="199" t="s">
        <v>32</v>
      </c>
      <c r="E74" s="2953"/>
      <c r="F74" s="2948"/>
      <c r="G74" s="2948"/>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2249</v>
      </c>
      <c r="C75" s="217"/>
      <c r="D75" s="199" t="s">
        <v>32</v>
      </c>
      <c r="E75" s="218" t="s">
        <v>2250</v>
      </c>
      <c r="F75" s="2507" t="s">
        <v>2251</v>
      </c>
      <c r="G75" s="218" t="s">
        <v>2252</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2253</v>
      </c>
      <c r="C76" s="199">
        <f>IF(F75="购房发票",ROUND(C75*H75*D76,0),0)</f>
        <v>0</v>
      </c>
      <c r="D76" s="221">
        <v>0.05</v>
      </c>
      <c r="E76" s="3139" t="s">
        <v>2254</v>
      </c>
      <c r="F76" s="3116"/>
      <c r="G76" s="3116"/>
      <c r="H76" s="316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2255</v>
      </c>
      <c r="C77" s="199">
        <f>ROUND(IF(G77="个人住宅",0,IF(G77="2016年5月1日前购买",C75*D77,C75*D77/(1+'数据-取费表'!C42))),0)</f>
        <v>0</v>
      </c>
      <c r="D77" s="222">
        <f>'数据-取费表'!B48+'数据-取费表'!B49</f>
        <v>3.0499999999999999E-2</v>
      </c>
      <c r="E77" s="2964" t="s">
        <v>2256</v>
      </c>
      <c r="F77" s="223"/>
      <c r="G77" s="2509" t="s">
        <v>2257</v>
      </c>
      <c r="H77" s="2956"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2258</v>
      </c>
      <c r="C78" s="224">
        <f ca="1">ROUND(D45*D78/(1+'数据-取费表'!C42),0)</f>
        <v>3</v>
      </c>
      <c r="D78" s="225">
        <f>'数据-取费表'!B43</f>
        <v>6.000000000000001E-3</v>
      </c>
      <c r="E78" s="3125" t="s">
        <v>2259</v>
      </c>
      <c r="F78" s="3126"/>
      <c r="G78" s="3126"/>
      <c r="H78" s="313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2260</v>
      </c>
      <c r="C79" s="206">
        <f ca="1">C72-C73</f>
        <v>422</v>
      </c>
      <c r="D79" s="199" t="s">
        <v>32</v>
      </c>
      <c r="E79" s="2953"/>
      <c r="F79" s="2948"/>
      <c r="G79" s="2948"/>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2261</v>
      </c>
      <c r="C80" s="226">
        <f ca="1">IF(C79&lt;=0,0,C79/C73)</f>
        <v>140.66666666666666</v>
      </c>
      <c r="D80" s="199" t="s">
        <v>32</v>
      </c>
      <c r="E80" s="2964" t="str">
        <f ca="1">IF(C80&gt;=200%,"增值额超过扣除项目金额200%",IF(C80&gt;=100%,"增值额超过扣除项目金额100%，未超过200%",IF(C80&gt;=50%,"增值额超过扣除项目金额50%，未超过100%",IF(C80&lt;50%,"增值额未超过扣除项目金额50%"))))</f>
        <v>增值额超过扣除项目金额200%</v>
      </c>
      <c r="F80" s="2948"/>
      <c r="G80" s="2948"/>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2262</v>
      </c>
      <c r="C81" s="227">
        <f ca="1">ROUND(IF(C79&lt;=0,0,IF(C80&gt;=200%,C79*60%-C73*35%,IF(C80&gt;=100%,C79*50%-C73*15%,IF(C80&gt;=50%,C79*40%-C73*5%,IF(C80&lt;50%,C79*30%,0))))),0)</f>
        <v>252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65" t="s">
        <v>2263</v>
      </c>
      <c r="B83" s="3166"/>
      <c r="C83" s="3166"/>
      <c r="D83" s="3166"/>
      <c r="E83" s="3166"/>
      <c r="F83" s="3166"/>
      <c r="G83" s="3166"/>
      <c r="H83" s="316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44" t="s">
        <v>2226</v>
      </c>
      <c r="B84" s="3145"/>
      <c r="C84" s="2954"/>
      <c r="D84" s="2954" t="s">
        <v>2227</v>
      </c>
      <c r="E84" s="212" t="s">
        <v>2228</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2246</v>
      </c>
      <c r="C85" s="206">
        <f ca="1">ROUND(D45/(1+'数据-取费表'!C42),0)</f>
        <v>425</v>
      </c>
      <c r="D85" s="199" t="s">
        <v>32</v>
      </c>
      <c r="E85" s="2953"/>
      <c r="F85" s="2948"/>
      <c r="G85" s="2948"/>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2247</v>
      </c>
      <c r="C86" s="206">
        <f ca="1">IF(H88="仅含出让金",C87+C90+C91+C92+C93+C94,C87+C91+C92+C93+C94)</f>
        <v>3</v>
      </c>
      <c r="D86" s="234"/>
      <c r="E86" s="2953"/>
      <c r="F86" s="2948"/>
      <c r="G86" s="2948"/>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2264</v>
      </c>
      <c r="C87" s="224">
        <f>C88+C89</f>
        <v>0</v>
      </c>
      <c r="D87" s="225"/>
      <c r="E87" s="2949"/>
      <c r="F87" s="2950"/>
      <c r="G87" s="2950"/>
      <c r="H87" s="2952"/>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2265</v>
      </c>
      <c r="C88" s="235"/>
      <c r="D88" s="225"/>
      <c r="E88" s="236" t="s">
        <v>2266</v>
      </c>
      <c r="F88" s="2950"/>
      <c r="G88" s="237" t="s">
        <v>2267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2255</v>
      </c>
      <c r="C89" s="224">
        <f>ROUND(C88*D89,0)</f>
        <v>0</v>
      </c>
      <c r="D89" s="225">
        <f>'数据-取费表'!B48+'数据-取费表'!B49</f>
        <v>3.0499999999999999E-2</v>
      </c>
      <c r="E89" s="236" t="s">
        <v>2268</v>
      </c>
      <c r="F89" s="2950"/>
      <c r="G89" s="2950"/>
      <c r="H89" s="2952"/>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2269</v>
      </c>
      <c r="C90" s="235"/>
      <c r="D90" s="225"/>
      <c r="E90" s="236" t="str">
        <f>IF(H88="-","土地取得成本中已包含该笔费用"," ")</f>
        <v xml:space="preserve"> </v>
      </c>
      <c r="F90" s="2950"/>
      <c r="G90" s="2950"/>
      <c r="H90" s="2952"/>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2270</v>
      </c>
      <c r="B91" s="197" t="s">
        <v>2271</v>
      </c>
      <c r="C91" s="224">
        <f>IF(H91="——",成本法!C33,I91)</f>
        <v>0</v>
      </c>
      <c r="D91" s="225"/>
      <c r="E91" s="3125" t="s">
        <v>2272</v>
      </c>
      <c r="F91" s="3126"/>
      <c r="G91" s="3126"/>
      <c r="H91" s="2514" t="s">
        <v>2273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2274</v>
      </c>
      <c r="B92" s="197" t="s">
        <v>2275</v>
      </c>
      <c r="C92" s="224">
        <f>ROUND((C87+C90+C91)*D92,0)</f>
        <v>0</v>
      </c>
      <c r="D92" s="225">
        <v>0.1</v>
      </c>
      <c r="E92" s="3125" t="s">
        <v>2276</v>
      </c>
      <c r="F92" s="3126"/>
      <c r="G92" s="3126"/>
      <c r="H92" s="313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2277</v>
      </c>
      <c r="B93" s="197" t="s">
        <v>2258</v>
      </c>
      <c r="C93" s="224">
        <f ca="1">ROUND(D45*D93/(1+'数据-取费表'!C42),0)</f>
        <v>3</v>
      </c>
      <c r="D93" s="225">
        <f>'数据-取费表'!B43</f>
        <v>6.000000000000001E-3</v>
      </c>
      <c r="E93" s="3125" t="s">
        <v>2259</v>
      </c>
      <c r="F93" s="3126"/>
      <c r="G93" s="3126"/>
      <c r="H93" s="313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2278</v>
      </c>
      <c r="B94" s="197" t="s">
        <v>2279</v>
      </c>
      <c r="C94" s="235">
        <f>ROUND((C87+C90+C91)*D94,0)</f>
        <v>0</v>
      </c>
      <c r="D94" s="225">
        <v>0.2</v>
      </c>
      <c r="E94" s="3136" t="s">
        <v>2280</v>
      </c>
      <c r="F94" s="3137"/>
      <c r="G94" s="3137"/>
      <c r="H94" s="313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2260</v>
      </c>
      <c r="C95" s="206">
        <f ca="1">ROUND(C85-C86,0)</f>
        <v>422</v>
      </c>
      <c r="D95" s="199" t="s">
        <v>32</v>
      </c>
      <c r="E95" s="2953"/>
      <c r="F95" s="2948"/>
      <c r="G95" s="2948"/>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2261</v>
      </c>
      <c r="C96" s="226">
        <f ca="1">IF(C95&lt;=0,0,C95/C86)</f>
        <v>140.66666666666666</v>
      </c>
      <c r="D96" s="199" t="s">
        <v>32</v>
      </c>
      <c r="E96" s="2964" t="str">
        <f ca="1">IF(C96&gt;=200%,"增值额超过扣除项目金额200%",IF(C96&gt;=100%,"增值额超过扣除项目金额100%，未超过200%",IF(C96&gt;=50%,"增值额超过扣除项目金额50%，未超过100%",IF(C96&lt;50%,"增值额未超过扣除项目金额50%"))))</f>
        <v>增值额超过扣除项目金额200%</v>
      </c>
      <c r="F96" s="2948"/>
      <c r="G96" s="2948"/>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2262</v>
      </c>
      <c r="C97" s="227">
        <f ca="1">ROUND(IF(C95&lt;=0,0,IF(C96&gt;=200%,C95*60%-C86*35%,IF(C96&gt;=100%,C95*50%-C86*15%,IF(C96&gt;=50%,C95*40%-C86*5%,IF(C96&lt;50%,C95*30%,0))))),0)</f>
        <v>252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7"/>
    </row>
    <row r="99" spans="1:35" ht="21.75" customHeight="1" thickBot="1">
      <c r="A99" s="2470" t="s">
        <v>2281</v>
      </c>
      <c r="B99" s="2414"/>
      <c r="C99" s="2414"/>
      <c r="D99" s="2414"/>
      <c r="E99" s="2163"/>
      <c r="F99" s="2163"/>
      <c r="G99" s="2163"/>
      <c r="H99" s="2162"/>
      <c r="I99" s="137"/>
    </row>
    <row r="100" spans="1:35" ht="18.75" customHeight="1">
      <c r="A100" s="3110" t="s">
        <v>2282</v>
      </c>
      <c r="B100" s="3111"/>
      <c r="C100" s="3111"/>
      <c r="D100" s="3127"/>
      <c r="E100" s="3111" t="s">
        <v>2283</v>
      </c>
      <c r="F100" s="3111"/>
      <c r="G100" s="3111"/>
      <c r="H100" s="3127"/>
      <c r="I100" s="137"/>
    </row>
    <row r="101" spans="1:35" ht="18.75" customHeight="1">
      <c r="A101" s="3189" t="s">
        <v>2284</v>
      </c>
      <c r="B101" s="3190"/>
      <c r="C101" s="734" t="str">
        <f>C4</f>
        <v>比较法-办公</v>
      </c>
      <c r="D101" s="735" t="str">
        <f>D4</f>
        <v>收益法-办公</v>
      </c>
      <c r="E101" s="3203" t="s">
        <v>2285</v>
      </c>
      <c r="F101" s="3157"/>
      <c r="G101" s="2516" t="s">
        <v>2286</v>
      </c>
      <c r="H101" s="1043">
        <f ca="1">H118</f>
        <v>446</v>
      </c>
      <c r="I101" s="137"/>
    </row>
    <row r="102" spans="1:35" ht="18.75" customHeight="1">
      <c r="A102" s="3159" t="s">
        <v>2287</v>
      </c>
      <c r="B102" s="2516" t="s">
        <v>2286</v>
      </c>
      <c r="C102" s="734">
        <f ca="1">C19</f>
        <v>448</v>
      </c>
      <c r="D102" s="735">
        <f ca="1">D19</f>
        <v>445</v>
      </c>
      <c r="E102" s="3203"/>
      <c r="F102" s="3157"/>
      <c r="G102" s="2516" t="s">
        <v>2288</v>
      </c>
      <c r="H102" s="370">
        <f ca="1">I118</f>
        <v>40592</v>
      </c>
      <c r="I102" s="137"/>
    </row>
    <row r="103" spans="1:35" ht="42.75" customHeight="1">
      <c r="A103" s="3159"/>
      <c r="B103" s="2516" t="s">
        <v>2288</v>
      </c>
      <c r="C103" s="736">
        <f ca="1">C20</f>
        <v>40692</v>
      </c>
      <c r="D103" s="737">
        <f ca="1">D20</f>
        <v>40492</v>
      </c>
      <c r="E103" s="3198" t="s">
        <v>2289</v>
      </c>
      <c r="F103" s="3199"/>
      <c r="G103" s="2517" t="s">
        <v>2290</v>
      </c>
      <c r="H103" s="1043">
        <f>IF(D36="正常操作",H104+H105+H106,H105+H106)</f>
        <v>0</v>
      </c>
      <c r="I103" s="137"/>
    </row>
    <row r="104" spans="1:35" ht="18.75" customHeight="1">
      <c r="A104" s="3159" t="s">
        <v>2291</v>
      </c>
      <c r="B104" s="2518" t="s">
        <v>2286</v>
      </c>
      <c r="C104" s="738">
        <f ca="1">H118</f>
        <v>446</v>
      </c>
      <c r="D104" s="739"/>
      <c r="E104" s="2264" t="s">
        <v>2292</v>
      </c>
      <c r="F104" s="2255"/>
      <c r="G104" s="2517" t="s">
        <v>2290</v>
      </c>
      <c r="H104" s="1044">
        <f>IF(D36="同一抵押权人同一抵押物续贷",C36&amp;"（未扣减，详见特别提示）",C36)</f>
        <v>0</v>
      </c>
      <c r="I104" s="137"/>
    </row>
    <row r="105" spans="1:35" ht="18.75" customHeight="1" thickBot="1">
      <c r="A105" s="3160"/>
      <c r="B105" s="2519" t="s">
        <v>2288</v>
      </c>
      <c r="C105" s="740">
        <f ca="1">I118</f>
        <v>40592</v>
      </c>
      <c r="D105" s="741"/>
      <c r="E105" s="2264" t="s">
        <v>2293</v>
      </c>
      <c r="F105" s="2255"/>
      <c r="G105" s="2517" t="s">
        <v>2290</v>
      </c>
      <c r="H105" s="1044">
        <f>C37</f>
        <v>0</v>
      </c>
      <c r="I105" s="137"/>
    </row>
    <row r="106" spans="1:35" ht="18.75" customHeight="1">
      <c r="A106" s="2414" t="s">
        <v>2294</v>
      </c>
      <c r="B106" s="2414"/>
      <c r="C106" s="2414"/>
      <c r="D106" s="2414"/>
      <c r="E106" s="2520" t="s">
        <v>2295</v>
      </c>
      <c r="F106" s="2255"/>
      <c r="G106" s="2517" t="s">
        <v>2290</v>
      </c>
      <c r="H106" s="1044">
        <f>C38</f>
        <v>0</v>
      </c>
      <c r="I106" s="137"/>
    </row>
    <row r="107" spans="1:35" ht="18.75" customHeight="1">
      <c r="A107" s="137"/>
      <c r="B107" s="137"/>
      <c r="C107" s="137"/>
      <c r="D107" s="137"/>
      <c r="E107" s="3156" t="str">
        <f>IF(项目基本情况!E8="已注销","——","3.房地产抵押价值")</f>
        <v>3.房地产抵押价值</v>
      </c>
      <c r="F107" s="3157"/>
      <c r="G107" s="2516" t="s">
        <v>2286</v>
      </c>
      <c r="H107" s="1043">
        <f ca="1">IF(E107="——","——",H101-H103)</f>
        <v>446</v>
      </c>
      <c r="I107" s="137"/>
    </row>
    <row r="108" spans="1:35" ht="18.75" customHeight="1">
      <c r="A108" s="137"/>
      <c r="B108" s="137"/>
      <c r="C108" s="137"/>
      <c r="D108" s="137"/>
      <c r="E108" s="3156"/>
      <c r="F108" s="3157"/>
      <c r="G108" s="2516" t="s">
        <v>2288</v>
      </c>
      <c r="H108" s="370">
        <f ca="1">ROUND(H107*10000/'数据-汇总表'!E3,0)</f>
        <v>14649</v>
      </c>
      <c r="I108" s="137"/>
    </row>
    <row r="109" spans="1:35" ht="18.75" customHeight="1">
      <c r="A109" s="137"/>
      <c r="B109" s="137"/>
      <c r="C109" s="137"/>
      <c r="D109" s="137"/>
      <c r="E109" s="3156" t="str">
        <f>IF(项目基本情况!E8="已注销及未注销","4.抵押担保权已注销时的房地产抵押价值",IF(项目基本情况!E8="已注销","3.抵押担保权已注销时的房地产抵押价值","——"))</f>
        <v>——</v>
      </c>
      <c r="F109" s="3157"/>
      <c r="G109" s="2516" t="s">
        <v>2286</v>
      </c>
      <c r="H109" s="347" t="str">
        <f>IF(E109="——","——",H101-H105-H106)</f>
        <v>——</v>
      </c>
      <c r="I109" s="137"/>
    </row>
    <row r="110" spans="1:35" ht="18.75" customHeight="1">
      <c r="A110" s="137"/>
      <c r="B110" s="137"/>
      <c r="C110" s="137"/>
      <c r="D110" s="137"/>
      <c r="E110" s="3156"/>
      <c r="F110" s="3157"/>
      <c r="G110" s="2516" t="s">
        <v>2288</v>
      </c>
      <c r="H110" s="370" t="str">
        <f>IF(H109="——","——",ROUND(H109*10000/'数据-汇总表'!E3,0))</f>
        <v>——</v>
      </c>
      <c r="I110" s="137"/>
    </row>
    <row r="111" spans="1:35" ht="18.75" customHeight="1">
      <c r="A111" s="137"/>
      <c r="B111" s="137"/>
      <c r="C111" s="137"/>
      <c r="D111" s="137"/>
      <c r="E111" s="3191" t="str">
        <f>IF(项目基本情况!E9="抵押净值",IF(OR(项目基本情况!E8="已注销",项目基本情况!E8="房地产抵押价值"),"4.抵押净值","5.抵押净值"),"——")</f>
        <v>——</v>
      </c>
      <c r="F111" s="3192"/>
      <c r="G111" s="2516" t="s">
        <v>2286</v>
      </c>
      <c r="H111" s="1043" t="str">
        <f>IF(E111="——","——",N59)</f>
        <v>——</v>
      </c>
      <c r="I111" s="137"/>
    </row>
    <row r="112" spans="1:35" ht="18.75" customHeight="1" thickBot="1">
      <c r="A112" s="137"/>
      <c r="B112" s="137"/>
      <c r="C112" s="137"/>
      <c r="D112" s="137"/>
      <c r="E112" s="3193"/>
      <c r="F112" s="3194"/>
      <c r="G112" s="2521" t="s">
        <v>2288</v>
      </c>
      <c r="H112" s="788" t="str">
        <f>IF(E111="——","——",N61)</f>
        <v>——</v>
      </c>
      <c r="I112" s="137"/>
    </row>
    <row r="113" spans="1:11" ht="18.75" customHeight="1">
      <c r="A113" s="137"/>
      <c r="B113" s="137"/>
      <c r="C113" s="137"/>
      <c r="D113" s="137"/>
      <c r="E113" s="3161" t="s">
        <v>2294</v>
      </c>
      <c r="F113" s="3161"/>
      <c r="G113" s="3161"/>
      <c r="H113" s="3161"/>
      <c r="I113" s="137"/>
    </row>
    <row r="114" spans="1:11" ht="3.75" customHeight="1">
      <c r="A114" s="2414"/>
      <c r="B114" s="2414"/>
      <c r="C114" s="2414"/>
      <c r="D114" s="2414"/>
      <c r="E114" s="2492"/>
      <c r="F114" s="2492"/>
      <c r="G114" s="2492"/>
      <c r="H114" s="2492"/>
      <c r="I114" s="2414"/>
    </row>
    <row r="115" spans="1:11" ht="18.75" customHeight="1">
      <c r="A115" s="3174" t="s">
        <v>2296</v>
      </c>
      <c r="B115" s="3175"/>
      <c r="C115" s="3175"/>
      <c r="D115" s="3175"/>
      <c r="E115" s="3175"/>
      <c r="F115" s="3175"/>
      <c r="G115" s="3175"/>
      <c r="H115" s="3175"/>
      <c r="I115" s="3176"/>
    </row>
    <row r="116" spans="1:11" ht="27" customHeight="1">
      <c r="A116" s="3067" t="s">
        <v>2297</v>
      </c>
      <c r="B116" s="3162" t="s">
        <v>2298</v>
      </c>
      <c r="C116" s="3162" t="s">
        <v>2299</v>
      </c>
      <c r="D116" s="3178" t="s">
        <v>2300</v>
      </c>
      <c r="E116" s="3179"/>
      <c r="F116" s="3170" t="s">
        <v>2301</v>
      </c>
      <c r="G116" s="3170"/>
      <c r="H116" s="3067" t="s">
        <v>2302</v>
      </c>
      <c r="I116" s="3067"/>
    </row>
    <row r="117" spans="1:11" ht="18.75" customHeight="1">
      <c r="A117" s="3067"/>
      <c r="B117" s="3163"/>
      <c r="C117" s="3163"/>
      <c r="D117" s="2946" t="s">
        <v>2303</v>
      </c>
      <c r="E117" s="2946" t="s">
        <v>2304</v>
      </c>
      <c r="F117" s="2946" t="s">
        <v>2303</v>
      </c>
      <c r="G117" s="2946" t="s">
        <v>2305</v>
      </c>
      <c r="H117" s="2946" t="s">
        <v>2303</v>
      </c>
      <c r="I117" s="2946" t="s">
        <v>2305</v>
      </c>
    </row>
    <row r="118" spans="1:11" ht="24.75" customHeight="1">
      <c r="A118" s="2522" t="str">
        <f>项目基本情况!S2</f>
        <v>北京市东城区东直门外大街48号1幢26层C29F住宅（公寓）用房及14层办公楼16A至16E共计5套办公用房房地产</v>
      </c>
      <c r="B118" s="2946">
        <f>M18</f>
        <v>109.98</v>
      </c>
      <c r="C118" s="2946">
        <f>M19</f>
        <v>30.34</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446</v>
      </c>
      <c r="I118" s="2946">
        <f ca="1">ROUND(IF(D32="楼面单价",C32,H118*10000/B118),0)</f>
        <v>40592</v>
      </c>
    </row>
    <row r="119" spans="1:11" ht="18.75" customHeight="1">
      <c r="A119" s="3067" t="s">
        <v>2306</v>
      </c>
      <c r="B119" s="3067"/>
      <c r="C119" s="3067"/>
      <c r="D119" s="3167" t="e">
        <f ca="1">NUMBERSTRING(INT(D118*10000),2)&amp;"元整"</f>
        <v>#REF!</v>
      </c>
      <c r="E119" s="3169"/>
      <c r="F119" s="3167" t="e">
        <f ca="1">NUMBERSTRING(INT(F118*10000),2)&amp;"元整"</f>
        <v>#REF!</v>
      </c>
      <c r="G119" s="3169"/>
      <c r="H119" s="3167" t="str">
        <f ca="1">NUMBERSTRING(INT(H118*10000),2)&amp;"元整"</f>
        <v>肆佰肆拾陆万元整</v>
      </c>
      <c r="I119" s="3169"/>
    </row>
    <row r="120" spans="1:11" ht="18.75" customHeight="1">
      <c r="A120" s="3195" t="str">
        <f>IF(项目基本情况!B9="房地产市场价值","",MID(E103,3,LEN(E103)-2))</f>
        <v/>
      </c>
      <c r="B120" s="3196"/>
      <c r="C120" s="3197"/>
      <c r="D120" s="3195">
        <f>H103</f>
        <v>0</v>
      </c>
      <c r="E120" s="3196"/>
      <c r="F120" s="3196"/>
      <c r="G120" s="3196"/>
      <c r="H120" s="3196"/>
      <c r="I120" s="3197"/>
      <c r="K120" s="2419" t="str">
        <f>IF(D120=0,"故，本次评估不存在"&amp;A120,"故，本次评估"&amp;A120&amp;"为人民币"&amp;D120&amp;"万元整。")</f>
        <v>故，本次评估不存在</v>
      </c>
    </row>
    <row r="121" spans="1:11" ht="18.75" customHeight="1">
      <c r="A121" s="3171" t="s">
        <v>2306</v>
      </c>
      <c r="B121" s="3172"/>
      <c r="C121" s="3173"/>
      <c r="D121" s="3167" t="str">
        <f>IF(D120=0,"零元整",NUMBERSTRING(INT(D120*10000),2)&amp;"元整")</f>
        <v>零元整</v>
      </c>
      <c r="E121" s="3168"/>
      <c r="F121" s="3168"/>
      <c r="G121" s="3168"/>
      <c r="H121" s="3168"/>
      <c r="I121" s="3169"/>
    </row>
    <row r="122" spans="1:11" ht="18.75" customHeight="1">
      <c r="A122" s="3158" t="str">
        <f>IF(项目基本情况!B9="房地产市场价值","",MID(E107,3,LEN(E107)-2))</f>
        <v/>
      </c>
      <c r="B122" s="3158"/>
      <c r="C122" s="3158"/>
      <c r="D122" s="3195">
        <f ca="1">H107</f>
        <v>446</v>
      </c>
      <c r="E122" s="3196"/>
      <c r="F122" s="3196"/>
      <c r="G122" s="3196"/>
      <c r="H122" s="3196"/>
      <c r="I122" s="3197"/>
    </row>
    <row r="123" spans="1:11" ht="18.75" customHeight="1">
      <c r="A123" s="3067" t="s">
        <v>2306</v>
      </c>
      <c r="B123" s="3067"/>
      <c r="C123" s="3067"/>
      <c r="D123" s="3167" t="str">
        <f ca="1">NUMBERSTRING(INT(D122*10000),2)&amp;"元整"</f>
        <v>肆佰肆拾陆万元整</v>
      </c>
      <c r="E123" s="3168"/>
      <c r="F123" s="3168"/>
      <c r="G123" s="3168"/>
      <c r="H123" s="3168"/>
      <c r="I123" s="3169"/>
    </row>
    <row r="124" spans="1:11" ht="18.75" customHeight="1">
      <c r="A124" s="3158" t="str">
        <f>IF(项目基本情况!B9="房地产市场价值","",MID(E109,3,LEN(E109)-2))</f>
        <v/>
      </c>
      <c r="B124" s="3158"/>
      <c r="C124" s="3158"/>
      <c r="D124" s="3195" t="str">
        <f>H109</f>
        <v>——</v>
      </c>
      <c r="E124" s="3196"/>
      <c r="F124" s="3196"/>
      <c r="G124" s="3196"/>
      <c r="H124" s="3196"/>
      <c r="I124" s="3197"/>
    </row>
    <row r="125" spans="1:11" ht="18.75" customHeight="1">
      <c r="A125" s="3067" t="s">
        <v>2306</v>
      </c>
      <c r="B125" s="3067"/>
      <c r="C125" s="3067"/>
      <c r="D125" s="3167" t="e">
        <f>NUMBERSTRING(INT(D124*10000),2)&amp;"元整"</f>
        <v>#VALUE!</v>
      </c>
      <c r="E125" s="3168"/>
      <c r="F125" s="3168"/>
      <c r="G125" s="3168"/>
      <c r="H125" s="3168"/>
      <c r="I125" s="3169"/>
    </row>
    <row r="126" spans="1:11" ht="18.75" customHeight="1">
      <c r="A126" s="3158" t="str">
        <f>IF(项目基本情况!B9="房地产市场价值","",MID(E111,3,LEN(E111)-2))</f>
        <v/>
      </c>
      <c r="B126" s="3158"/>
      <c r="C126" s="3158"/>
      <c r="D126" s="3195" t="str">
        <f>H111</f>
        <v>——</v>
      </c>
      <c r="E126" s="3196"/>
      <c r="F126" s="3196"/>
      <c r="G126" s="3196"/>
      <c r="H126" s="3196"/>
      <c r="I126" s="3197"/>
    </row>
    <row r="127" spans="1:11" ht="18.75" customHeight="1">
      <c r="A127" s="3067" t="s">
        <v>2306</v>
      </c>
      <c r="B127" s="3067"/>
      <c r="C127" s="3067"/>
      <c r="D127" s="3167" t="e">
        <f>NUMBERSTRING(INT(D126*10000),2)&amp;"元整"</f>
        <v>#VALUE!</v>
      </c>
      <c r="E127" s="3168"/>
      <c r="F127" s="3168"/>
      <c r="G127" s="3168"/>
      <c r="H127" s="3168"/>
      <c r="I127" s="3169"/>
    </row>
    <row r="128" spans="1:11" ht="21.75" customHeight="1">
      <c r="A128" s="3177" t="s">
        <v>2307</v>
      </c>
      <c r="B128" s="3177"/>
      <c r="C128" s="3177"/>
      <c r="D128" s="3177"/>
      <c r="E128" s="3177"/>
      <c r="F128" s="3177"/>
      <c r="G128" s="3177"/>
      <c r="H128" s="3177"/>
      <c r="I128" s="3177"/>
    </row>
    <row r="129" spans="1:35" ht="21.75" customHeight="1">
      <c r="A129" s="2523" t="s">
        <v>2308</v>
      </c>
      <c r="B129" s="2524"/>
      <c r="C129" s="2525" t="s">
        <v>2309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2310</v>
      </c>
      <c r="G135" s="2540"/>
      <c r="H135" s="2540"/>
      <c r="I135" s="2541" t="s">
        <v>2311</v>
      </c>
    </row>
    <row r="136" spans="1:35" ht="21.75" customHeight="1">
      <c r="A136" s="793"/>
      <c r="B136" s="2542" t="s">
        <v>2312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2313</v>
      </c>
    </row>
    <row r="139" spans="1:35" ht="21.75" customHeight="1">
      <c r="A139" s="793"/>
      <c r="B139" s="2542" t="s">
        <v>2314</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2313</v>
      </c>
    </row>
    <row r="142" spans="1:35" ht="21.75" customHeight="1">
      <c r="A142" s="793"/>
      <c r="B142" s="2542"/>
      <c r="C142" s="2543"/>
      <c r="D142" s="2544"/>
      <c r="E142" s="2544"/>
      <c r="F142" s="2338"/>
      <c r="G142" s="793"/>
      <c r="H142" s="793"/>
      <c r="I142" s="793"/>
    </row>
    <row r="143" spans="1:35" s="138" customFormat="1" ht="21.75" customHeight="1">
      <c r="A143" s="793"/>
      <c r="B143" s="2542"/>
      <c r="C143" s="2543"/>
      <c r="D143" s="2544"/>
      <c r="E143" s="2544"/>
      <c r="F143" s="233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1" activeCellId="1" sqref="E29:F29 B41"/>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23" t="str">
        <f>项目基本情况!B1</f>
        <v>北京市东城区东直门外大街48号1幢26层C29F住宅（公寓）用房及14层办公楼16A至16E共计5套办公用房房地产市场价值预评估</v>
      </c>
      <c r="C37" s="3023"/>
      <c r="D37" s="3023"/>
      <c r="E37" s="3023"/>
      <c r="F37" s="3023"/>
      <c r="G37" s="3023"/>
      <c r="H37" s="3023"/>
      <c r="I37" s="3023"/>
    </row>
    <row r="38" spans="1:9">
      <c r="A38" s="1014"/>
      <c r="B38" s="1014"/>
    </row>
    <row r="39" spans="1:9">
      <c r="A39" s="1012" t="s">
        <v>818</v>
      </c>
      <c r="B39" s="1012" t="s">
        <v>820</v>
      </c>
    </row>
    <row r="40" spans="1:9">
      <c r="A40" s="1012"/>
      <c r="B40" s="1940" t="str">
        <f>项目基本情况!B5</f>
        <v>辽宁米高化工有限公司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郑燚（注册号：1120070131)、吴薇（注册号：1419970001)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2448</v>
      </c>
      <c r="B1" s="1579"/>
      <c r="C1" s="1580"/>
      <c r="D1" s="1578"/>
      <c r="E1" s="319"/>
      <c r="F1" s="319"/>
      <c r="G1" s="1579"/>
      <c r="H1" s="319"/>
      <c r="I1" s="319"/>
      <c r="J1" s="319"/>
      <c r="K1" s="319">
        <f>MATCH(C1,'数据-取费表'!A6:A16,0)+5</f>
        <v>8</v>
      </c>
    </row>
    <row r="2" spans="1:33" ht="18" customHeight="1">
      <c r="A2" s="244" t="s">
        <v>2316</v>
      </c>
      <c r="B2" s="247">
        <f ca="1">C32</f>
        <v>-6</v>
      </c>
      <c r="C2" s="319" t="s">
        <v>2449</v>
      </c>
      <c r="D2" s="319"/>
      <c r="E2" s="319"/>
      <c r="F2" s="319"/>
      <c r="G2" s="319"/>
      <c r="H2" s="319"/>
      <c r="I2" s="319"/>
      <c r="J2" s="319"/>
      <c r="K2" s="319"/>
    </row>
    <row r="3" spans="1:33" ht="18" customHeight="1" thickBot="1">
      <c r="A3" s="246" t="s">
        <v>2318</v>
      </c>
      <c r="B3" s="247">
        <f ca="1">ROUND(B2*10000/IF(C1="",'数据-汇总表'!E3,INDIRECT("'数据-取费表'!K"&amp;$K$1)),0)</f>
        <v>-197</v>
      </c>
      <c r="C3" s="319" t="s">
        <v>2450</v>
      </c>
      <c r="D3" s="319"/>
      <c r="E3" s="319"/>
      <c r="F3" s="319"/>
      <c r="G3" s="319"/>
      <c r="H3" s="319"/>
      <c r="I3" s="319"/>
      <c r="J3" s="319"/>
      <c r="K3" s="319"/>
    </row>
    <row r="4" spans="1:33" s="954" customFormat="1" ht="16.5" customHeight="1">
      <c r="A4" s="951" t="s">
        <v>2451</v>
      </c>
      <c r="B4" s="952"/>
      <c r="C4" s="994">
        <f>SUM(C8:K8)</f>
        <v>0</v>
      </c>
      <c r="D4" s="952"/>
      <c r="E4" s="952"/>
      <c r="F4" s="952"/>
      <c r="G4" s="952"/>
      <c r="H4" s="952"/>
      <c r="I4" s="952"/>
      <c r="J4" s="952"/>
      <c r="K4" s="953"/>
    </row>
    <row r="5" spans="1:33" s="958" customFormat="1" ht="24.75">
      <c r="A5" s="955" t="s">
        <v>2452</v>
      </c>
      <c r="B5" s="956" t="s">
        <v>2453</v>
      </c>
      <c r="C5" s="2552" t="s">
        <v>2454</v>
      </c>
      <c r="D5" s="2552" t="s">
        <v>2455</v>
      </c>
      <c r="E5" s="2552" t="s">
        <v>2456</v>
      </c>
      <c r="F5" s="2552"/>
      <c r="G5" s="2552"/>
      <c r="H5" s="2552"/>
      <c r="I5" s="2552"/>
      <c r="J5" s="2552"/>
      <c r="K5" s="2552"/>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2457</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2458</v>
      </c>
      <c r="B7" s="139" t="s">
        <v>2459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3" t="s">
        <v>2460</v>
      </c>
      <c r="B8" s="176" t="s">
        <v>2461</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2462</v>
      </c>
      <c r="B9" s="952"/>
      <c r="C9" s="952"/>
      <c r="D9" s="952"/>
      <c r="E9" s="952"/>
      <c r="F9" s="952"/>
      <c r="G9" s="952"/>
      <c r="H9" s="952"/>
      <c r="I9" s="952"/>
      <c r="J9" s="952"/>
      <c r="K9" s="953"/>
    </row>
    <row r="10" spans="1:33" s="968" customFormat="1" ht="13.5" customHeight="1">
      <c r="A10" s="955" t="s">
        <v>2463</v>
      </c>
      <c r="B10" s="8" t="s">
        <v>2464</v>
      </c>
      <c r="C10" s="964" t="s">
        <v>2465</v>
      </c>
      <c r="D10" s="965" t="s">
        <v>2466</v>
      </c>
      <c r="E10" s="965" t="s">
        <v>2467</v>
      </c>
      <c r="F10" s="965" t="s">
        <v>2468</v>
      </c>
      <c r="G10" s="8"/>
      <c r="H10" s="966"/>
      <c r="I10" s="966"/>
      <c r="J10" s="966"/>
      <c r="K10" s="967"/>
    </row>
    <row r="11" spans="1:33" s="973" customFormat="1" ht="13.5" customHeight="1">
      <c r="A11" s="969" t="s">
        <v>1330</v>
      </c>
      <c r="B11" s="970" t="s">
        <v>2469</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2470</v>
      </c>
      <c r="C12" s="23">
        <f ca="1">ROUND(C11*F12,0)</f>
        <v>0</v>
      </c>
      <c r="D12" s="971"/>
      <c r="E12" s="374"/>
      <c r="F12" s="974">
        <f>'数据-取费表'!B33</f>
        <v>0.05</v>
      </c>
      <c r="G12" s="8" t="s">
        <v>2471</v>
      </c>
      <c r="H12" s="966"/>
      <c r="I12" s="966"/>
      <c r="J12" s="966"/>
      <c r="K12" s="967"/>
    </row>
    <row r="13" spans="1:33" s="973" customFormat="1" ht="13.5" customHeight="1">
      <c r="A13" s="969" t="s">
        <v>1332</v>
      </c>
      <c r="B13" s="970" t="s">
        <v>2472</v>
      </c>
      <c r="C13" s="23">
        <f ca="1">ROUND(IF(C1="",SUMIF('数据-取费表'!C:C,"住宅",'数据-取费表'!P:P)*F13,IF(INDIRECT("'数据-取费表'!c"&amp;$K$1)="住宅",INDIRECT("'数据-取费表'!P"&amp;$K$1)*F13,0)),0)</f>
        <v>0</v>
      </c>
      <c r="D13" s="1031"/>
      <c r="E13" s="374"/>
      <c r="F13" s="974">
        <f>'数据-取费表'!B34</f>
        <v>0.05</v>
      </c>
      <c r="G13" s="8" t="s">
        <v>2473</v>
      </c>
      <c r="H13" s="966"/>
      <c r="I13" s="966"/>
      <c r="J13" s="966"/>
      <c r="K13" s="967"/>
    </row>
    <row r="14" spans="1:33" s="975" customFormat="1" ht="13.5" customHeight="1">
      <c r="A14" s="969" t="s">
        <v>1333</v>
      </c>
      <c r="B14" s="970" t="s">
        <v>2474</v>
      </c>
      <c r="C14" s="23">
        <f ca="1">ROUND(D14*E14*F11/10000,0)</f>
        <v>0</v>
      </c>
      <c r="D14" s="1031">
        <f ca="1">IF(C1="",'数据-汇总表'!E3,INDIRECT("'数据-取费表'!K"&amp;$K$1)+INDIRECT("'数据-取费表'!S"&amp;$K$1))</f>
        <v>304.45</v>
      </c>
      <c r="E14" s="23">
        <f>'数据-取费表'!B35</f>
        <v>200</v>
      </c>
      <c r="F14" s="974"/>
      <c r="G14" s="8" t="s">
        <v>2475</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2476</v>
      </c>
      <c r="C15" s="981">
        <f ca="1">ROUND(C11*F15,0)</f>
        <v>0</v>
      </c>
      <c r="D15" s="976"/>
      <c r="E15" s="981"/>
      <c r="F15" s="982">
        <f>'数据-取费表'!B36</f>
        <v>1.4999999999999999E-2</v>
      </c>
      <c r="G15" s="139" t="s">
        <v>2477</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2478</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2479</v>
      </c>
      <c r="C17" s="23">
        <f ca="1">ROUND(D17*E17/10000,0)</f>
        <v>0</v>
      </c>
      <c r="D17" s="1031">
        <f ca="1">D14</f>
        <v>304.45</v>
      </c>
      <c r="E17" s="23">
        <f>'数据-取费表'!B32</f>
        <v>0</v>
      </c>
      <c r="F17" s="976"/>
      <c r="G17" s="139" t="s">
        <v>2480</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2481</v>
      </c>
      <c r="C18" s="23">
        <f ca="1">C19+C20-IF(C1="",'数据-取费表'!B29,IF(G18="已全部缴纳",C19+C20,H18))</f>
        <v>5</v>
      </c>
      <c r="D18" s="1031"/>
      <c r="E18" s="23"/>
      <c r="F18" s="974"/>
      <c r="G18" s="2554"/>
      <c r="H18" s="1575"/>
      <c r="I18" s="2555" t="s">
        <v>2482</v>
      </c>
      <c r="J18" s="977"/>
      <c r="K18" s="978"/>
    </row>
    <row r="19" spans="1:33" s="973" customFormat="1" ht="13.5" customHeight="1">
      <c r="A19" s="969" t="s">
        <v>805</v>
      </c>
      <c r="B19" s="970" t="s">
        <v>2483</v>
      </c>
      <c r="C19" s="23">
        <f ca="1">ROUND(D19*E19/10000,0)</f>
        <v>3</v>
      </c>
      <c r="D19" s="1031">
        <f ca="1">IF(C1="",'数据-汇总表'!E5,IF(INDIRECT("'数据-取费表'!c"&amp;$K$1)="住宅",INDIRECT("'数据-取费表'!k"&amp;$K$1),0))</f>
        <v>194.47</v>
      </c>
      <c r="E19" s="23">
        <f>'数据-取费表'!B27</f>
        <v>160</v>
      </c>
      <c r="F19" s="974"/>
      <c r="G19" s="14"/>
      <c r="H19" s="1577"/>
      <c r="I19" s="979"/>
      <c r="J19" s="979"/>
      <c r="K19" s="980"/>
    </row>
    <row r="20" spans="1:33" s="973" customFormat="1" ht="13.5" customHeight="1">
      <c r="A20" s="969" t="s">
        <v>806</v>
      </c>
      <c r="B20" s="970" t="s">
        <v>2484</v>
      </c>
      <c r="C20" s="23">
        <f ca="1">ROUND(D20*E20/10000,0)</f>
        <v>2</v>
      </c>
      <c r="D20" s="1031">
        <f ca="1">IF(C1="",'数据-汇总表'!E6,IF(INDIRECT("'数据-取费表'!c"&amp;$K$1)="住宅",INDIRECT("'数据-取费表'!s"&amp;$K$1),INDIRECT("'数据-取费表'!k"&amp;$K$1)+INDIRECT("'数据-取费表'!s"&amp;$K$1)))</f>
        <v>109.97999999999999</v>
      </c>
      <c r="E20" s="23">
        <f>'数据-取费表'!B28</f>
        <v>200</v>
      </c>
      <c r="F20" s="974"/>
      <c r="G20" s="14"/>
      <c r="H20" s="979"/>
      <c r="I20" s="979"/>
      <c r="J20" s="979"/>
      <c r="K20" s="980"/>
    </row>
    <row r="21" spans="1:33" s="973" customFormat="1" ht="13.5" customHeight="1">
      <c r="A21" s="959" t="s">
        <v>802</v>
      </c>
      <c r="B21" s="983" t="s">
        <v>2485</v>
      </c>
      <c r="C21" s="984">
        <f ca="1">C16+C17+C18</f>
        <v>5</v>
      </c>
      <c r="D21" s="985"/>
      <c r="E21" s="324"/>
      <c r="F21" s="324"/>
      <c r="G21" s="139" t="s">
        <v>2486</v>
      </c>
      <c r="H21" s="977"/>
      <c r="I21" s="977"/>
      <c r="J21" s="977"/>
      <c r="K21" s="978"/>
    </row>
    <row r="22" spans="1:33" s="973" customFormat="1" ht="13.5" customHeight="1">
      <c r="A22" s="959" t="s">
        <v>2458</v>
      </c>
      <c r="B22" s="983" t="s">
        <v>2487</v>
      </c>
      <c r="C22" s="984">
        <f ca="1">ROUND(C21*F22,0)</f>
        <v>0</v>
      </c>
      <c r="D22" s="324"/>
      <c r="E22" s="324"/>
      <c r="F22" s="986">
        <f>'数据-取费表'!B37</f>
        <v>0.03</v>
      </c>
      <c r="G22" s="8" t="s">
        <v>2488</v>
      </c>
      <c r="H22" s="966"/>
      <c r="I22" s="966"/>
      <c r="J22" s="966"/>
      <c r="K22" s="967"/>
    </row>
    <row r="23" spans="1:33" s="973" customFormat="1" ht="13.5" customHeight="1">
      <c r="A23" s="959" t="s">
        <v>2460</v>
      </c>
      <c r="B23" s="983" t="s">
        <v>2489</v>
      </c>
      <c r="C23" s="984">
        <f ca="1">ROUND(C4*F23*F11,0)</f>
        <v>0</v>
      </c>
      <c r="D23" s="324"/>
      <c r="E23" s="324"/>
      <c r="F23" s="986">
        <f>'数据-取费表'!B38</f>
        <v>0.02</v>
      </c>
      <c r="G23" s="8" t="s">
        <v>2490</v>
      </c>
      <c r="H23" s="966"/>
      <c r="I23" s="966"/>
      <c r="J23" s="966"/>
      <c r="K23" s="967"/>
    </row>
    <row r="24" spans="1:33" s="973" customFormat="1" ht="13.5" customHeight="1">
      <c r="A24" s="959" t="s">
        <v>2491</v>
      </c>
      <c r="B24" s="983" t="s">
        <v>2492</v>
      </c>
      <c r="C24" s="323">
        <f>ROUND(F24/(1+'数据-取费表'!C42),4)</f>
        <v>2.9000000000000001E-2</v>
      </c>
      <c r="D24" s="324" t="s">
        <v>15</v>
      </c>
      <c r="E24" s="324"/>
      <c r="F24" s="986">
        <f>IF(项目基本情况!B8="出让",0,'数据-取费表'!B48+'数据-取费表'!B49)</f>
        <v>3.0499999999999999E-2</v>
      </c>
      <c r="G24" s="8" t="s">
        <v>2493</v>
      </c>
      <c r="H24" s="988"/>
      <c r="I24" s="988"/>
      <c r="J24" s="988"/>
      <c r="K24" s="989"/>
    </row>
    <row r="25" spans="1:33" s="973" customFormat="1" ht="13.5" customHeight="1">
      <c r="A25" s="959" t="s">
        <v>2494</v>
      </c>
      <c r="B25" s="985" t="s">
        <v>2495</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2496</v>
      </c>
      <c r="C26" s="1355">
        <f ca="1">ROUND(IF('数据-取费表'!B22&lt;=1,(1+C24)*F25*'数据-取费表'!B24,(1+C24)*(POWER((1+F25),'数据-取费表'!B24)-1)),4)</f>
        <v>0</v>
      </c>
      <c r="D26" s="327"/>
      <c r="E26" s="328"/>
      <c r="F26" s="329"/>
      <c r="G26" s="2556"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2497</v>
      </c>
      <c r="C27" s="1356">
        <f ca="1">ROUND(IF('数据-取费表'!B22&lt;=1,(C21+C22+C23)*F25*'数据-取费表'!B24/2,(C21+C22+C23)*(POWER((1+F25),'数据-取费表'!B24/2)-1)),0)</f>
        <v>0</v>
      </c>
      <c r="D27" s="327"/>
      <c r="E27" s="328"/>
      <c r="F27" s="329"/>
      <c r="G27" s="2556" t="str">
        <f>IF('数据-取费表'!B22&lt;=1,"（1）-（3）项×年利率×建设期÷2","（1）-（3）项×((1+年利率)^(建设期÷2)-1)")</f>
        <v>（1）-（3）项×((1+年利率)^(建设期÷2)-1)</v>
      </c>
      <c r="H27" s="977"/>
      <c r="I27" s="977"/>
      <c r="J27" s="977"/>
      <c r="K27" s="978"/>
    </row>
    <row r="28" spans="1:33" s="332" customFormat="1" ht="13.5" customHeight="1">
      <c r="A28" s="959" t="s">
        <v>2498</v>
      </c>
      <c r="B28" s="2557" t="s">
        <v>2499</v>
      </c>
      <c r="C28" s="330">
        <f ca="1">C30</f>
        <v>1</v>
      </c>
      <c r="D28" s="323">
        <f ca="1">C29</f>
        <v>0</v>
      </c>
      <c r="E28" s="325" t="s">
        <v>15</v>
      </c>
      <c r="F28" s="331">
        <f ca="1">IF(C1="",'数据-取费表'!Q16,INDIRECT("'数据-取费表'!q"&amp;$K$1))</f>
        <v>0.18</v>
      </c>
      <c r="G28" s="987"/>
      <c r="H28" s="988"/>
      <c r="I28" s="988"/>
      <c r="J28" s="988"/>
      <c r="K28" s="989"/>
    </row>
    <row r="29" spans="1:33" s="334" customFormat="1" ht="13.5" customHeight="1">
      <c r="A29" s="969" t="s">
        <v>803</v>
      </c>
      <c r="B29" s="992" t="s">
        <v>2500</v>
      </c>
      <c r="C29" s="327">
        <f ca="1">ROUND((1+C24)*F28*'数据-取费表'!B24/'数据-取费表'!B20,4)</f>
        <v>0</v>
      </c>
      <c r="D29" s="327"/>
      <c r="E29" s="328"/>
      <c r="F29" s="333"/>
      <c r="G29" s="139" t="s">
        <v>2501</v>
      </c>
      <c r="H29" s="977"/>
      <c r="I29" s="977"/>
      <c r="J29" s="977"/>
      <c r="K29" s="978"/>
    </row>
    <row r="30" spans="1:33" s="334" customFormat="1" ht="13.5" customHeight="1">
      <c r="A30" s="969" t="s">
        <v>804</v>
      </c>
      <c r="B30" s="992" t="s">
        <v>2502</v>
      </c>
      <c r="C30" s="335">
        <f ca="1">ROUND((C21+C22+C23)*F28,0)</f>
        <v>1</v>
      </c>
      <c r="D30" s="327"/>
      <c r="E30" s="328"/>
      <c r="F30" s="333"/>
      <c r="G30" s="139"/>
      <c r="H30" s="977"/>
      <c r="I30" s="977"/>
      <c r="J30" s="977"/>
      <c r="K30" s="978"/>
    </row>
    <row r="31" spans="1:33" s="973" customFormat="1" ht="13.5" customHeight="1" thickBot="1">
      <c r="A31" s="2558" t="s">
        <v>2503</v>
      </c>
      <c r="B31" s="1003" t="s">
        <v>2504</v>
      </c>
      <c r="C31" s="1004">
        <f>ROUND(C4*F31/(1+'数据-取费表'!C42),0)</f>
        <v>0</v>
      </c>
      <c r="D31" s="1005"/>
      <c r="E31" s="1006"/>
      <c r="F31" s="1007">
        <f>'数据-取费表'!B41</f>
        <v>5.6000000000000001E-2</v>
      </c>
      <c r="G31" s="1008" t="s">
        <v>2505</v>
      </c>
      <c r="H31" s="1009"/>
      <c r="I31" s="1009"/>
      <c r="J31" s="1009"/>
      <c r="K31" s="1010"/>
    </row>
    <row r="32" spans="1:33" s="968" customFormat="1" ht="13.5" customHeight="1" thickBot="1">
      <c r="A32" s="998" t="s">
        <v>2506</v>
      </c>
      <c r="B32" s="999"/>
      <c r="C32" s="1000">
        <f ca="1">ROUND((C4-C21-C22-C23-C25-C28-C31)/(1+C24+D25+D28),0)</f>
        <v>-6</v>
      </c>
      <c r="D32" s="999"/>
      <c r="E32" s="999"/>
      <c r="F32" s="999"/>
      <c r="G32" s="1001" t="s">
        <v>2507</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33" sqref="D3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0"/>
      <c r="C1" s="1835" t="s">
        <v>3053</v>
      </c>
      <c r="D1" s="1818" t="s">
        <v>70</v>
      </c>
      <c r="E1" s="1819" t="s">
        <v>1382</v>
      </c>
      <c r="F1" s="1281">
        <f ca="1">J53</f>
        <v>52.35</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1510</v>
      </c>
      <c r="B2" s="1842">
        <f ca="1">C40+J29+L46</f>
        <v>885</v>
      </c>
      <c r="C2" s="1843" t="s">
        <v>1511</v>
      </c>
      <c r="D2" s="1843"/>
      <c r="E2" s="1844"/>
      <c r="F2" s="1845"/>
      <c r="G2" s="1846"/>
      <c r="H2" s="1838"/>
      <c r="I2" s="1838"/>
      <c r="J2" s="1838"/>
      <c r="K2" s="1839"/>
      <c r="L2" s="1838"/>
      <c r="M2" s="1838"/>
    </row>
    <row r="3" spans="1:37" ht="18" customHeight="1" thickBot="1">
      <c r="A3" s="1847" t="s">
        <v>1512</v>
      </c>
      <c r="B3" s="1848">
        <f ca="1">IF(ISERROR(B2*10000/F43),0,ROUND(B2*10000/F43,0))</f>
        <v>45508</v>
      </c>
      <c r="C3" s="1843" t="s">
        <v>1513</v>
      </c>
      <c r="D3" s="1843"/>
      <c r="E3" s="1844"/>
      <c r="F3" s="1845"/>
      <c r="G3" s="1846"/>
      <c r="H3" s="742" t="s">
        <v>1583</v>
      </c>
      <c r="I3" s="1838"/>
      <c r="J3" s="1838"/>
      <c r="K3" s="1839"/>
      <c r="L3" s="1838"/>
      <c r="M3" s="1838"/>
    </row>
    <row r="4" spans="1:37" ht="18" customHeight="1">
      <c r="A4" s="339" t="s">
        <v>1391</v>
      </c>
      <c r="B4" s="340" t="s">
        <v>1392</v>
      </c>
      <c r="C4" s="340" t="s">
        <v>1393</v>
      </c>
      <c r="D4" s="340" t="s">
        <v>1394</v>
      </c>
      <c r="E4" s="341" t="s">
        <v>1395</v>
      </c>
      <c r="F4" s="342"/>
      <c r="G4" s="1849"/>
      <c r="H4" s="339" t="s">
        <v>1391</v>
      </c>
      <c r="I4" s="340" t="s">
        <v>1392</v>
      </c>
      <c r="J4" s="340" t="s">
        <v>1393</v>
      </c>
      <c r="K4" s="340" t="s">
        <v>1394</v>
      </c>
      <c r="L4" s="341" t="s">
        <v>1395</v>
      </c>
      <c r="M4" s="342"/>
    </row>
    <row r="5" spans="1:37" ht="18" customHeight="1">
      <c r="A5" s="343">
        <v>1</v>
      </c>
      <c r="B5" s="344" t="s">
        <v>1396</v>
      </c>
      <c r="C5" s="1290">
        <f ca="1">C6+C10+C12</f>
        <v>38</v>
      </c>
      <c r="D5" s="1820" t="s">
        <v>1397</v>
      </c>
      <c r="E5" s="1291"/>
      <c r="F5" s="1292"/>
      <c r="G5" s="1849"/>
      <c r="H5" s="343">
        <v>1</v>
      </c>
      <c r="I5" s="344" t="s">
        <v>1396</v>
      </c>
      <c r="J5" s="1290">
        <f ca="1">J6+J10+J12</f>
        <v>0</v>
      </c>
      <c r="K5" s="1820" t="s">
        <v>1397</v>
      </c>
      <c r="L5" s="1291"/>
      <c r="M5" s="1292"/>
    </row>
    <row r="6" spans="1:37" ht="18" customHeight="1">
      <c r="A6" s="1289" t="s">
        <v>1032</v>
      </c>
      <c r="B6" s="3211" t="s">
        <v>1398</v>
      </c>
      <c r="C6" s="1294">
        <f ca="1">ROUND(F6*F8*F7*(1-F9)/10000,0)</f>
        <v>38</v>
      </c>
      <c r="D6" s="163" t="s">
        <v>3017</v>
      </c>
      <c r="E6" s="346" t="s">
        <v>1400</v>
      </c>
      <c r="F6" s="347">
        <f ca="1">INDIRECT("'数据-取费表'!u"&amp;$G$1)</f>
        <v>6</v>
      </c>
      <c r="G6" s="1849"/>
      <c r="H6" s="1289" t="s">
        <v>1032</v>
      </c>
      <c r="I6" s="3211" t="s">
        <v>1398</v>
      </c>
      <c r="J6" s="345">
        <f ca="1">ROUND(M6*M8*M7*(1-M9)/10000,0)</f>
        <v>0</v>
      </c>
      <c r="K6" s="163" t="s">
        <v>3016</v>
      </c>
      <c r="L6" s="346" t="s">
        <v>1400</v>
      </c>
      <c r="M6" s="347">
        <f ca="1">INDIRECT("'数据-取费表'!z"&amp;$G$1)</f>
        <v>0</v>
      </c>
    </row>
    <row r="7" spans="1:37" ht="18" customHeight="1">
      <c r="A7" s="1293"/>
      <c r="B7" s="3212"/>
      <c r="C7" s="1295"/>
      <c r="D7" s="351"/>
      <c r="E7" s="1296" t="s">
        <v>1401</v>
      </c>
      <c r="F7" s="347">
        <f ca="1">IF(INDIRECT("'数据-取费表'!ah"&amp;$G$1)="",INDIRECT("'数据-取费表'!k"&amp;$G$1),INDIRECT("'数据-取费表'!ah"&amp;$G$1))</f>
        <v>194.47</v>
      </c>
      <c r="G7" s="1849"/>
      <c r="H7" s="348"/>
      <c r="I7" s="3212"/>
      <c r="J7" s="350"/>
      <c r="K7" s="351"/>
      <c r="L7" s="346" t="s">
        <v>1401</v>
      </c>
      <c r="M7" s="347">
        <f ca="1">F7</f>
        <v>194.47</v>
      </c>
    </row>
    <row r="8" spans="1:37" ht="18" customHeight="1">
      <c r="A8" s="348"/>
      <c r="B8" s="3212"/>
      <c r="C8" s="350"/>
      <c r="D8" s="351"/>
      <c r="E8" s="346" t="s">
        <v>1402</v>
      </c>
      <c r="F8" s="347">
        <f ca="1">INDIRECT("'数据-取费表'!ai"&amp;$G$1)</f>
        <v>365</v>
      </c>
      <c r="G8" s="1849"/>
      <c r="H8" s="348"/>
      <c r="I8" s="3212"/>
      <c r="J8" s="350"/>
      <c r="K8" s="351"/>
      <c r="L8" s="346" t="s">
        <v>1402</v>
      </c>
      <c r="M8" s="347">
        <f ca="1">INDIRECT("'数据-取费表'!ai"&amp;$G$1)</f>
        <v>365</v>
      </c>
    </row>
    <row r="9" spans="1:37" ht="18" customHeight="1">
      <c r="A9" s="348"/>
      <c r="B9" s="3213"/>
      <c r="C9" s="350"/>
      <c r="D9" s="351"/>
      <c r="E9" s="346" t="s">
        <v>1403</v>
      </c>
      <c r="F9" s="356">
        <f ca="1">INDIRECT("'数据-取费表'!w"&amp;$G$1)</f>
        <v>0.1</v>
      </c>
      <c r="G9" s="1849"/>
      <c r="H9" s="348"/>
      <c r="I9" s="3213"/>
      <c r="J9" s="350"/>
      <c r="K9" s="351"/>
      <c r="L9" s="357" t="s">
        <v>1403</v>
      </c>
      <c r="M9" s="358">
        <f ca="1">INDIRECT("'数据-取费表'!ab"&amp;$G$1)</f>
        <v>0</v>
      </c>
    </row>
    <row r="10" spans="1:37" ht="18" customHeight="1">
      <c r="A10" s="1289" t="s">
        <v>1036</v>
      </c>
      <c r="B10" s="1821" t="s">
        <v>1404</v>
      </c>
      <c r="C10" s="360">
        <f ca="1">ROUND(IF(F10="押一",C6/12*F11,IF(F10="押二",C6/12*2*F11,IF(F10="押三",C6/12*3*F11,C11*F11))),0)</f>
        <v>0</v>
      </c>
      <c r="D10" s="1822" t="s">
        <v>3026</v>
      </c>
      <c r="E10" s="357" t="s">
        <v>1405</v>
      </c>
      <c r="F10" s="1364" t="s">
        <v>3283</v>
      </c>
      <c r="G10" s="1849"/>
      <c r="H10" s="1289" t="s">
        <v>1036</v>
      </c>
      <c r="I10" s="1821" t="s">
        <v>1404</v>
      </c>
      <c r="J10" s="345">
        <f ca="1">ROUND(IF(M10="押一",J6/12*M11,IF(M10="押二",J6/12*2*M11,IF(M10="押三",J6/12*3*M11,J11*M11))),0)</f>
        <v>0</v>
      </c>
      <c r="K10" s="1822" t="s">
        <v>3025</v>
      </c>
      <c r="L10" s="357" t="s">
        <v>1405</v>
      </c>
      <c r="M10" s="1364" t="s">
        <v>1406</v>
      </c>
    </row>
    <row r="11" spans="1:37" ht="18" customHeight="1">
      <c r="A11" s="352"/>
      <c r="B11" s="1823" t="s">
        <v>1383</v>
      </c>
      <c r="C11" s="1176"/>
      <c r="D11" s="1824"/>
      <c r="E11" s="357" t="s">
        <v>1407</v>
      </c>
      <c r="F11" s="358">
        <f ca="1">'数据-取费表'!B39</f>
        <v>1.4999999999999999E-2</v>
      </c>
      <c r="G11" s="1849"/>
      <c r="H11" s="1297"/>
      <c r="I11" s="1823" t="s">
        <v>1383</v>
      </c>
      <c r="J11" s="1176"/>
      <c r="K11" s="746"/>
      <c r="L11" s="357"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4">
        <f ca="1">ROUND(C29*F13,0)</f>
        <v>70</v>
      </c>
      <c r="D13" s="1329" t="s">
        <v>1410</v>
      </c>
      <c r="E13" s="1329" t="s">
        <v>1411</v>
      </c>
      <c r="F13" s="1330">
        <f ca="1">INDIRECT("'数据-取费表'!y"&amp;$G$1)</f>
        <v>0.73333333333333328</v>
      </c>
      <c r="G13" s="1849"/>
      <c r="H13" s="1327">
        <v>2</v>
      </c>
      <c r="I13" s="1328" t="s">
        <v>1409</v>
      </c>
      <c r="J13" s="1288">
        <f ca="1">ROUND(J14*J15,0)</f>
        <v>0</v>
      </c>
      <c r="K13" s="1335" t="s">
        <v>1410</v>
      </c>
      <c r="L13" s="1850"/>
      <c r="M13" s="1851"/>
    </row>
    <row r="14" spans="1:37" ht="18" customHeight="1">
      <c r="A14" s="1199" t="s">
        <v>1031</v>
      </c>
      <c r="B14" s="346" t="s">
        <v>1412</v>
      </c>
      <c r="C14" s="362">
        <f ca="1">INDIRECT("'数据-取费表'!m"&amp;$G$1)+INDIRECT("'数据-取费表'!t"&amp;$G$1)</f>
        <v>58</v>
      </c>
      <c r="D14" s="1798" t="s">
        <v>1413</v>
      </c>
      <c r="E14" s="1792"/>
      <c r="F14" s="363"/>
      <c r="G14" s="1849"/>
      <c r="H14" s="1199" t="s">
        <v>1032</v>
      </c>
      <c r="I14" s="346" t="s">
        <v>1414</v>
      </c>
      <c r="J14" s="23">
        <f ca="1">C29</f>
        <v>95</v>
      </c>
      <c r="K14" s="14"/>
      <c r="L14" s="977"/>
      <c r="M14" s="978"/>
    </row>
    <row r="15" spans="1:37" s="1856" customFormat="1" ht="18" customHeight="1" thickBot="1">
      <c r="A15" s="1199" t="s">
        <v>1033</v>
      </c>
      <c r="B15" s="346" t="s">
        <v>1415</v>
      </c>
      <c r="C15" s="23">
        <f ca="1">ROUND(C14*F15,0)</f>
        <v>3</v>
      </c>
      <c r="D15" s="364" t="s">
        <v>1416</v>
      </c>
      <c r="E15" s="364" t="s">
        <v>1417</v>
      </c>
      <c r="F15" s="365">
        <f>'数据-取费表'!B33</f>
        <v>0.05</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6" t="s">
        <v>1418</v>
      </c>
      <c r="C16" s="23">
        <f ca="1">ROUND(INDIRECT("'数据-取费表'!m"&amp;$G$1)*F16,0)</f>
        <v>3</v>
      </c>
      <c r="D16" s="346" t="s">
        <v>1416</v>
      </c>
      <c r="E16" s="346" t="s">
        <v>1417</v>
      </c>
      <c r="F16" s="366">
        <f ca="1">IF(INDIRECT("'数据-取费表'!c"&amp;$G$1)="住宅",'数据-取费表'!B34,0)</f>
        <v>0.05</v>
      </c>
      <c r="G16" s="1849"/>
      <c r="H16" s="1327" t="s">
        <v>1027</v>
      </c>
      <c r="I16" s="1328" t="s">
        <v>1419</v>
      </c>
      <c r="J16" s="354">
        <f ca="1">ROUND(J17+J22+J23+J24,0)</f>
        <v>1</v>
      </c>
      <c r="K16" s="1335" t="s">
        <v>1420</v>
      </c>
      <c r="L16" s="1336"/>
      <c r="M16" s="1292"/>
    </row>
    <row r="17" spans="1:37" s="1856" customFormat="1" ht="18" customHeight="1">
      <c r="A17" s="1199" t="s">
        <v>1385</v>
      </c>
      <c r="B17" s="346" t="s">
        <v>1421</v>
      </c>
      <c r="C17" s="23">
        <f ca="1">ROUND(F17*(F43+INDIRECT("'数据-取费表'!S"&amp;$G$1))/10000,0)</f>
        <v>4</v>
      </c>
      <c r="D17" s="346" t="s">
        <v>1422</v>
      </c>
      <c r="E17" s="346" t="s">
        <v>1423</v>
      </c>
      <c r="F17" s="25">
        <f>'数据-取费表'!B35</f>
        <v>200</v>
      </c>
      <c r="G17" s="1852"/>
      <c r="H17" s="1199" t="s">
        <v>1032</v>
      </c>
      <c r="I17" s="346" t="s">
        <v>1424</v>
      </c>
      <c r="J17" s="23">
        <f ca="1">ROUND(IF(项目基本情况!B11="自然人",J5*M17,J18+J19+J20),1)</f>
        <v>0</v>
      </c>
      <c r="K17" s="1798" t="s">
        <v>1425</v>
      </c>
      <c r="L17" s="1796" t="s">
        <v>1426</v>
      </c>
      <c r="M17" s="367">
        <f ca="1">IF(项目基本情况!B11="企业","",IF(INDIRECT("'数据-取费表'!c"&amp;$G$1)="住宅",5%,IF(M6*M7*M8/12/(1+'数据-取费表'!C42)&gt;20000,12%,7%)))</f>
        <v>0.05</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6" t="s">
        <v>1427</v>
      </c>
      <c r="C18" s="23">
        <f ca="1">ROUND(C14*F18,0)</f>
        <v>1</v>
      </c>
      <c r="D18" s="346" t="s">
        <v>1416</v>
      </c>
      <c r="E18" s="346" t="s">
        <v>1417</v>
      </c>
      <c r="F18" s="366">
        <f>'数据-取费表'!B36</f>
        <v>1.4999999999999999E-2</v>
      </c>
      <c r="G18" s="1852"/>
      <c r="H18" s="1199" t="s">
        <v>1031</v>
      </c>
      <c r="I18" s="346" t="s">
        <v>1428</v>
      </c>
      <c r="J18" s="23">
        <f ca="1">ROUND(J5*M18/(1+'数据-取费表'!C42),2)</f>
        <v>0</v>
      </c>
      <c r="K18" s="1796"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1430</v>
      </c>
      <c r="C19" s="23">
        <f ca="1">SUM(C14:C18)</f>
        <v>69</v>
      </c>
      <c r="D19" s="139" t="s">
        <v>1431</v>
      </c>
      <c r="E19" s="1816"/>
      <c r="F19" s="25"/>
      <c r="G19" s="1849"/>
      <c r="H19" s="1199" t="s">
        <v>1033</v>
      </c>
      <c r="I19" s="346" t="s">
        <v>1432</v>
      </c>
      <c r="J19" s="23">
        <f ca="1">IF(K19="按租金收入计税",ROUND(J5*M19,2),ROUND(C29*M19*0.7,2))</f>
        <v>0.8</v>
      </c>
      <c r="K19" s="1826" t="s">
        <v>1433</v>
      </c>
      <c r="L19" s="346" t="s">
        <v>1417</v>
      </c>
      <c r="M19" s="366">
        <f>IF(K19="按租金收入计税",'数据-取费表'!B51,'数据-取费表'!B50)</f>
        <v>1.2E-2</v>
      </c>
    </row>
    <row r="20" spans="1:37" s="1856" customFormat="1" ht="18" customHeight="1">
      <c r="A20" s="1199" t="s">
        <v>1036</v>
      </c>
      <c r="B20" s="346" t="s">
        <v>1434</v>
      </c>
      <c r="C20" s="23">
        <f ca="1">ROUND(C19*F20,0)</f>
        <v>2</v>
      </c>
      <c r="D20" s="368" t="s">
        <v>1435</v>
      </c>
      <c r="E20" s="346" t="s">
        <v>1417</v>
      </c>
      <c r="F20" s="366">
        <f>'数据-取费表'!B37</f>
        <v>0.03</v>
      </c>
      <c r="G20" s="1852"/>
      <c r="H20" s="1199" t="s">
        <v>1384</v>
      </c>
      <c r="I20" s="163" t="s">
        <v>1436</v>
      </c>
      <c r="J20" s="24">
        <f ca="1">ROUND(M20*M21/10000,2)</f>
        <v>0.13</v>
      </c>
      <c r="K20" s="369" t="s">
        <v>1437</v>
      </c>
      <c r="L20" s="346" t="s">
        <v>1438</v>
      </c>
      <c r="M20" s="370">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1439</v>
      </c>
      <c r="C21" s="23" t="s">
        <v>18</v>
      </c>
      <c r="D21" s="368" t="s">
        <v>1440</v>
      </c>
      <c r="E21" s="346" t="s">
        <v>1441</v>
      </c>
      <c r="F21" s="366">
        <f>'数据-取费表'!B38</f>
        <v>0.02</v>
      </c>
      <c r="G21" s="1852"/>
      <c r="H21" s="371"/>
      <c r="I21" s="355"/>
      <c r="J21" s="28"/>
      <c r="K21" s="372"/>
      <c r="L21" s="346" t="s">
        <v>1442</v>
      </c>
      <c r="M21" s="347">
        <f ca="1">INDIRECT("'数据-取费表'!r"&amp;$G$1)</f>
        <v>53.64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1816"/>
      <c r="F22" s="25"/>
      <c r="G22" s="1849"/>
      <c r="H22" s="1199" t="s">
        <v>1036</v>
      </c>
      <c r="I22" s="346" t="s">
        <v>1444</v>
      </c>
      <c r="J22" s="23">
        <f ca="1">ROUND(J14*M22,1)</f>
        <v>1.4</v>
      </c>
      <c r="K22" s="1796" t="s">
        <v>1445</v>
      </c>
      <c r="L22" s="346" t="s">
        <v>1417</v>
      </c>
      <c r="M22" s="373">
        <f ca="1">INDIRECT("'数据-取费表'!Ak"&amp;$G$1)</f>
        <v>1.4999999999999999E-2</v>
      </c>
    </row>
    <row r="23" spans="1:37" s="1856" customFormat="1" ht="18" customHeight="1">
      <c r="A23" s="1199" t="s">
        <v>1031</v>
      </c>
      <c r="B23" s="346" t="s">
        <v>1446</v>
      </c>
      <c r="C23" s="23">
        <f ca="1">IF('数据-取费表'!B22&lt;=1,ROUND(C19*F24*F23/2,0)+ROUND(C20*F24*F23/2,0),ROUND(C19*(POWER((1+F24),F23/2)-1),0)+ROUND(C20*(POWER((1+F24),F23/2)-1),0))</f>
        <v>3</v>
      </c>
      <c r="D23" s="374" t="str">
        <f>IF(F23&lt;=1,"(建造成本+管理费用)×利率×(建设周期÷2)","(建造成本+管理费用)×((1+利率)^(建设周期÷2)-1)")</f>
        <v>(建造成本+管理费用)×((1+利率)^(建设周期÷2)-1)</v>
      </c>
      <c r="E23" s="346" t="s">
        <v>1447</v>
      </c>
      <c r="F23" s="370">
        <f>'数据-取费表'!B20</f>
        <v>2</v>
      </c>
      <c r="G23" s="1852"/>
      <c r="H23" s="1199" t="s">
        <v>1072</v>
      </c>
      <c r="I23" s="346" t="s">
        <v>1448</v>
      </c>
      <c r="J23" s="23">
        <f ca="1">ROUND(J13*M23,1)</f>
        <v>0</v>
      </c>
      <c r="K23" s="1796" t="s">
        <v>1449</v>
      </c>
      <c r="L23" s="346" t="s">
        <v>1450</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2"/>
      <c r="H24" s="1337" t="s">
        <v>1388</v>
      </c>
      <c r="I24" s="1338" t="s">
        <v>1434</v>
      </c>
      <c r="J24" s="1339">
        <f ca="1">ROUND(J5*M24,1)</f>
        <v>0</v>
      </c>
      <c r="K24" s="1340" t="s">
        <v>1454</v>
      </c>
      <c r="L24" s="1338" t="s">
        <v>1450</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6" t="s">
        <v>1456</v>
      </c>
      <c r="C25" s="23"/>
      <c r="D25" s="139" t="s">
        <v>1457</v>
      </c>
      <c r="E25" s="1816"/>
      <c r="F25" s="25"/>
      <c r="G25" s="1849"/>
      <c r="H25" s="1327" t="s">
        <v>1028</v>
      </c>
      <c r="I25" s="1342" t="s">
        <v>1458</v>
      </c>
      <c r="J25" s="354">
        <f ca="1">J5-J16</f>
        <v>-1</v>
      </c>
      <c r="K25" s="1343" t="s">
        <v>1459</v>
      </c>
      <c r="L25" s="1344"/>
      <c r="M25" s="1345"/>
    </row>
    <row r="26" spans="1:37">
      <c r="A26" s="1199" t="s">
        <v>1031</v>
      </c>
      <c r="B26" s="346" t="s">
        <v>1460</v>
      </c>
      <c r="C26" s="23">
        <f ca="1">ROUND((C19+C20)*F26,0)</f>
        <v>14</v>
      </c>
      <c r="D26" s="368" t="s">
        <v>1461</v>
      </c>
      <c r="E26" s="357" t="s">
        <v>1462</v>
      </c>
      <c r="F26" s="356">
        <f ca="1">INDIRECT("'数据-取费表'!q"&amp;$G$1)</f>
        <v>0.2</v>
      </c>
      <c r="G26" s="1849"/>
      <c r="H26" s="343" t="s">
        <v>1029</v>
      </c>
      <c r="I26" s="344" t="s">
        <v>1463</v>
      </c>
      <c r="J26" s="345">
        <f ca="1">IF(J5&lt;&gt;0,ROUND(J25*(1-((1+M28)/(1+M26))^M27)/(M26-M28),0),0)</f>
        <v>0</v>
      </c>
      <c r="K26" s="369" t="s">
        <v>1464</v>
      </c>
      <c r="L26" s="346" t="s">
        <v>1465</v>
      </c>
      <c r="M26" s="356">
        <f ca="1">INDIRECT("'数据-取费表'!I"&amp;$G$1)</f>
        <v>0.05</v>
      </c>
    </row>
    <row r="27" spans="1:37" ht="18" customHeight="1">
      <c r="A27" s="1199" t="s">
        <v>1033</v>
      </c>
      <c r="B27" s="346" t="s">
        <v>1466</v>
      </c>
      <c r="C27" s="23">
        <f ca="1">ROUND(F21*F26,4)</f>
        <v>4.0000000000000001E-3</v>
      </c>
      <c r="D27" s="368" t="s">
        <v>1467</v>
      </c>
      <c r="E27" s="364"/>
      <c r="F27" s="365"/>
      <c r="G27" s="1849"/>
      <c r="H27" s="348"/>
      <c r="I27" s="349"/>
      <c r="J27" s="350"/>
      <c r="K27" s="377" t="s">
        <v>1468</v>
      </c>
      <c r="L27" s="346" t="s">
        <v>1469</v>
      </c>
      <c r="M27" s="378">
        <f ca="1">INDIRECT("'数据-取费表'!ag"&amp;$G$1)</f>
        <v>0</v>
      </c>
    </row>
    <row r="28" spans="1:37" s="1856" customFormat="1" ht="18" customHeight="1">
      <c r="A28" s="1199" t="s">
        <v>1034</v>
      </c>
      <c r="B28" s="346" t="s">
        <v>1470</v>
      </c>
      <c r="C28" s="23">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95</v>
      </c>
      <c r="D29" s="1340"/>
      <c r="E29" s="1338"/>
      <c r="F29" s="1341"/>
      <c r="G29" s="1852"/>
      <c r="H29" s="379" t="s">
        <v>1030</v>
      </c>
      <c r="I29" s="380" t="s">
        <v>1474</v>
      </c>
      <c r="J29" s="381">
        <f ca="1">ROUND(J26/(1+F40)^F41,0)</f>
        <v>0</v>
      </c>
      <c r="K29" s="382" t="s">
        <v>1475</v>
      </c>
      <c r="L29" s="383"/>
      <c r="M29" s="384">
        <f ca="1">INDIRECT("'数据-取费表'!k"&amp;$G$1)</f>
        <v>194.47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4">
        <f ca="1">ROUND(C31+C36+C37+C38,0)</f>
        <v>4</v>
      </c>
      <c r="D30" s="1335" t="s">
        <v>1420</v>
      </c>
      <c r="E30" s="1336"/>
      <c r="F30" s="1292"/>
      <c r="G30" s="1849"/>
      <c r="H30" s="743"/>
      <c r="I30" s="744"/>
      <c r="J30" s="745"/>
      <c r="K30" s="746"/>
      <c r="L30" s="747"/>
      <c r="M30" s="748"/>
    </row>
    <row r="31" spans="1:37" ht="18" customHeight="1">
      <c r="A31" s="1199" t="s">
        <v>1032</v>
      </c>
      <c r="B31" s="346" t="s">
        <v>1424</v>
      </c>
      <c r="C31" s="23">
        <f ca="1">ROUND(IF(项目基本情况!B11="自然人",C5*F31,C32+C33+C34),1)</f>
        <v>1.9</v>
      </c>
      <c r="D31" s="1798" t="s">
        <v>1425</v>
      </c>
      <c r="E31" s="1796" t="s">
        <v>1476</v>
      </c>
      <c r="F31" s="367">
        <f ca="1">IF(项目基本情况!B11="企业","",IF(INDIRECT("'数据-取费表'!c"&amp;$G$1)="住宅",5%,IF(F6*F7*F8/12/(1+'数据-取费表'!C42)&gt;20000,12%,7%)))</f>
        <v>0.05</v>
      </c>
      <c r="G31" s="1849"/>
      <c r="H31" s="743"/>
      <c r="I31" s="744"/>
      <c r="J31" s="745"/>
      <c r="K31" s="746"/>
      <c r="L31" s="747"/>
      <c r="M31" s="748"/>
    </row>
    <row r="32" spans="1:37" ht="18" customHeight="1">
      <c r="A32" s="1199" t="s">
        <v>1031</v>
      </c>
      <c r="B32" s="346" t="s">
        <v>1428</v>
      </c>
      <c r="C32" s="23" t="str">
        <f>IF(项目基本情况!B11="自然人","——",ROUND(C5*F32/(1+'数据-取费表'!C42),2))</f>
        <v>——</v>
      </c>
      <c r="D32" s="1796" t="s">
        <v>1429</v>
      </c>
      <c r="E32" s="346" t="s">
        <v>1417</v>
      </c>
      <c r="F32" s="376">
        <f>'数据-取费表'!B41</f>
        <v>5.6000000000000001E-2</v>
      </c>
      <c r="G32" s="1849"/>
      <c r="H32" s="743"/>
      <c r="I32" s="744"/>
      <c r="J32" s="745"/>
      <c r="K32" s="746"/>
      <c r="L32" s="747"/>
      <c r="M32" s="748"/>
    </row>
    <row r="33" spans="1:18" ht="18" customHeight="1">
      <c r="A33" s="1199" t="s">
        <v>1033</v>
      </c>
      <c r="B33" s="346" t="s">
        <v>1432</v>
      </c>
      <c r="C33" s="23" t="str">
        <f ca="1">IF(项目基本情况!B11="自然人","——",IF(D33="按租金收入计税",ROUND(C5*F33,2),IF(D33="按房产原值计税",ROUND(C29*F33*0.7,2),INDIRECT("'数据-取费表'!Aj"&amp;$G$1))))</f>
        <v>——</v>
      </c>
      <c r="D33" s="1826" t="s">
        <v>3074</v>
      </c>
      <c r="E33" s="346" t="s">
        <v>1417</v>
      </c>
      <c r="F33" s="366">
        <f>IF(D33="按票据","——",IF(D33="按租金收入计税",'数据-取费表'!B51,'数据-取费表'!B50))</f>
        <v>0.12</v>
      </c>
      <c r="G33" s="1849"/>
      <c r="H33" s="1857"/>
      <c r="I33" s="1858"/>
      <c r="J33" s="1859"/>
      <c r="K33" s="1860"/>
      <c r="L33" s="1857"/>
      <c r="M33" s="1857"/>
    </row>
    <row r="34" spans="1:18" ht="18" customHeight="1">
      <c r="A34" s="1289" t="s">
        <v>1384</v>
      </c>
      <c r="B34" s="163" t="s">
        <v>1436</v>
      </c>
      <c r="C34" s="24" t="str">
        <f>IF(项目基本情况!B11="自然人","——",ROUND(F34*F35/10000,2))</f>
        <v>——</v>
      </c>
      <c r="D34" s="369" t="s">
        <v>1437</v>
      </c>
      <c r="E34" s="346" t="s">
        <v>1438</v>
      </c>
      <c r="F34" s="370">
        <f>'数据-取费表'!B52</f>
        <v>24</v>
      </c>
      <c r="G34" s="1849"/>
      <c r="H34" s="743"/>
      <c r="I34" s="1858"/>
      <c r="J34" s="1859"/>
      <c r="K34" s="1861"/>
      <c r="L34" s="1862"/>
      <c r="M34" s="1862"/>
    </row>
    <row r="35" spans="1:18" ht="18" customHeight="1">
      <c r="A35" s="1351"/>
      <c r="B35" s="1349"/>
      <c r="C35" s="28"/>
      <c r="D35" s="372"/>
      <c r="E35" s="346" t="s">
        <v>1442</v>
      </c>
      <c r="F35" s="347">
        <f ca="1">INDIRECT("'数据-取费表'!r"&amp;$G$1)</f>
        <v>53.64</v>
      </c>
      <c r="G35" s="1849"/>
      <c r="H35" s="743"/>
      <c r="I35" s="1858"/>
      <c r="J35" s="1859"/>
      <c r="K35" s="1860"/>
      <c r="L35" s="1857"/>
      <c r="M35" s="1857"/>
    </row>
    <row r="36" spans="1:18" ht="18" customHeight="1">
      <c r="A36" s="1350" t="s">
        <v>1036</v>
      </c>
      <c r="B36" s="346" t="s">
        <v>1444</v>
      </c>
      <c r="C36" s="23">
        <f ca="1">ROUND(C29*F36,1)</f>
        <v>1.4</v>
      </c>
      <c r="D36" s="1796" t="s">
        <v>1477</v>
      </c>
      <c r="E36" s="346" t="s">
        <v>1417</v>
      </c>
      <c r="F36" s="373">
        <f ca="1">INDIRECT("'数据-取费表'!Ak"&amp;$G$1)</f>
        <v>1.4999999999999999E-2</v>
      </c>
      <c r="G36" s="1849"/>
      <c r="H36" s="1857"/>
      <c r="I36" s="1858"/>
      <c r="J36" s="1859"/>
      <c r="K36" s="749"/>
      <c r="L36" s="1857"/>
      <c r="M36" s="1857"/>
    </row>
    <row r="37" spans="1:18" ht="18" customHeight="1">
      <c r="A37" s="1199" t="s">
        <v>1072</v>
      </c>
      <c r="B37" s="346" t="s">
        <v>1448</v>
      </c>
      <c r="C37" s="23">
        <f ca="1">ROUND(C13*F37,1)</f>
        <v>0.1</v>
      </c>
      <c r="D37" s="1796" t="s">
        <v>1449</v>
      </c>
      <c r="E37" s="346" t="s">
        <v>1450</v>
      </c>
      <c r="F37" s="375">
        <f ca="1">INDIRECT("'数据-取费表'!Al"&amp;$G$1)</f>
        <v>1.5E-3</v>
      </c>
      <c r="G37" s="1849"/>
      <c r="H37" s="1857"/>
      <c r="I37" s="1858"/>
      <c r="J37" s="1859"/>
      <c r="K37" s="749"/>
      <c r="L37" s="1857"/>
      <c r="M37" s="1857"/>
    </row>
    <row r="38" spans="1:18" ht="18" customHeight="1" thickBot="1">
      <c r="A38" s="1337" t="s">
        <v>1388</v>
      </c>
      <c r="B38" s="1338" t="s">
        <v>1434</v>
      </c>
      <c r="C38" s="1339">
        <f ca="1">ROUND(C5*F38,1)</f>
        <v>0.6</v>
      </c>
      <c r="D38" s="1340" t="s">
        <v>1454</v>
      </c>
      <c r="E38" s="1338" t="s">
        <v>1450</v>
      </c>
      <c r="F38" s="1334">
        <f ca="1">INDIRECT("'数据-取费表'!Am"&amp;$G$1)</f>
        <v>1.4999999999999999E-2</v>
      </c>
      <c r="G38" s="1849"/>
      <c r="H38" s="1857"/>
      <c r="I38" s="1858"/>
      <c r="J38" s="1859"/>
      <c r="K38" s="1863"/>
      <c r="L38" s="1857"/>
      <c r="M38" s="1857"/>
    </row>
    <row r="39" spans="1:18" ht="24.6" customHeight="1" thickTop="1">
      <c r="A39" s="1327" t="s">
        <v>1028</v>
      </c>
      <c r="B39" s="1342" t="s">
        <v>1478</v>
      </c>
      <c r="C39" s="354">
        <f ca="1">C5-C30</f>
        <v>34</v>
      </c>
      <c r="D39" s="1343" t="s">
        <v>1479</v>
      </c>
      <c r="E39" s="1344"/>
      <c r="F39" s="1345"/>
      <c r="G39" s="1849"/>
      <c r="H39" s="1857"/>
      <c r="I39" s="1858"/>
      <c r="J39" s="1859"/>
      <c r="K39" s="1863"/>
      <c r="L39" s="1857"/>
      <c r="M39" s="1857"/>
    </row>
    <row r="40" spans="1:18" ht="18" customHeight="1">
      <c r="A40" s="343" t="s">
        <v>1029</v>
      </c>
      <c r="B40" s="344" t="s">
        <v>1480</v>
      </c>
      <c r="C40" s="345">
        <f ca="1">ROUND(C39*(1-((1+F42)/(1+F40))^F41)/(F40-F42),0)</f>
        <v>885</v>
      </c>
      <c r="D40" s="369" t="s">
        <v>1464</v>
      </c>
      <c r="E40" s="346" t="s">
        <v>1465</v>
      </c>
      <c r="F40" s="356">
        <f ca="1">INDIRECT("'数据-取费表'!I"&amp;$G$1)</f>
        <v>0.05</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52.35</v>
      </c>
      <c r="G41" s="1849"/>
      <c r="H41" s="730"/>
      <c r="I41" s="1858"/>
      <c r="J41" s="1859"/>
      <c r="K41" s="749"/>
      <c r="L41" s="730"/>
      <c r="M41" s="730"/>
    </row>
    <row r="42" spans="1:18" ht="18" customHeight="1">
      <c r="A42" s="352"/>
      <c r="B42" s="353"/>
      <c r="C42" s="354"/>
      <c r="D42" s="372"/>
      <c r="E42" s="346" t="s">
        <v>1472</v>
      </c>
      <c r="F42" s="356">
        <f ca="1">INDIRECT("'数据-取费表'!v"&amp;$G$1)</f>
        <v>0.02</v>
      </c>
      <c r="G42" s="1849"/>
      <c r="H42" s="730"/>
      <c r="I42" s="1858"/>
      <c r="J42" s="1859"/>
      <c r="K42" s="749"/>
      <c r="L42" s="730"/>
      <c r="M42" s="730"/>
    </row>
    <row r="43" spans="1:18" ht="18" customHeight="1" thickBot="1">
      <c r="A43" s="379" t="s">
        <v>1030</v>
      </c>
      <c r="B43" s="380" t="s">
        <v>1482</v>
      </c>
      <c r="C43" s="381">
        <f ca="1">ROUND(C40*10000/F43,0)</f>
        <v>45508</v>
      </c>
      <c r="D43" s="382" t="s">
        <v>1483</v>
      </c>
      <c r="E43" s="383" t="s">
        <v>1484</v>
      </c>
      <c r="F43" s="384">
        <f ca="1">INDIRECT("'数据-取费表'!k"&amp;$G$1)</f>
        <v>194.47</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1514</v>
      </c>
      <c r="P45" s="1837"/>
      <c r="Q45" s="1837"/>
      <c r="R45" s="1837"/>
    </row>
    <row r="46" spans="1:18" s="1840" customFormat="1" ht="13.5" thickBot="1">
      <c r="A46" s="1868" t="s">
        <v>1515</v>
      </c>
      <c r="C46" s="1869">
        <f ca="1">C68-C40</f>
        <v>-922</v>
      </c>
      <c r="D46" s="1870" t="str">
        <f>C2</f>
        <v>万元</v>
      </c>
      <c r="E46" s="1864"/>
      <c r="F46" s="1864"/>
      <c r="I46" s="1871" t="s">
        <v>1516</v>
      </c>
      <c r="J46" s="1872"/>
      <c r="K46" s="1873"/>
      <c r="L46" s="1874">
        <f>IF(M47="住宅",0,IF(L48&gt;J51,L60,J60))</f>
        <v>0</v>
      </c>
      <c r="O46" s="1875" t="s">
        <v>1517</v>
      </c>
      <c r="P46" s="1876" t="s">
        <v>1518</v>
      </c>
      <c r="Q46" s="1877" t="s">
        <v>1519</v>
      </c>
      <c r="R46" s="1877" t="s">
        <v>1520</v>
      </c>
    </row>
    <row r="47" spans="1:18" s="1840" customFormat="1" ht="13.5" thickBot="1">
      <c r="A47" s="1163" t="s">
        <v>1391</v>
      </c>
      <c r="B47" s="1195" t="s">
        <v>1392</v>
      </c>
      <c r="C47" s="1365" t="s">
        <v>1393</v>
      </c>
      <c r="D47" s="1195" t="s">
        <v>1394</v>
      </c>
      <c r="E47" s="1277" t="s">
        <v>1395</v>
      </c>
      <c r="F47" s="1278"/>
      <c r="G47" s="790"/>
      <c r="I47" s="1878" t="s">
        <v>1521</v>
      </c>
      <c r="J47" s="1879"/>
      <c r="K47" s="1880" t="s">
        <v>1522</v>
      </c>
      <c r="L47" s="1881">
        <f ca="1">INDIRECT("'数据-取费表'!d"&amp;$G$1)</f>
        <v>70</v>
      </c>
      <c r="M47" s="1836" t="str">
        <f>IF(ISNUMBER(FIND("住宅",C1)),"住宅","非住宅")</f>
        <v>住宅</v>
      </c>
      <c r="O47" s="1882" t="s">
        <v>1037</v>
      </c>
      <c r="P47" s="1883" t="s">
        <v>1523</v>
      </c>
      <c r="Q47" s="1884">
        <f ca="1">C40+J29</f>
        <v>885</v>
      </c>
      <c r="R47" s="1884" t="s">
        <v>1524</v>
      </c>
    </row>
    <row r="48" spans="1:18" s="1840" customFormat="1" ht="28.5" thickBot="1">
      <c r="A48" s="1358" t="s">
        <v>1132</v>
      </c>
      <c r="B48" s="344" t="s">
        <v>1396</v>
      </c>
      <c r="C48" s="1815">
        <f ca="1">C49+C53+C55</f>
        <v>0</v>
      </c>
      <c r="D48" s="1360"/>
      <c r="E48" s="1361"/>
      <c r="F48" s="1179"/>
      <c r="G48" s="790"/>
      <c r="H48" s="791"/>
      <c r="I48" s="1885" t="s">
        <v>1525</v>
      </c>
      <c r="J48" s="1886"/>
      <c r="K48" s="1887" t="s">
        <v>1526</v>
      </c>
      <c r="L48" s="1888">
        <f ca="1">INDIRECT("'数据-取费表'!f"&amp;$G$1)</f>
        <v>52.35</v>
      </c>
      <c r="O48" s="1882" t="s">
        <v>1038</v>
      </c>
      <c r="P48" s="1883" t="s">
        <v>1527</v>
      </c>
      <c r="Q48" s="1884" t="str">
        <f ca="1">J60</f>
        <v>0</v>
      </c>
      <c r="R48" s="1884" t="s">
        <v>1528</v>
      </c>
    </row>
    <row r="49" spans="1:18" s="1840" customFormat="1" ht="13.5" thickBot="1">
      <c r="A49" s="1192" t="s">
        <v>1133</v>
      </c>
      <c r="B49" s="1827" t="s">
        <v>1485</v>
      </c>
      <c r="C49" s="1362">
        <f ca="1">ROUND(F49*F51*F50*(1-F52)/10000,0)</f>
        <v>0</v>
      </c>
      <c r="D49" s="1274" t="s">
        <v>3018</v>
      </c>
      <c r="E49" s="1828" t="s">
        <v>1486</v>
      </c>
      <c r="F49" s="1279"/>
      <c r="G49" s="1889"/>
      <c r="H49" s="791"/>
      <c r="I49" s="1885" t="s">
        <v>1529</v>
      </c>
      <c r="J49" s="1890"/>
      <c r="K49" s="1887" t="s">
        <v>1530</v>
      </c>
      <c r="L49" s="1891"/>
      <c r="O49" s="1892" t="s">
        <v>1039</v>
      </c>
      <c r="P49" s="1883" t="s">
        <v>1531</v>
      </c>
      <c r="Q49" s="1884">
        <f ca="1">C29</f>
        <v>95</v>
      </c>
      <c r="R49" s="1884" t="s">
        <v>1524</v>
      </c>
    </row>
    <row r="50" spans="1:18" s="1840" customFormat="1" ht="13.5" thickBot="1">
      <c r="A50" s="1193"/>
      <c r="B50" s="1196"/>
      <c r="C50" s="1366"/>
      <c r="D50" s="1170"/>
      <c r="E50" s="1275" t="s">
        <v>1401</v>
      </c>
      <c r="F50" s="1276">
        <f ca="1">F7</f>
        <v>194.47</v>
      </c>
      <c r="H50" s="791"/>
      <c r="I50" s="1885" t="s">
        <v>1532</v>
      </c>
      <c r="J50" s="1893">
        <f>SUMPRODUCT((I63:I65=J47)*(J62:L62=J48)*(J63:L65))</f>
        <v>0</v>
      </c>
      <c r="K50" s="1887" t="s">
        <v>1533</v>
      </c>
      <c r="L50" s="1891"/>
      <c r="M50" s="1894"/>
      <c r="O50" s="1892" t="s">
        <v>1040</v>
      </c>
      <c r="P50" s="1883" t="s">
        <v>1534</v>
      </c>
      <c r="Q50" s="1895" t="e">
        <f ca="1">J58</f>
        <v>#VALUE!</v>
      </c>
      <c r="R50" s="1884"/>
    </row>
    <row r="51" spans="1:18" s="1840" customFormat="1" ht="13.5" thickBot="1">
      <c r="A51" s="1194"/>
      <c r="B51" s="1196"/>
      <c r="C51" s="1197"/>
      <c r="D51" s="1170"/>
      <c r="E51" s="1198" t="s">
        <v>1402</v>
      </c>
      <c r="F51" s="347">
        <f ca="1">F8</f>
        <v>365</v>
      </c>
      <c r="I51" s="1896" t="s">
        <v>1535</v>
      </c>
      <c r="J51" s="1897">
        <f>IF(J49="",J50,J49+J50-YEAR('数据-取费表'!B2))</f>
        <v>0</v>
      </c>
      <c r="K51" s="1898" t="s">
        <v>1536</v>
      </c>
      <c r="L51" s="1899">
        <f ca="1">ROUND(-PV(INDIRECT("'数据-取费表'!h"&amp;$G$1),L48,(C39-C13*C76),0),0)</f>
        <v>568</v>
      </c>
      <c r="M51" s="1900"/>
      <c r="O51" s="1892" t="s">
        <v>1041</v>
      </c>
      <c r="P51" s="1883" t="s">
        <v>1537</v>
      </c>
      <c r="Q51" s="1895">
        <f>J52</f>
        <v>0</v>
      </c>
      <c r="R51" s="1884"/>
    </row>
    <row r="52" spans="1:18" s="1840" customFormat="1" ht="13.5" thickBot="1">
      <c r="A52" s="1194"/>
      <c r="B52" s="1196"/>
      <c r="C52" s="1197"/>
      <c r="D52" s="1170"/>
      <c r="E52" s="1198" t="s">
        <v>1403</v>
      </c>
      <c r="F52" s="1273"/>
      <c r="I52" s="1901" t="s">
        <v>1538</v>
      </c>
      <c r="J52" s="1902"/>
      <c r="K52" s="1901" t="s">
        <v>1539</v>
      </c>
      <c r="L52" s="1902"/>
      <c r="O52" s="1892" t="s">
        <v>1042</v>
      </c>
      <c r="P52" s="1883" t="s">
        <v>1540</v>
      </c>
      <c r="Q52" s="1884">
        <f ca="1">J53</f>
        <v>52.35</v>
      </c>
      <c r="R52" s="1884" t="s">
        <v>1541</v>
      </c>
    </row>
    <row r="53" spans="1:18" s="1840" customFormat="1" ht="24.75" thickBot="1">
      <c r="A53" s="1403" t="s">
        <v>1134</v>
      </c>
      <c r="B53" s="1829" t="s">
        <v>1404</v>
      </c>
      <c r="C53" s="360">
        <f ca="1">ROUND(IF(F53="押一",C49/12*F11,IF(F53="押二",C49/12*2*F11,IF(F53="押三",C49/12*3*F11,C54*F11))),0)</f>
        <v>0</v>
      </c>
      <c r="D53" s="1822" t="s">
        <v>3025</v>
      </c>
      <c r="E53" s="357" t="s">
        <v>1405</v>
      </c>
      <c r="F53" s="1364"/>
      <c r="I53" s="1903" t="s">
        <v>1542</v>
      </c>
      <c r="J53" s="1904">
        <f ca="1">IF(M47="住宅",IF(D1="——",MAX(J51,L48),IF(D1="在建（套用方法）",MAX(J51,L48-'数据-取费表'!B24),MAX(J51,L48-'数据-取费表'!B20))),IF(D1="——",MIN(J51,L48),IF(D1="在建（套用方法）",MIN(J51,L48-'数据-取费表'!B24),IF(D1="土地（套用方法）",MIN(J51,L48-'数据-取费表'!B20)))))</f>
        <v>52.35</v>
      </c>
      <c r="K53" s="3209" t="s">
        <v>1543</v>
      </c>
      <c r="L53" s="3210"/>
      <c r="O53" s="1882" t="s">
        <v>1043</v>
      </c>
      <c r="P53" s="1883" t="s">
        <v>1544</v>
      </c>
      <c r="Q53" s="1884">
        <f ca="1">Q47+Q48</f>
        <v>885</v>
      </c>
      <c r="R53" s="1884" t="s">
        <v>1044</v>
      </c>
    </row>
    <row r="54" spans="1:18" s="1840" customFormat="1" ht="13.5" thickBot="1">
      <c r="A54" s="1404"/>
      <c r="B54" s="1823" t="s">
        <v>1383</v>
      </c>
      <c r="C54" s="1176"/>
      <c r="D54" s="1822"/>
      <c r="E54" s="1830"/>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89"/>
      <c r="O54" s="1867" t="s">
        <v>1545</v>
      </c>
      <c r="P54" s="1837"/>
      <c r="Q54" s="1837"/>
      <c r="R54" s="1837"/>
    </row>
    <row r="55" spans="1:18" s="1840" customFormat="1" ht="13.5" thickBot="1">
      <c r="A55" s="1331" t="s">
        <v>1072</v>
      </c>
      <c r="B55" s="1825" t="s">
        <v>1408</v>
      </c>
      <c r="C55" s="1332"/>
      <c r="D55" s="1822"/>
      <c r="E55" s="1830"/>
      <c r="F55" s="1905"/>
      <c r="I55" s="1908" t="s">
        <v>1546</v>
      </c>
      <c r="J55" s="1909" t="e">
        <f ca="1">ROUND(IF(J47="钢混",J57/J50,1-(1-2%)*(J50-J57)/J50),3)</f>
        <v>#VALUE!</v>
      </c>
      <c r="K55" s="1910" t="s">
        <v>1547</v>
      </c>
      <c r="L55" s="1911" t="s">
        <v>1548</v>
      </c>
      <c r="O55" s="1875" t="s">
        <v>1517</v>
      </c>
      <c r="P55" s="1876" t="s">
        <v>1518</v>
      </c>
      <c r="Q55" s="1877" t="s">
        <v>1519</v>
      </c>
      <c r="R55" s="1877" t="s">
        <v>1520</v>
      </c>
    </row>
    <row r="56" spans="1:18" s="1840" customFormat="1" ht="25.5" thickTop="1" thickBot="1">
      <c r="A56" s="1174">
        <v>2</v>
      </c>
      <c r="B56" s="1175" t="s">
        <v>1409</v>
      </c>
      <c r="C56" s="275">
        <f ca="1">C13</f>
        <v>70</v>
      </c>
      <c r="D56" s="1912"/>
      <c r="E56" s="1913"/>
      <c r="F56" s="1905"/>
      <c r="I56" s="1914" t="s">
        <v>1549</v>
      </c>
      <c r="J56" s="1915"/>
      <c r="K56" s="1885" t="s">
        <v>1550</v>
      </c>
      <c r="L56" s="1888">
        <f ca="1">IF(L48&lt;J51,"——",L48-J53)</f>
        <v>0</v>
      </c>
      <c r="O56" s="1882" t="s">
        <v>1037</v>
      </c>
      <c r="P56" s="1883" t="s">
        <v>1523</v>
      </c>
      <c r="Q56" s="1884">
        <f ca="1">C40+J29</f>
        <v>885</v>
      </c>
      <c r="R56" s="1884" t="s">
        <v>1524</v>
      </c>
    </row>
    <row r="57" spans="1:18" s="1840" customFormat="1" ht="24.75" thickBot="1">
      <c r="A57" s="1916"/>
      <c r="B57" s="1167" t="s">
        <v>1473</v>
      </c>
      <c r="C57" s="281">
        <f ca="1">C29</f>
        <v>95</v>
      </c>
      <c r="D57" s="1917"/>
      <c r="E57" s="1918"/>
      <c r="F57" s="1919"/>
      <c r="I57" s="1920" t="s">
        <v>1551</v>
      </c>
      <c r="J57" s="1921" t="str">
        <f ca="1">IF(OR(M47="住宅",J51&lt;L48,J56="是"),"——",J51-L48)</f>
        <v>——</v>
      </c>
      <c r="K57" s="1885" t="s">
        <v>1552</v>
      </c>
      <c r="L57" s="1888">
        <f ca="1">IF(L48&lt;J51,"——",IF(L55="比较法",L49,IF(L55="基准地价",L50,L51)))</f>
        <v>568</v>
      </c>
      <c r="O57" s="1882" t="s">
        <v>1038</v>
      </c>
      <c r="P57" s="1883" t="s">
        <v>1553</v>
      </c>
      <c r="Q57" s="1884">
        <f ca="1">L60</f>
        <v>0</v>
      </c>
      <c r="R57" s="1884" t="s">
        <v>1554</v>
      </c>
    </row>
    <row r="58" spans="1:18" s="1840" customFormat="1" ht="24.75" thickBot="1">
      <c r="A58" s="359" t="s">
        <v>1027</v>
      </c>
      <c r="B58" s="1175" t="s">
        <v>1419</v>
      </c>
      <c r="C58" s="360">
        <f ca="1">ROUND(C59+C64+C65+C66,0)</f>
        <v>2</v>
      </c>
      <c r="D58" s="1177" t="s">
        <v>1420</v>
      </c>
      <c r="E58" s="1178"/>
      <c r="F58" s="1179"/>
      <c r="I58" s="1920" t="s">
        <v>1555</v>
      </c>
      <c r="J58" s="1922"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3">
        <f ca="1">ROUND(IF(项目基本情况!B11="自然人",C48*F59,C60+C61+C62),1)</f>
        <v>0</v>
      </c>
      <c r="D59" s="1180" t="s">
        <v>1425</v>
      </c>
      <c r="E59" s="1181" t="s">
        <v>1426</v>
      </c>
      <c r="F59" s="367">
        <f ca="1">IF(项目基本情况!B11="企业","",IF(INDIRECT("'数据-取费表'!c"&amp;$G$1)="住宅",5%,IF(F49*F50*F51/12/(1+'数据-取费表'!C42)&gt;20000,12%,7%)))</f>
        <v>0.05</v>
      </c>
      <c r="I59" s="1920" t="s">
        <v>1558</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3" t="str">
        <f>IF(项目基本情况!B11="自然人","——",ROUND(C48*F60/(1+'数据-取费表'!C42),2))</f>
        <v>——</v>
      </c>
      <c r="D60" s="1181" t="s">
        <v>1429</v>
      </c>
      <c r="E60" s="1167" t="s">
        <v>1417</v>
      </c>
      <c r="F60" s="376">
        <f t="shared" ref="F60:F66" si="0">F32</f>
        <v>5.6000000000000001E-2</v>
      </c>
      <c r="I60" s="1923" t="s">
        <v>1560</v>
      </c>
      <c r="J60" s="1924" t="str">
        <f ca="1">IF(OR(M47="住宅",J51&lt;L48,J56="是"),"0",ROUND(J59/(1+J52)^J53,0))</f>
        <v>0</v>
      </c>
      <c r="K60" s="1925" t="s">
        <v>1561</v>
      </c>
      <c r="L60" s="1924">
        <f ca="1">IF(OR(M47="住宅",L48&lt;J51),0,ROUND(L57*(L58/L59-1),0))</f>
        <v>0</v>
      </c>
      <c r="O60" s="1892" t="s">
        <v>1041</v>
      </c>
      <c r="P60" s="1883" t="s">
        <v>1562</v>
      </c>
      <c r="Q60" s="1884" t="e">
        <f ca="1">L58</f>
        <v>#DIV/0!</v>
      </c>
      <c r="R60" s="1884" t="s">
        <v>1563</v>
      </c>
    </row>
    <row r="61" spans="1:18" s="1840" customFormat="1" ht="13.5" thickBot="1">
      <c r="A61" s="1199" t="s">
        <v>1487</v>
      </c>
      <c r="B61" s="1167" t="s">
        <v>1488</v>
      </c>
      <c r="C61" s="23" t="str">
        <f ca="1">IF(项目基本情况!B11="自然人","——",IF(D61="按租金收入计税",ROUND(C48*F61,2),IF(D61="按房产原值计税",ROUND(C57*F61*0.7,2),INDIRECT("'数据-取费表'!Aj"&amp;$G$1))))</f>
        <v>——</v>
      </c>
      <c r="D61" s="1826" t="s">
        <v>1433</v>
      </c>
      <c r="E61" s="1167" t="s">
        <v>1489</v>
      </c>
      <c r="F61" s="366">
        <f t="shared" si="0"/>
        <v>0.12</v>
      </c>
      <c r="I61" s="1926"/>
      <c r="J61" s="1926"/>
      <c r="K61" s="1926"/>
      <c r="L61" s="1926"/>
      <c r="O61" s="1892" t="s">
        <v>1042</v>
      </c>
      <c r="P61" s="1883" t="str">
        <f>K59</f>
        <v>建筑物剩余耐用年限下的土地年期修正系数Kn</v>
      </c>
      <c r="Q61" s="1884" t="e">
        <f ca="1">L59</f>
        <v>#DIV/0!</v>
      </c>
      <c r="R61" s="1884" t="s">
        <v>1564</v>
      </c>
    </row>
    <row r="62" spans="1:18" s="1840" customFormat="1" ht="13.5" thickBot="1">
      <c r="A62" s="1199" t="s">
        <v>1490</v>
      </c>
      <c r="B62" s="1166" t="s">
        <v>1491</v>
      </c>
      <c r="C62" s="24" t="str">
        <f>IF(项目基本情况!B11="自然人","——",ROUND(F62*F63/10000,2))</f>
        <v>——</v>
      </c>
      <c r="D62" s="1182" t="s">
        <v>1492</v>
      </c>
      <c r="E62" s="1167" t="s">
        <v>1493</v>
      </c>
      <c r="F62" s="370">
        <f t="shared" si="0"/>
        <v>24</v>
      </c>
      <c r="I62" s="1927" t="s">
        <v>1565</v>
      </c>
      <c r="J62" s="1928" t="s">
        <v>1566</v>
      </c>
      <c r="K62" s="1928" t="s">
        <v>1567</v>
      </c>
      <c r="L62" s="1928" t="s">
        <v>1568</v>
      </c>
      <c r="M62" s="1929" t="s">
        <v>1569</v>
      </c>
      <c r="O62" s="1882" t="s">
        <v>1043</v>
      </c>
      <c r="P62" s="1883" t="s">
        <v>1570</v>
      </c>
      <c r="Q62" s="1884">
        <f ca="1">Q56+Q57</f>
        <v>885</v>
      </c>
      <c r="R62" s="1884" t="s">
        <v>1044</v>
      </c>
    </row>
    <row r="63" spans="1:18" s="1840" customFormat="1" ht="13.5" thickBot="1">
      <c r="A63" s="371"/>
      <c r="B63" s="1173"/>
      <c r="C63" s="28"/>
      <c r="D63" s="1183"/>
      <c r="E63" s="1167" t="s">
        <v>1494</v>
      </c>
      <c r="F63" s="347">
        <f t="shared" ca="1" si="0"/>
        <v>53.64</v>
      </c>
      <c r="I63" s="1927" t="s">
        <v>1571</v>
      </c>
      <c r="J63" s="1928">
        <v>70</v>
      </c>
      <c r="K63" s="1928">
        <v>50</v>
      </c>
      <c r="L63" s="1928">
        <v>80</v>
      </c>
      <c r="M63" s="1930">
        <v>0.02</v>
      </c>
      <c r="O63" s="1867" t="s">
        <v>1572</v>
      </c>
      <c r="P63" s="1837"/>
      <c r="Q63" s="1837"/>
      <c r="R63" s="1837"/>
    </row>
    <row r="64" spans="1:18" s="1840" customFormat="1" ht="13.5" thickBot="1">
      <c r="A64" s="1199" t="s">
        <v>1495</v>
      </c>
      <c r="B64" s="1167" t="s">
        <v>1496</v>
      </c>
      <c r="C64" s="23">
        <f ca="1">ROUND(C57*F64,1)</f>
        <v>1.4</v>
      </c>
      <c r="D64" s="1181" t="s">
        <v>1497</v>
      </c>
      <c r="E64" s="1167" t="s">
        <v>1489</v>
      </c>
      <c r="F64" s="373">
        <f t="shared" ca="1" si="0"/>
        <v>1.4999999999999999E-2</v>
      </c>
      <c r="I64" s="1927" t="s">
        <v>1573</v>
      </c>
      <c r="J64" s="1928">
        <v>50</v>
      </c>
      <c r="K64" s="1928">
        <v>35</v>
      </c>
      <c r="L64" s="1928">
        <v>60</v>
      </c>
      <c r="M64" s="1929">
        <v>0</v>
      </c>
      <c r="O64" s="1875" t="s">
        <v>1517</v>
      </c>
      <c r="P64" s="1876" t="s">
        <v>1518</v>
      </c>
      <c r="Q64" s="1877" t="s">
        <v>1519</v>
      </c>
      <c r="R64" s="1877" t="s">
        <v>1520</v>
      </c>
    </row>
    <row r="65" spans="1:18" s="1840" customFormat="1" ht="13.5" thickBot="1">
      <c r="A65" s="1199" t="s">
        <v>1498</v>
      </c>
      <c r="B65" s="1167" t="s">
        <v>1448</v>
      </c>
      <c r="C65" s="23">
        <f ca="1">ROUND(C56*F65,1)</f>
        <v>0.1</v>
      </c>
      <c r="D65" s="1181" t="s">
        <v>1449</v>
      </c>
      <c r="E65" s="1167" t="s">
        <v>1450</v>
      </c>
      <c r="F65" s="375">
        <f t="shared" ca="1" si="0"/>
        <v>1.5E-3</v>
      </c>
      <c r="I65" s="1927" t="s">
        <v>1574</v>
      </c>
      <c r="J65" s="1928">
        <v>40</v>
      </c>
      <c r="K65" s="1928">
        <v>30</v>
      </c>
      <c r="L65" s="1928">
        <v>50</v>
      </c>
      <c r="M65" s="1930">
        <v>0.02</v>
      </c>
      <c r="O65" s="1882" t="s">
        <v>1037</v>
      </c>
      <c r="P65" s="1883" t="s">
        <v>1575</v>
      </c>
      <c r="Q65" s="1884">
        <f ca="1">C40+J29</f>
        <v>885</v>
      </c>
      <c r="R65" s="1884" t="s">
        <v>1524</v>
      </c>
    </row>
    <row r="66" spans="1:18" s="1840" customFormat="1" ht="16.5" thickBot="1">
      <c r="A66" s="1199" t="s">
        <v>1499</v>
      </c>
      <c r="B66" s="1167" t="s">
        <v>1434</v>
      </c>
      <c r="C66" s="23">
        <f ca="1">ROUND(C48*F66,1)</f>
        <v>0</v>
      </c>
      <c r="D66" s="1181" t="s">
        <v>1500</v>
      </c>
      <c r="E66" s="1167" t="s">
        <v>1417</v>
      </c>
      <c r="F66" s="356">
        <f t="shared" ca="1" si="0"/>
        <v>1.4999999999999999E-2</v>
      </c>
      <c r="O66" s="1882" t="s">
        <v>1038</v>
      </c>
      <c r="P66" s="1883" t="s">
        <v>1553</v>
      </c>
      <c r="Q66" s="1884">
        <f ca="1">L60</f>
        <v>0</v>
      </c>
      <c r="R66" s="1884" t="s">
        <v>1576</v>
      </c>
    </row>
    <row r="67" spans="1:18" s="1840" customFormat="1" ht="16.5" thickBot="1">
      <c r="A67" s="1174" t="s">
        <v>1028</v>
      </c>
      <c r="B67" s="1184" t="s">
        <v>1458</v>
      </c>
      <c r="C67" s="360">
        <f ca="1">C48-C58</f>
        <v>-2</v>
      </c>
      <c r="D67" s="1180" t="s">
        <v>1459</v>
      </c>
      <c r="E67" s="1185"/>
      <c r="F67" s="1186"/>
      <c r="O67" s="1892" t="s">
        <v>1039</v>
      </c>
      <c r="P67" s="1883" t="s">
        <v>1557</v>
      </c>
      <c r="Q67" s="1931">
        <f ca="1">L51</f>
        <v>568</v>
      </c>
      <c r="R67" s="1884" t="s">
        <v>1577</v>
      </c>
    </row>
    <row r="68" spans="1:18" s="1840" customFormat="1" ht="16.5" thickBot="1">
      <c r="A68" s="1164" t="s">
        <v>1029</v>
      </c>
      <c r="B68" s="1165" t="s">
        <v>1480</v>
      </c>
      <c r="C68" s="345">
        <f ca="1">ROUND(C67*(1-((1+F70)/(1+F68))^F69)/(F68-F70),0)</f>
        <v>-37</v>
      </c>
      <c r="D68" s="1182" t="s">
        <v>1464</v>
      </c>
      <c r="E68" s="1167" t="s">
        <v>1465</v>
      </c>
      <c r="F68" s="356">
        <f ca="1">F40</f>
        <v>0.05</v>
      </c>
      <c r="O68" s="1892" t="s">
        <v>1040</v>
      </c>
      <c r="P68" s="1932" t="s">
        <v>1578</v>
      </c>
      <c r="Q68" s="1884">
        <f ca="1">ROUND(Q69-Q70*Q71,0)</f>
        <v>28</v>
      </c>
      <c r="R68" s="1884" t="s">
        <v>1048</v>
      </c>
    </row>
    <row r="69" spans="1:18" s="1840" customFormat="1" ht="13.5" thickBot="1">
      <c r="A69" s="1168"/>
      <c r="B69" s="1169"/>
      <c r="C69" s="350"/>
      <c r="D69" s="1187" t="s">
        <v>1468</v>
      </c>
      <c r="E69" s="1167" t="s">
        <v>1469</v>
      </c>
      <c r="F69" s="378">
        <f ca="1">F41</f>
        <v>52.35</v>
      </c>
      <c r="O69" s="1892" t="s">
        <v>1045</v>
      </c>
      <c r="P69" s="1932" t="s">
        <v>1579</v>
      </c>
      <c r="Q69" s="1884">
        <f ca="1">C39</f>
        <v>34</v>
      </c>
      <c r="R69" s="1884" t="s">
        <v>1524</v>
      </c>
    </row>
    <row r="70" spans="1:18" s="1840" customFormat="1" ht="13.5" thickBot="1">
      <c r="A70" s="1171"/>
      <c r="B70" s="1172"/>
      <c r="C70" s="354"/>
      <c r="D70" s="1183"/>
      <c r="E70" s="1167" t="s">
        <v>1472</v>
      </c>
      <c r="F70" s="1273"/>
      <c r="O70" s="1892" t="s">
        <v>1046</v>
      </c>
      <c r="P70" s="1932" t="s">
        <v>1580</v>
      </c>
      <c r="Q70" s="1884">
        <f ca="1">C13</f>
        <v>70</v>
      </c>
      <c r="R70" s="1884" t="s">
        <v>1524</v>
      </c>
    </row>
    <row r="71" spans="1:18" s="1840" customFormat="1" ht="13.5" thickBot="1">
      <c r="A71" s="1188" t="s">
        <v>1030</v>
      </c>
      <c r="B71" s="1189" t="s">
        <v>1482</v>
      </c>
      <c r="C71" s="381">
        <f ca="1">ROUND(C68*10000/F71,0)</f>
        <v>-1903</v>
      </c>
      <c r="D71" s="1190" t="s">
        <v>1483</v>
      </c>
      <c r="E71" s="1191" t="s">
        <v>1484</v>
      </c>
      <c r="F71" s="384">
        <f ca="1">F43</f>
        <v>194.47</v>
      </c>
      <c r="O71" s="1892" t="s">
        <v>1047</v>
      </c>
      <c r="P71" s="1932" t="s">
        <v>1581</v>
      </c>
      <c r="Q71" s="1895">
        <f ca="1">C76</f>
        <v>0.08</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6" t="s">
        <v>1582</v>
      </c>
      <c r="C74" s="1934"/>
      <c r="D74" s="1840"/>
      <c r="E74" s="1840"/>
      <c r="F74" s="1840"/>
      <c r="O74" s="1892" t="s">
        <v>1049</v>
      </c>
      <c r="P74" s="1883" t="str">
        <f>K59</f>
        <v>建筑物剩余耐用年限下的土地年期修正系数Kn</v>
      </c>
      <c r="Q74" s="1884" t="e">
        <f ca="1">L59</f>
        <v>#DIV/0!</v>
      </c>
      <c r="R74" s="1884" t="s">
        <v>1564</v>
      </c>
    </row>
    <row r="75" spans="1:18" ht="13.5" thickBot="1">
      <c r="A75" s="1840"/>
      <c r="B75" s="385" t="s">
        <v>1501</v>
      </c>
      <c r="C75" s="386">
        <f ca="1">ROUND(C13*C76,0)</f>
        <v>6</v>
      </c>
      <c r="D75" s="1840"/>
      <c r="E75" s="1840"/>
      <c r="F75" s="1840"/>
      <c r="K75" s="1866"/>
      <c r="L75" s="1840"/>
      <c r="O75" s="1882" t="s">
        <v>1043</v>
      </c>
      <c r="P75" s="1883" t="s">
        <v>1544</v>
      </c>
      <c r="Q75" s="1884">
        <f ca="1">Q65+Q66</f>
        <v>885</v>
      </c>
      <c r="R75" s="1884" t="s">
        <v>1044</v>
      </c>
    </row>
    <row r="76" spans="1:18">
      <c r="B76" s="387" t="s">
        <v>1502</v>
      </c>
      <c r="C76" s="388">
        <f ca="1">INDIRECT("'数据-取费表'!j"&amp;$G$1)</f>
        <v>0.08</v>
      </c>
      <c r="I76" s="1840"/>
      <c r="J76" s="1840"/>
      <c r="K76" s="1866"/>
      <c r="L76" s="1840"/>
    </row>
    <row r="77" spans="1:18">
      <c r="B77" s="389" t="s">
        <v>1503</v>
      </c>
      <c r="C77" s="390"/>
      <c r="I77" s="1840"/>
      <c r="J77" s="1840"/>
      <c r="K77" s="1866"/>
      <c r="L77" s="1840"/>
    </row>
    <row r="78" spans="1:18">
      <c r="B78" s="313" t="s">
        <v>1504</v>
      </c>
      <c r="C78" s="391"/>
    </row>
    <row r="79" spans="1:18">
      <c r="B79" s="385" t="s">
        <v>1505</v>
      </c>
      <c r="C79" s="317">
        <f ca="1">1-C80</f>
        <v>0.82400000000000007</v>
      </c>
    </row>
    <row r="80" spans="1:18">
      <c r="B80" s="385" t="s">
        <v>1506</v>
      </c>
      <c r="C80" s="317">
        <f ca="1">ROUND(C75/C39,3)</f>
        <v>0.17599999999999999</v>
      </c>
    </row>
    <row r="81" spans="2:3">
      <c r="B81" s="313" t="s">
        <v>1507</v>
      </c>
      <c r="C81" s="281"/>
    </row>
    <row r="82" spans="2:3">
      <c r="B82" s="316" t="s">
        <v>1508</v>
      </c>
      <c r="C82" s="318">
        <f ca="1">1-C83</f>
        <v>0.92100000000000004</v>
      </c>
    </row>
    <row r="83" spans="2:3">
      <c r="B83" s="316" t="s">
        <v>1509</v>
      </c>
      <c r="C83" s="317">
        <f ca="1">ROUND(C13/C40,3)</f>
        <v>7.9000000000000001E-2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8" sqref="F8"/>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2515</v>
      </c>
      <c r="B1" s="2560"/>
      <c r="C1" s="2560"/>
      <c r="D1" s="2560"/>
      <c r="E1" s="2561"/>
    </row>
    <row r="2" spans="1:6" ht="15.75">
      <c r="A2" s="2562" t="s">
        <v>2316</v>
      </c>
      <c r="B2" s="2563">
        <f ca="1">SUMIF(B6:B13,"&lt;&gt;#ref!",B6:B13)</f>
        <v>1337</v>
      </c>
      <c r="C2" s="2564" t="s">
        <v>2508</v>
      </c>
      <c r="D2" s="2565" t="s">
        <v>2509</v>
      </c>
      <c r="E2" s="2566">
        <f>SUM(E6:E13)</f>
        <v>304.45</v>
      </c>
    </row>
    <row r="3" spans="1:6" ht="15.75">
      <c r="A3" s="2562" t="s">
        <v>1390</v>
      </c>
      <c r="B3" s="2563">
        <f ca="1">ROUND(B2*10000/E2,0)</f>
        <v>43915</v>
      </c>
      <c r="C3" s="2564" t="s">
        <v>2516</v>
      </c>
      <c r="D3" s="2567"/>
      <c r="E3" s="2568"/>
    </row>
    <row r="4" spans="1:6" ht="15.75">
      <c r="A4" s="2569"/>
      <c r="B4" s="2567"/>
      <c r="C4" s="2567"/>
      <c r="D4" s="2567"/>
      <c r="E4" s="2568"/>
    </row>
    <row r="5" spans="1:6" ht="15">
      <c r="A5" s="2570" t="s">
        <v>2510</v>
      </c>
      <c r="B5" s="3214" t="s">
        <v>2511</v>
      </c>
      <c r="C5" s="3214"/>
      <c r="D5" s="2571"/>
      <c r="E5" s="2572" t="s">
        <v>2512</v>
      </c>
      <c r="F5" s="2573" t="s">
        <v>2513</v>
      </c>
    </row>
    <row r="6" spans="1:6">
      <c r="A6" s="2574" t="str">
        <f>'数据-取费表'!AN6</f>
        <v>收益法-办公</v>
      </c>
      <c r="B6" s="2573">
        <f ca="1">IF(F6="是",'数据-取费表'!AO6,0)</f>
        <v>445</v>
      </c>
      <c r="C6" s="2564" t="s">
        <v>2508</v>
      </c>
      <c r="D6" s="2567"/>
      <c r="E6" s="2575">
        <f>IF(OR(A6=0,F6="否"),0,'数据-取费表'!K6+'数据-取费表'!S6)</f>
        <v>109.98</v>
      </c>
      <c r="F6" s="2576" t="s">
        <v>2514</v>
      </c>
    </row>
    <row r="7" spans="1:6">
      <c r="A7" s="2574" t="str">
        <f>'数据-取费表'!AN7</f>
        <v>收益法-住宅</v>
      </c>
      <c r="B7" s="2573">
        <f ca="1">IF(F7="是",'数据-取费表'!AO7,0)</f>
        <v>892</v>
      </c>
      <c r="C7" s="2564" t="s">
        <v>2508</v>
      </c>
      <c r="D7" s="2567"/>
      <c r="E7" s="2575">
        <f>IF(OR(A7=0,F7="否"),0,'数据-取费表'!K7+'数据-取费表'!S7)</f>
        <v>194.47</v>
      </c>
      <c r="F7" s="2576" t="s">
        <v>2514</v>
      </c>
    </row>
    <row r="8" spans="1:6">
      <c r="A8" s="2574">
        <f>'数据-取费表'!AN8</f>
        <v>0</v>
      </c>
      <c r="B8" s="2573" t="e">
        <f ca="1">IF(F8="是",'数据-取费表'!AO8,0)</f>
        <v>#REF!</v>
      </c>
      <c r="C8" s="2564" t="s">
        <v>2508</v>
      </c>
      <c r="D8" s="2567"/>
      <c r="E8" s="2575">
        <f>IF(OR(A8=0,F8="否"),0,'数据-取费表'!K8+'数据-取费表'!S8)</f>
        <v>0</v>
      </c>
      <c r="F8" s="2576" t="s">
        <v>2514</v>
      </c>
    </row>
    <row r="9" spans="1:6">
      <c r="A9" s="2574">
        <f>'数据-取费表'!AN9</f>
        <v>0</v>
      </c>
      <c r="B9" s="2573" t="e">
        <f ca="1">IF(F9="是",'数据-取费表'!AO9,0)</f>
        <v>#REF!</v>
      </c>
      <c r="C9" s="2564" t="s">
        <v>2508</v>
      </c>
      <c r="D9" s="2567"/>
      <c r="E9" s="2575">
        <f>IF(OR(A9=0,F9="否"),0,'数据-取费表'!K9+'数据-取费表'!S9)</f>
        <v>0</v>
      </c>
      <c r="F9" s="2576" t="s">
        <v>2514</v>
      </c>
    </row>
    <row r="10" spans="1:6">
      <c r="A10" s="2574">
        <f>'数据-取费表'!AN10</f>
        <v>0</v>
      </c>
      <c r="B10" s="2573" t="e">
        <f ca="1">IF(F10="是",'数据-取费表'!AO10,0)</f>
        <v>#REF!</v>
      </c>
      <c r="C10" s="2564" t="s">
        <v>2508</v>
      </c>
      <c r="D10" s="2567"/>
      <c r="E10" s="2575">
        <f>IF(OR(A10=0,F10="否"),0,'数据-取费表'!K10+'数据-取费表'!S10)</f>
        <v>0</v>
      </c>
      <c r="F10" s="2576" t="s">
        <v>2514</v>
      </c>
    </row>
    <row r="11" spans="1:6">
      <c r="A11" s="2574">
        <f>'数据-取费表'!AN11</f>
        <v>0</v>
      </c>
      <c r="B11" s="2573" t="e">
        <f ca="1">IF(F11="是",'数据-取费表'!AO11,0)</f>
        <v>#REF!</v>
      </c>
      <c r="C11" s="2564" t="s">
        <v>2508</v>
      </c>
      <c r="D11" s="2567"/>
      <c r="E11" s="2575">
        <f>IF(OR(A11=0,F11="否"),0,'数据-取费表'!K11+'数据-取费表'!S11)</f>
        <v>0</v>
      </c>
      <c r="F11" s="2576" t="s">
        <v>2514</v>
      </c>
    </row>
    <row r="12" spans="1:6">
      <c r="A12" s="2574">
        <f>'数据-取费表'!AN12</f>
        <v>0</v>
      </c>
      <c r="B12" s="2573" t="e">
        <f ca="1">IF(F12="是",'数据-取费表'!AO12,0)</f>
        <v>#REF!</v>
      </c>
      <c r="C12" s="2564" t="s">
        <v>2508</v>
      </c>
      <c r="D12" s="2567"/>
      <c r="E12" s="2575">
        <f>IF(OR(A12=0,F12="否"),0,'数据-取费表'!K12+'数据-取费表'!S12)</f>
        <v>0</v>
      </c>
      <c r="F12" s="2576" t="s">
        <v>2514</v>
      </c>
    </row>
    <row r="13" spans="1:6" ht="15" thickBot="1">
      <c r="A13" s="2577">
        <f>'数据-取费表'!AN13</f>
        <v>0</v>
      </c>
      <c r="B13" s="2573" t="e">
        <f ca="1">IF(F13="是",'数据-取费表'!AO13,0)</f>
        <v>#REF!</v>
      </c>
      <c r="C13" s="2578" t="s">
        <v>2508</v>
      </c>
      <c r="D13" s="2579"/>
      <c r="E13" s="2575">
        <f>IF(OR(A13=0,F13="否"),0,'数据-取费表'!K13+'数据-取费表'!S13)</f>
        <v>0</v>
      </c>
      <c r="F13" s="2576"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31" t="s">
        <v>1073</v>
      </c>
      <c r="B1" s="3232"/>
      <c r="C1" s="3233"/>
      <c r="D1" s="3234">
        <f>SUM(I10,I15,I20,I21,I23)</f>
        <v>0</v>
      </c>
      <c r="E1" s="3234"/>
      <c r="F1" s="3234"/>
      <c r="G1" s="3234"/>
      <c r="H1" s="3234"/>
      <c r="I1" s="3235"/>
    </row>
    <row r="2" spans="1:9">
      <c r="A2" s="3221" t="s">
        <v>1074</v>
      </c>
      <c r="B2" s="3222" t="s">
        <v>1075</v>
      </c>
      <c r="C2" s="3222"/>
      <c r="D2" s="1299" t="s">
        <v>1076</v>
      </c>
      <c r="E2" s="1299" t="s">
        <v>1077</v>
      </c>
      <c r="F2" s="1299" t="s">
        <v>1078</v>
      </c>
      <c r="G2" s="1299" t="s">
        <v>1079</v>
      </c>
      <c r="H2" s="1299" t="s">
        <v>1080</v>
      </c>
      <c r="I2" s="1300" t="s">
        <v>1081</v>
      </c>
    </row>
    <row r="3" spans="1:9">
      <c r="A3" s="3221"/>
      <c r="B3" s="3222" t="s">
        <v>1082</v>
      </c>
      <c r="C3" s="3222"/>
      <c r="D3" s="1301"/>
      <c r="E3" s="1299"/>
      <c r="F3" s="1302"/>
      <c r="G3" s="1302"/>
      <c r="H3" s="1303"/>
      <c r="I3" s="1304">
        <f>ROUND(D3*E3*F3*G3*H3/10000,0)</f>
        <v>0</v>
      </c>
    </row>
    <row r="4" spans="1:9">
      <c r="A4" s="3221"/>
      <c r="B4" s="3222" t="s">
        <v>1083</v>
      </c>
      <c r="C4" s="3222"/>
      <c r="D4" s="1301"/>
      <c r="E4" s="1299"/>
      <c r="F4" s="1302"/>
      <c r="G4" s="1302"/>
      <c r="H4" s="1303"/>
      <c r="I4" s="1304">
        <f t="shared" ref="I4:I9" si="0">ROUND(D4*E4*F4*G4*H4/10000,0)</f>
        <v>0</v>
      </c>
    </row>
    <row r="5" spans="1:9">
      <c r="A5" s="3221"/>
      <c r="B5" s="3222" t="s">
        <v>1084</v>
      </c>
      <c r="C5" s="3222"/>
      <c r="D5" s="1301"/>
      <c r="E5" s="1299"/>
      <c r="F5" s="1302"/>
      <c r="G5" s="1302"/>
      <c r="H5" s="1303"/>
      <c r="I5" s="1304">
        <f t="shared" si="0"/>
        <v>0</v>
      </c>
    </row>
    <row r="6" spans="1:9">
      <c r="A6" s="3221"/>
      <c r="B6" s="3222" t="s">
        <v>1085</v>
      </c>
      <c r="C6" s="3222"/>
      <c r="D6" s="1301"/>
      <c r="E6" s="1299"/>
      <c r="F6" s="1302"/>
      <c r="G6" s="1302"/>
      <c r="H6" s="1303"/>
      <c r="I6" s="1304">
        <f t="shared" si="0"/>
        <v>0</v>
      </c>
    </row>
    <row r="7" spans="1:9">
      <c r="A7" s="3221"/>
      <c r="B7" s="3222" t="s">
        <v>1086</v>
      </c>
      <c r="C7" s="3222"/>
      <c r="D7" s="1301"/>
      <c r="E7" s="1299"/>
      <c r="F7" s="1302"/>
      <c r="G7" s="1302"/>
      <c r="H7" s="1303"/>
      <c r="I7" s="1304">
        <f t="shared" si="0"/>
        <v>0</v>
      </c>
    </row>
    <row r="8" spans="1:9">
      <c r="A8" s="3221"/>
      <c r="B8" s="3222" t="s">
        <v>1087</v>
      </c>
      <c r="C8" s="3222"/>
      <c r="D8" s="1301"/>
      <c r="E8" s="1299"/>
      <c r="F8" s="1302"/>
      <c r="G8" s="1302"/>
      <c r="H8" s="1303"/>
      <c r="I8" s="1304">
        <f t="shared" si="0"/>
        <v>0</v>
      </c>
    </row>
    <row r="9" spans="1:9">
      <c r="A9" s="3221"/>
      <c r="B9" s="3222" t="s">
        <v>1088</v>
      </c>
      <c r="C9" s="3222"/>
      <c r="D9" s="1301"/>
      <c r="E9" s="1299"/>
      <c r="F9" s="1302"/>
      <c r="G9" s="1302"/>
      <c r="H9" s="1303"/>
      <c r="I9" s="1304">
        <f t="shared" si="0"/>
        <v>0</v>
      </c>
    </row>
    <row r="10" spans="1:9">
      <c r="A10" s="3221"/>
      <c r="B10" s="3223" t="s">
        <v>1089</v>
      </c>
      <c r="C10" s="3223"/>
      <c r="D10" s="1305"/>
      <c r="E10" s="1305" t="e">
        <f>ROUND(D1*10000/D10/H9,0)</f>
        <v>#DIV/0!</v>
      </c>
      <c r="F10" s="1306"/>
      <c r="G10" s="1306"/>
      <c r="H10" s="1307"/>
      <c r="I10" s="1308">
        <f>SUM(I3:I9)</f>
        <v>0</v>
      </c>
    </row>
    <row r="11" spans="1:9" ht="14.25">
      <c r="A11" s="3221" t="s">
        <v>1090</v>
      </c>
      <c r="B11" s="3222" t="s">
        <v>1091</v>
      </c>
      <c r="C11" s="3222"/>
      <c r="D11" s="1301" t="s">
        <v>1092</v>
      </c>
      <c r="E11" s="1301" t="s">
        <v>1093</v>
      </c>
      <c r="F11" s="1302" t="s">
        <v>1094</v>
      </c>
      <c r="G11" s="1302" t="s">
        <v>1080</v>
      </c>
      <c r="H11" s="1309" t="s">
        <v>1095</v>
      </c>
      <c r="I11" s="1300" t="s">
        <v>1081</v>
      </c>
    </row>
    <row r="12" spans="1:9">
      <c r="A12" s="3221"/>
      <c r="B12" s="3222" t="s">
        <v>1096</v>
      </c>
      <c r="C12" s="3222"/>
      <c r="D12" s="1301"/>
      <c r="E12" s="1301"/>
      <c r="F12" s="1302"/>
      <c r="G12" s="1303"/>
      <c r="H12" s="1310"/>
      <c r="I12" s="1300">
        <f>ROUND(D12*E12*F12*G12/10000,0)</f>
        <v>0</v>
      </c>
    </row>
    <row r="13" spans="1:9">
      <c r="A13" s="3221"/>
      <c r="B13" s="3222" t="s">
        <v>1097</v>
      </c>
      <c r="C13" s="3222"/>
      <c r="D13" s="1301"/>
      <c r="E13" s="1301"/>
      <c r="F13" s="1302"/>
      <c r="G13" s="1303"/>
      <c r="H13" s="1310"/>
      <c r="I13" s="1300">
        <f>ROUND(D13*E13*F13*G13/10000,0)</f>
        <v>0</v>
      </c>
    </row>
    <row r="14" spans="1:9">
      <c r="A14" s="3221"/>
      <c r="B14" s="3222" t="s">
        <v>1098</v>
      </c>
      <c r="C14" s="3222"/>
      <c r="D14" s="1301"/>
      <c r="E14" s="1301"/>
      <c r="F14" s="1302"/>
      <c r="G14" s="1303"/>
      <c r="H14" s="1310"/>
      <c r="I14" s="1300">
        <f>ROUND(D14*E14*F14*G14/10000,0)</f>
        <v>0</v>
      </c>
    </row>
    <row r="15" spans="1:9">
      <c r="A15" s="3221"/>
      <c r="B15" s="3223" t="s">
        <v>1089</v>
      </c>
      <c r="C15" s="3223"/>
      <c r="D15" s="1305"/>
      <c r="E15" s="1305">
        <f>SUM(E12:E14)</f>
        <v>0</v>
      </c>
      <c r="F15" s="1306"/>
      <c r="G15" s="1303"/>
      <c r="H15" s="1310"/>
      <c r="I15" s="1311">
        <f>SUM(I12:I14)</f>
        <v>0</v>
      </c>
    </row>
    <row r="16" spans="1:9" ht="24">
      <c r="A16" s="3221" t="s">
        <v>1099</v>
      </c>
      <c r="B16" s="3222" t="s">
        <v>1100</v>
      </c>
      <c r="C16" s="3222"/>
      <c r="D16" s="1301" t="s">
        <v>1076</v>
      </c>
      <c r="E16" s="1312" t="s">
        <v>1101</v>
      </c>
      <c r="F16" s="1302" t="s">
        <v>1102</v>
      </c>
      <c r="G16" s="1303" t="s">
        <v>1080</v>
      </c>
      <c r="H16" s="1309" t="s">
        <v>1095</v>
      </c>
      <c r="I16" s="1300" t="s">
        <v>1081</v>
      </c>
    </row>
    <row r="17" spans="1:9" ht="14.25">
      <c r="A17" s="3221"/>
      <c r="B17" s="3222" t="s">
        <v>1103</v>
      </c>
      <c r="C17" s="3222"/>
      <c r="D17" s="1301"/>
      <c r="E17" s="1301"/>
      <c r="F17" s="1302"/>
      <c r="G17" s="1303"/>
      <c r="H17" s="1313"/>
      <c r="I17" s="1314">
        <f>ROUND(D17*E17*F17*G17/10000,0)</f>
        <v>0</v>
      </c>
    </row>
    <row r="18" spans="1:9" ht="14.25">
      <c r="A18" s="3221"/>
      <c r="B18" s="3222" t="s">
        <v>1104</v>
      </c>
      <c r="C18" s="3222"/>
      <c r="D18" s="1301"/>
      <c r="E18" s="1301"/>
      <c r="F18" s="1302"/>
      <c r="G18" s="1303"/>
      <c r="H18" s="1313"/>
      <c r="I18" s="1314">
        <f>ROUND(D18*E18*F18*G18/10000,0)</f>
        <v>0</v>
      </c>
    </row>
    <row r="19" spans="1:9" ht="14.25">
      <c r="A19" s="3221"/>
      <c r="B19" s="3222" t="s">
        <v>1105</v>
      </c>
      <c r="C19" s="3222"/>
      <c r="D19" s="1301"/>
      <c r="E19" s="1301"/>
      <c r="F19" s="1302"/>
      <c r="G19" s="1303"/>
      <c r="H19" s="1313"/>
      <c r="I19" s="1314">
        <f>ROUND(D19*E19*F19*G19/10000,0)</f>
        <v>0</v>
      </c>
    </row>
    <row r="20" spans="1:9">
      <c r="A20" s="3221"/>
      <c r="B20" s="3223" t="s">
        <v>1089</v>
      </c>
      <c r="C20" s="3223"/>
      <c r="D20" s="1305">
        <f>SUM(D17:D19)</f>
        <v>0</v>
      </c>
      <c r="E20" s="1305"/>
      <c r="F20" s="1306"/>
      <c r="G20" s="1303"/>
      <c r="H20" s="1310"/>
      <c r="I20" s="1311">
        <f>SUM(I17:I19)</f>
        <v>0</v>
      </c>
    </row>
    <row r="21" spans="1:9">
      <c r="A21" s="3221" t="s">
        <v>1106</v>
      </c>
      <c r="B21" s="3224"/>
      <c r="C21" s="3224"/>
      <c r="D21" s="3224"/>
      <c r="E21" s="3224"/>
      <c r="F21" s="3224"/>
      <c r="G21" s="3224"/>
      <c r="H21" s="1763">
        <v>0.1</v>
      </c>
      <c r="I21" s="1308">
        <f>ROUND(I10*H21,0)</f>
        <v>0</v>
      </c>
    </row>
    <row r="22" spans="1:9" ht="14.25">
      <c r="A22" s="3225" t="s">
        <v>1107</v>
      </c>
      <c r="B22" s="3226"/>
      <c r="C22" s="3227"/>
      <c r="D22" s="1315" t="s">
        <v>1108</v>
      </c>
      <c r="E22" s="1315" t="s">
        <v>1109</v>
      </c>
      <c r="F22" s="1316" t="s">
        <v>1110</v>
      </c>
      <c r="G22" s="1316" t="s">
        <v>1111</v>
      </c>
      <c r="H22" s="1309" t="s">
        <v>1112</v>
      </c>
      <c r="I22" s="1300" t="s">
        <v>1113</v>
      </c>
    </row>
    <row r="23" spans="1:9" ht="14.25" thickBot="1">
      <c r="A23" s="3228"/>
      <c r="B23" s="3229"/>
      <c r="C23" s="3230"/>
      <c r="D23" s="1317"/>
      <c r="E23" s="1317"/>
      <c r="F23" s="1317"/>
      <c r="G23" s="1318"/>
      <c r="H23" s="1319"/>
      <c r="I23" s="1320">
        <f>ROUND(E23*D23*F23*(1-G23)/10000,0)</f>
        <v>0</v>
      </c>
    </row>
    <row r="26" spans="1:9">
      <c r="A26" s="1321" t="s">
        <v>1114</v>
      </c>
      <c r="B26" s="1321"/>
      <c r="C26" s="1321"/>
      <c r="D26" s="1321"/>
      <c r="E26" s="3218">
        <f>C27-C30-C31-C32</f>
        <v>0</v>
      </c>
      <c r="F26" s="3218"/>
      <c r="G26" s="3218"/>
      <c r="H26" s="1735" t="s">
        <v>1336</v>
      </c>
    </row>
    <row r="27" spans="1:9">
      <c r="A27" s="1322">
        <v>1</v>
      </c>
      <c r="B27" s="1323" t="s">
        <v>1115</v>
      </c>
      <c r="C27" s="1323">
        <f>C28+C29</f>
        <v>0</v>
      </c>
      <c r="D27" s="1323"/>
      <c r="E27" s="3219"/>
      <c r="F27" s="3219"/>
      <c r="G27" s="3219"/>
    </row>
    <row r="28" spans="1:9">
      <c r="A28" s="1324" t="s">
        <v>1116</v>
      </c>
      <c r="B28" s="1323" t="s">
        <v>1117</v>
      </c>
      <c r="C28" s="1323"/>
      <c r="D28" s="1323"/>
      <c r="E28" s="3219"/>
      <c r="F28" s="3219"/>
      <c r="G28" s="3219"/>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20"/>
      <c r="F32" s="3220"/>
      <c r="G32" s="3220"/>
    </row>
    <row r="33" spans="1:7" hidden="1">
      <c r="A33" s="3215" t="s">
        <v>1126</v>
      </c>
      <c r="B33" s="3216"/>
      <c r="C33" s="3216"/>
      <c r="D33" s="3217"/>
      <c r="E33" s="3218"/>
      <c r="F33" s="3218"/>
      <c r="G33" s="3218"/>
    </row>
    <row r="34" spans="1:7" hidden="1">
      <c r="A34" s="1326">
        <v>1</v>
      </c>
      <c r="B34" s="1323" t="s">
        <v>1127</v>
      </c>
      <c r="C34" s="1323"/>
      <c r="D34" s="1323"/>
      <c r="E34" s="3219"/>
      <c r="F34" s="3219"/>
      <c r="G34" s="3219"/>
    </row>
    <row r="35" spans="1:7" hidden="1">
      <c r="A35" s="1326">
        <v>2</v>
      </c>
      <c r="B35" s="1323" t="s">
        <v>1128</v>
      </c>
      <c r="C35" s="1323"/>
      <c r="D35" s="1323"/>
      <c r="E35" s="3219"/>
      <c r="F35" s="3219"/>
      <c r="G35" s="3219"/>
    </row>
    <row r="36" spans="1:7" hidden="1">
      <c r="A36" s="1326">
        <v>3</v>
      </c>
      <c r="B36" s="1323" t="s">
        <v>1129</v>
      </c>
      <c r="C36" s="1323"/>
      <c r="D36" s="1323"/>
      <c r="E36" s="3219"/>
      <c r="F36" s="3219"/>
      <c r="G36" s="3219"/>
    </row>
    <row r="37" spans="1:7" hidden="1">
      <c r="A37" s="1326">
        <v>4</v>
      </c>
      <c r="B37" s="1323" t="s">
        <v>1130</v>
      </c>
      <c r="C37" s="1323"/>
      <c r="D37" s="1323"/>
      <c r="E37" s="3219"/>
      <c r="F37" s="3219"/>
      <c r="G37" s="3219"/>
    </row>
    <row r="38" spans="1:7" hidden="1">
      <c r="A38" s="3215" t="s">
        <v>1131</v>
      </c>
      <c r="B38" s="3216"/>
      <c r="C38" s="3216"/>
      <c r="D38" s="3217"/>
      <c r="E38" s="3218"/>
      <c r="F38" s="3218"/>
      <c r="G38" s="32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580" t="s">
        <v>2631</v>
      </c>
      <c r="C1" s="1632" t="s">
        <v>2519</v>
      </c>
      <c r="D1" s="1619"/>
      <c r="E1" s="2653"/>
      <c r="F1" s="2582"/>
      <c r="G1" s="1629" t="s">
        <v>2632</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2316</v>
      </c>
      <c r="B2" s="1416" t="e">
        <f ca="1">IF(C2="——",ROUND(C49*D3/10000,0),ROUND(C49*D3/10000,0)-D2)</f>
        <v>#DIV/0!</v>
      </c>
      <c r="C2" s="2584"/>
      <c r="D2" s="1363" t="e">
        <f ca="1">SUMIF(INDIRECT("'"&amp;F2&amp;"'"&amp;"!A:A"),"承租人权益价值",INDIRECT("'"&amp;F2&amp;"'"&amp;"!c:c"))</f>
        <v>#REF!</v>
      </c>
      <c r="E2" s="2585" t="s">
        <v>2317</v>
      </c>
      <c r="F2" s="2586"/>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2318</v>
      </c>
      <c r="B3" s="608" t="e">
        <f ca="1">IF(C2="——",C49,ROUND(B2*10000/D3,0))</f>
        <v>#DIV/0!</v>
      </c>
      <c r="C3" s="399" t="s">
        <v>2633</v>
      </c>
      <c r="D3" s="398">
        <f>IF(D1="",'数据-汇总表'!E3,SUMIF('数据-汇总表'!$C19:$C33,D1,'数据-汇总表'!$E19:$E33))</f>
        <v>304.45</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2634</v>
      </c>
      <c r="B4" s="401"/>
      <c r="C4" s="3255" t="s">
        <v>2635</v>
      </c>
      <c r="D4" s="3256"/>
      <c r="E4" s="3257" t="s">
        <v>2636</v>
      </c>
      <c r="F4" s="3258"/>
      <c r="G4" s="3255" t="s">
        <v>2637</v>
      </c>
      <c r="H4" s="3256"/>
      <c r="I4" s="3255" t="s">
        <v>2638</v>
      </c>
      <c r="J4" s="3256"/>
      <c r="K4" s="609" t="s">
        <v>2639</v>
      </c>
      <c r="L4" s="1128"/>
      <c r="M4" s="1129"/>
      <c r="N4" s="1129"/>
      <c r="O4" s="1129"/>
      <c r="P4" s="3259" t="s">
        <v>2640</v>
      </c>
      <c r="Q4" s="3260"/>
      <c r="R4" s="3265" t="s">
        <v>2636</v>
      </c>
      <c r="S4" s="3266"/>
      <c r="T4" s="3265" t="s">
        <v>2637</v>
      </c>
      <c r="U4" s="3266"/>
      <c r="V4" s="3250" t="s">
        <v>2638</v>
      </c>
      <c r="W4" s="3250"/>
      <c r="X4" s="1811"/>
      <c r="Y4" s="3265" t="s">
        <v>2640</v>
      </c>
      <c r="Z4" s="3266"/>
      <c r="AA4" s="3252" t="s">
        <v>2636</v>
      </c>
      <c r="AB4" s="3250" t="s">
        <v>2637</v>
      </c>
      <c r="AC4" s="3252" t="s">
        <v>2638</v>
      </c>
    </row>
    <row r="5" spans="1:29" ht="15">
      <c r="A5" s="403"/>
      <c r="B5" s="404"/>
      <c r="C5" s="3273" t="s">
        <v>2531</v>
      </c>
      <c r="D5" s="3274"/>
      <c r="E5" s="3280" t="s">
        <v>2532</v>
      </c>
      <c r="F5" s="3281"/>
      <c r="G5" s="3273" t="s">
        <v>2533</v>
      </c>
      <c r="H5" s="3274"/>
      <c r="I5" s="3273" t="s">
        <v>2534</v>
      </c>
      <c r="J5" s="3274"/>
      <c r="K5" s="609"/>
      <c r="L5" s="1128"/>
      <c r="M5" s="1129"/>
      <c r="N5" s="1129"/>
      <c r="O5" s="1129"/>
      <c r="P5" s="3261"/>
      <c r="Q5" s="3262"/>
      <c r="R5" s="3267"/>
      <c r="S5" s="3268"/>
      <c r="T5" s="3267"/>
      <c r="U5" s="3268"/>
      <c r="V5" s="3250"/>
      <c r="W5" s="3250"/>
      <c r="X5" s="1811"/>
      <c r="Y5" s="3267"/>
      <c r="Z5" s="3268"/>
      <c r="AA5" s="3253"/>
      <c r="AB5" s="3250"/>
      <c r="AC5" s="3253"/>
    </row>
    <row r="6" spans="1:29" ht="15.75" thickBot="1">
      <c r="A6" s="405"/>
      <c r="B6" s="406"/>
      <c r="C6" s="3271" t="s">
        <v>2535</v>
      </c>
      <c r="D6" s="3272"/>
      <c r="E6" s="3278" t="s">
        <v>2535</v>
      </c>
      <c r="F6" s="3279"/>
      <c r="G6" s="3271" t="s">
        <v>2535</v>
      </c>
      <c r="H6" s="3272"/>
      <c r="I6" s="3271" t="s">
        <v>2535</v>
      </c>
      <c r="J6" s="3272"/>
      <c r="K6" s="609" t="s">
        <v>2536</v>
      </c>
      <c r="L6" s="1128"/>
      <c r="M6" s="1129"/>
      <c r="N6" s="1129"/>
      <c r="O6" s="1129"/>
      <c r="P6" s="3263"/>
      <c r="Q6" s="3264"/>
      <c r="R6" s="3267"/>
      <c r="S6" s="3268"/>
      <c r="T6" s="3269"/>
      <c r="U6" s="3270"/>
      <c r="V6" s="3250"/>
      <c r="W6" s="3250"/>
      <c r="X6" s="1811"/>
      <c r="Y6" s="3269"/>
      <c r="Z6" s="3270"/>
      <c r="AA6" s="3254"/>
      <c r="AB6" s="3250"/>
      <c r="AC6" s="3254"/>
    </row>
    <row r="7" spans="1:29" s="116" customFormat="1" ht="15.75" thickBot="1">
      <c r="A7" s="407" t="s">
        <v>2537</v>
      </c>
      <c r="B7" s="408"/>
      <c r="C7" s="409">
        <f>'数据-取费表'!B2</f>
        <v>43658</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75" t="s">
        <v>2538</v>
      </c>
      <c r="Q7" s="3277"/>
      <c r="R7" s="768" t="s">
        <v>17</v>
      </c>
      <c r="S7" s="769">
        <f t="shared" ref="S7:S15" si="0">F7</f>
        <v>0</v>
      </c>
      <c r="T7" s="768" t="s">
        <v>17</v>
      </c>
      <c r="U7" s="769">
        <f t="shared" ref="U7:U15" si="1">H7</f>
        <v>0</v>
      </c>
      <c r="V7" s="768" t="s">
        <v>17</v>
      </c>
      <c r="W7" s="769">
        <f t="shared" ref="W7:W15" si="2">J7</f>
        <v>0</v>
      </c>
      <c r="X7" s="770"/>
      <c r="Y7" s="3275" t="s">
        <v>2538</v>
      </c>
      <c r="Z7" s="3276"/>
      <c r="AA7" s="771" t="e">
        <f>D7/F7</f>
        <v>#DIV/0!</v>
      </c>
      <c r="AB7" s="771" t="e">
        <f>D7/H7</f>
        <v>#DIV/0!</v>
      </c>
      <c r="AC7" s="771" t="e">
        <f>D7/J7</f>
        <v>#DIV/0!</v>
      </c>
    </row>
    <row r="8" spans="1:29" s="116" customFormat="1" ht="15.75" thickBot="1">
      <c r="A8" s="407" t="s">
        <v>2539</v>
      </c>
      <c r="B8" s="408"/>
      <c r="C8" s="413" t="s">
        <v>2641</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75" t="s">
        <v>2541</v>
      </c>
      <c r="Q8" s="3276"/>
      <c r="R8" s="768" t="s">
        <v>17</v>
      </c>
      <c r="S8" s="769">
        <f t="shared" si="0"/>
        <v>0</v>
      </c>
      <c r="T8" s="768" t="s">
        <v>17</v>
      </c>
      <c r="U8" s="769">
        <f t="shared" si="1"/>
        <v>0</v>
      </c>
      <c r="V8" s="768" t="s">
        <v>17</v>
      </c>
      <c r="W8" s="769">
        <f t="shared" si="2"/>
        <v>0</v>
      </c>
      <c r="X8" s="770"/>
      <c r="Y8" s="3275" t="s">
        <v>2541</v>
      </c>
      <c r="Z8" s="3276"/>
      <c r="AA8" s="771" t="e">
        <f t="shared" ref="AA8:AA46" si="3">D8/F8</f>
        <v>#DIV/0!</v>
      </c>
      <c r="AB8" s="771" t="e">
        <f t="shared" ref="AB8:AB46" si="4">D8/H8</f>
        <v>#DIV/0!</v>
      </c>
      <c r="AC8" s="771" t="e">
        <f t="shared" ref="AC8:AC46" si="5">D8/J8</f>
        <v>#DIV/0!</v>
      </c>
    </row>
    <row r="9" spans="1:29" s="116" customFormat="1">
      <c r="A9" s="414" t="s">
        <v>2542</v>
      </c>
      <c r="B9" s="70" t="s">
        <v>2543</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51" t="s">
        <v>2544</v>
      </c>
      <c r="Q9" s="1793" t="str">
        <f t="shared" ref="Q9:Q15" si="6">B9</f>
        <v>用途</v>
      </c>
      <c r="R9" s="768" t="s">
        <v>17</v>
      </c>
      <c r="S9" s="769">
        <f t="shared" si="0"/>
        <v>100</v>
      </c>
      <c r="T9" s="768" t="s">
        <v>17</v>
      </c>
      <c r="U9" s="769">
        <f t="shared" si="1"/>
        <v>100</v>
      </c>
      <c r="V9" s="768" t="s">
        <v>17</v>
      </c>
      <c r="W9" s="769">
        <f t="shared" si="2"/>
        <v>100</v>
      </c>
      <c r="X9" s="770"/>
      <c r="Y9" s="3067" t="s">
        <v>2545</v>
      </c>
      <c r="Z9" s="54" t="str">
        <f t="shared" ref="Z9:Z15" si="7">Q9</f>
        <v>用途</v>
      </c>
      <c r="AA9" s="771">
        <f t="shared" si="3"/>
        <v>1</v>
      </c>
      <c r="AB9" s="771">
        <f t="shared" si="4"/>
        <v>1</v>
      </c>
      <c r="AC9" s="771">
        <f t="shared" si="5"/>
        <v>1</v>
      </c>
    </row>
    <row r="10" spans="1:29" s="426" customFormat="1" ht="27">
      <c r="A10" s="420"/>
      <c r="B10" s="421" t="s">
        <v>2546</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51"/>
      <c r="Q10" s="1793" t="str">
        <f t="shared" si="6"/>
        <v>土地使用年限（年）</v>
      </c>
      <c r="R10" s="768" t="s">
        <v>17</v>
      </c>
      <c r="S10" s="769">
        <f t="shared" si="0"/>
        <v>100</v>
      </c>
      <c r="T10" s="768" t="s">
        <v>17</v>
      </c>
      <c r="U10" s="769">
        <f t="shared" si="1"/>
        <v>100</v>
      </c>
      <c r="V10" s="768" t="s">
        <v>17</v>
      </c>
      <c r="W10" s="769">
        <f t="shared" si="2"/>
        <v>100</v>
      </c>
      <c r="X10" s="770"/>
      <c r="Y10" s="3067"/>
      <c r="Z10" s="54" t="str">
        <f t="shared" si="7"/>
        <v>土地使用年限（年）</v>
      </c>
      <c r="AA10" s="771">
        <f t="shared" si="3"/>
        <v>1</v>
      </c>
      <c r="AB10" s="771">
        <f t="shared" si="4"/>
        <v>1</v>
      </c>
      <c r="AC10" s="771">
        <f t="shared" si="5"/>
        <v>1</v>
      </c>
    </row>
    <row r="11" spans="1:29" ht="15">
      <c r="A11" s="427"/>
      <c r="B11" s="421" t="s">
        <v>2547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51"/>
      <c r="Q11" s="1793" t="str">
        <f t="shared" si="6"/>
        <v>容积率</v>
      </c>
      <c r="R11" s="768" t="s">
        <v>17</v>
      </c>
      <c r="S11" s="769" t="e">
        <f t="shared" si="0"/>
        <v>#N/A</v>
      </c>
      <c r="T11" s="768" t="s">
        <v>17</v>
      </c>
      <c r="U11" s="769" t="e">
        <f t="shared" si="1"/>
        <v>#N/A</v>
      </c>
      <c r="V11" s="768" t="s">
        <v>17</v>
      </c>
      <c r="W11" s="769" t="e">
        <f t="shared" si="2"/>
        <v>#N/A</v>
      </c>
      <c r="X11" s="770"/>
      <c r="Y11" s="3067"/>
      <c r="Z11" s="54" t="str">
        <f t="shared" si="7"/>
        <v>容积率</v>
      </c>
      <c r="AA11" s="771" t="e">
        <f t="shared" si="3"/>
        <v>#N/A</v>
      </c>
      <c r="AB11" s="771" t="e">
        <f t="shared" si="4"/>
        <v>#N/A</v>
      </c>
      <c r="AC11" s="771"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51"/>
      <c r="Q12" s="1793">
        <f t="shared" si="6"/>
        <v>111</v>
      </c>
      <c r="R12" s="768" t="s">
        <v>17</v>
      </c>
      <c r="S12" s="769">
        <f t="shared" si="0"/>
        <v>100</v>
      </c>
      <c r="T12" s="768" t="s">
        <v>17</v>
      </c>
      <c r="U12" s="769">
        <f t="shared" si="1"/>
        <v>100</v>
      </c>
      <c r="V12" s="768" t="s">
        <v>17</v>
      </c>
      <c r="W12" s="769">
        <f t="shared" si="2"/>
        <v>100</v>
      </c>
      <c r="X12" s="770"/>
      <c r="Y12" s="3067"/>
      <c r="Z12" s="54">
        <f t="shared" si="7"/>
        <v>111</v>
      </c>
      <c r="AA12" s="771">
        <f>D12/F12</f>
        <v>1</v>
      </c>
      <c r="AB12" s="771">
        <f>D12/H12</f>
        <v>1</v>
      </c>
      <c r="AC12" s="771">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51"/>
      <c r="Q13" s="1793">
        <f t="shared" si="6"/>
        <v>111</v>
      </c>
      <c r="R13" s="768" t="s">
        <v>17</v>
      </c>
      <c r="S13" s="769">
        <f t="shared" si="0"/>
        <v>100</v>
      </c>
      <c r="T13" s="768" t="s">
        <v>17</v>
      </c>
      <c r="U13" s="769">
        <f t="shared" si="1"/>
        <v>100</v>
      </c>
      <c r="V13" s="768" t="s">
        <v>17</v>
      </c>
      <c r="W13" s="769">
        <f t="shared" si="2"/>
        <v>100</v>
      </c>
      <c r="X13" s="770"/>
      <c r="Y13" s="3067"/>
      <c r="Z13" s="54">
        <f t="shared" si="7"/>
        <v>111</v>
      </c>
      <c r="AA13" s="771">
        <f t="shared" si="3"/>
        <v>1</v>
      </c>
      <c r="AB13" s="771">
        <f t="shared" si="4"/>
        <v>1</v>
      </c>
      <c r="AC13" s="771">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51"/>
      <c r="Q14" s="1793">
        <f t="shared" si="6"/>
        <v>111</v>
      </c>
      <c r="R14" s="768" t="s">
        <v>17</v>
      </c>
      <c r="S14" s="769">
        <f t="shared" si="0"/>
        <v>100</v>
      </c>
      <c r="T14" s="768" t="s">
        <v>17</v>
      </c>
      <c r="U14" s="769">
        <f t="shared" si="1"/>
        <v>100</v>
      </c>
      <c r="V14" s="768" t="s">
        <v>17</v>
      </c>
      <c r="W14" s="769">
        <f t="shared" si="2"/>
        <v>100</v>
      </c>
      <c r="X14" s="770"/>
      <c r="Y14" s="3067"/>
      <c r="Z14" s="54">
        <f t="shared" si="7"/>
        <v>111</v>
      </c>
      <c r="AA14" s="771">
        <f t="shared" si="3"/>
        <v>1</v>
      </c>
      <c r="AB14" s="771">
        <f t="shared" si="4"/>
        <v>1</v>
      </c>
      <c r="AC14" s="771">
        <f t="shared" si="5"/>
        <v>1</v>
      </c>
    </row>
    <row r="15" spans="1:29" ht="71.25">
      <c r="A15" s="439" t="s">
        <v>2548</v>
      </c>
      <c r="B15" s="68" t="s">
        <v>2642</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41" t="s">
        <v>2549</v>
      </c>
      <c r="Q15" s="1808" t="str">
        <f t="shared" si="6"/>
        <v>商业繁华度</v>
      </c>
      <c r="R15" s="772" t="s">
        <v>17</v>
      </c>
      <c r="S15" s="773">
        <f t="shared" si="0"/>
        <v>100</v>
      </c>
      <c r="T15" s="772" t="s">
        <v>17</v>
      </c>
      <c r="U15" s="773">
        <f t="shared" si="1"/>
        <v>100</v>
      </c>
      <c r="V15" s="772" t="s">
        <v>17</v>
      </c>
      <c r="W15" s="773">
        <f t="shared" si="2"/>
        <v>100</v>
      </c>
      <c r="X15" s="1811"/>
      <c r="Y15" s="3243" t="s">
        <v>2549</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42"/>
      <c r="Q16" s="1808"/>
      <c r="R16" s="772"/>
      <c r="S16" s="773"/>
      <c r="T16" s="772"/>
      <c r="U16" s="773"/>
      <c r="V16" s="772"/>
      <c r="W16" s="773"/>
      <c r="X16" s="1811"/>
      <c r="Y16" s="3244"/>
      <c r="Z16" s="1812"/>
      <c r="AA16" s="1809">
        <v>1</v>
      </c>
      <c r="AB16" s="1809">
        <v>1</v>
      </c>
      <c r="AC16" s="1809">
        <v>1</v>
      </c>
    </row>
    <row r="17" spans="1:29" ht="213.75">
      <c r="A17" s="427"/>
      <c r="B17" s="450" t="s">
        <v>2086</v>
      </c>
      <c r="C17" s="2605"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42"/>
      <c r="Q17" s="1808" t="str">
        <f>B17</f>
        <v>交通便捷度</v>
      </c>
      <c r="R17" s="772" t="s">
        <v>17</v>
      </c>
      <c r="S17" s="773">
        <f>F17</f>
        <v>100</v>
      </c>
      <c r="T17" s="772" t="s">
        <v>17</v>
      </c>
      <c r="U17" s="773">
        <f>H17</f>
        <v>100</v>
      </c>
      <c r="V17" s="772" t="s">
        <v>17</v>
      </c>
      <c r="W17" s="773">
        <f>J17</f>
        <v>100</v>
      </c>
      <c r="X17" s="1811"/>
      <c r="Y17" s="3244"/>
      <c r="Z17" s="1812" t="str">
        <f>Q17</f>
        <v>交通便捷度</v>
      </c>
      <c r="AA17" s="1809">
        <f t="shared" si="3"/>
        <v>1</v>
      </c>
      <c r="AB17" s="1809">
        <f t="shared" si="4"/>
        <v>1</v>
      </c>
      <c r="AC17" s="1809">
        <f t="shared" si="5"/>
        <v>1</v>
      </c>
    </row>
    <row r="18" spans="1:29" ht="15">
      <c r="A18" s="427"/>
      <c r="B18" s="455"/>
      <c r="C18" s="2606"/>
      <c r="D18" s="449"/>
      <c r="E18" s="2608"/>
      <c r="F18" s="452"/>
      <c r="G18" s="2607"/>
      <c r="H18" s="447"/>
      <c r="I18" s="2608"/>
      <c r="J18" s="447"/>
      <c r="K18" s="614"/>
      <c r="L18" s="1138"/>
      <c r="M18" s="1129"/>
      <c r="N18" s="1129"/>
      <c r="O18" s="1129"/>
      <c r="P18" s="3242"/>
      <c r="Q18" s="1808"/>
      <c r="R18" s="772"/>
      <c r="S18" s="773"/>
      <c r="T18" s="772"/>
      <c r="U18" s="773"/>
      <c r="V18" s="772"/>
      <c r="W18" s="773"/>
      <c r="X18" s="1811"/>
      <c r="Y18" s="3244"/>
      <c r="Z18" s="1812"/>
      <c r="AA18" s="1809">
        <v>1</v>
      </c>
      <c r="AB18" s="1809">
        <v>1</v>
      </c>
      <c r="AC18" s="1809">
        <v>1</v>
      </c>
    </row>
    <row r="19" spans="1:29" ht="114">
      <c r="A19" s="427"/>
      <c r="B19" s="450" t="s">
        <v>2643</v>
      </c>
      <c r="C19" s="2605" t="str">
        <f>估价对象房地状况!C7</f>
        <v>区域内有新中街幼儿园、西中街小学、东直门中学、北京中医药大学东直门医院、招商银行、华联超市等，公共服务设施较完善</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42"/>
      <c r="Q19" s="1808" t="str">
        <f>B19</f>
        <v>公共配套设施</v>
      </c>
      <c r="R19" s="772" t="s">
        <v>17</v>
      </c>
      <c r="S19" s="773">
        <f>F19</f>
        <v>100</v>
      </c>
      <c r="T19" s="772" t="s">
        <v>17</v>
      </c>
      <c r="U19" s="773">
        <f>H19</f>
        <v>100</v>
      </c>
      <c r="V19" s="772" t="s">
        <v>17</v>
      </c>
      <c r="W19" s="773">
        <f>J19</f>
        <v>100</v>
      </c>
      <c r="X19" s="1811"/>
      <c r="Y19" s="3244"/>
      <c r="Z19" s="1812" t="str">
        <f>Q19</f>
        <v>公共配套设施</v>
      </c>
      <c r="AA19" s="1809">
        <f t="shared" si="3"/>
        <v>1</v>
      </c>
      <c r="AB19" s="1809">
        <f t="shared" si="4"/>
        <v>1</v>
      </c>
      <c r="AC19" s="1809">
        <f t="shared" si="5"/>
        <v>1</v>
      </c>
    </row>
    <row r="20" spans="1:29" ht="15">
      <c r="A20" s="427"/>
      <c r="B20" s="455"/>
      <c r="C20" s="446"/>
      <c r="D20" s="447"/>
      <c r="E20" s="2603"/>
      <c r="F20" s="448"/>
      <c r="G20" s="2602"/>
      <c r="H20" s="447"/>
      <c r="I20" s="2603"/>
      <c r="J20" s="447"/>
      <c r="K20" s="614"/>
      <c r="L20" s="1138"/>
      <c r="M20" s="1129"/>
      <c r="N20" s="1129"/>
      <c r="O20" s="1129"/>
      <c r="P20" s="3242"/>
      <c r="Q20" s="1808"/>
      <c r="R20" s="772"/>
      <c r="S20" s="773"/>
      <c r="T20" s="772"/>
      <c r="U20" s="773"/>
      <c r="V20" s="772"/>
      <c r="W20" s="773"/>
      <c r="X20" s="1811"/>
      <c r="Y20" s="3244"/>
      <c r="Z20" s="1812"/>
      <c r="AA20" s="1809">
        <v>1</v>
      </c>
      <c r="AB20" s="1809">
        <v>1</v>
      </c>
      <c r="AC20" s="1809">
        <v>1</v>
      </c>
    </row>
    <row r="21" spans="1:29" ht="71.25">
      <c r="A21" s="427"/>
      <c r="B21" s="1382" t="s">
        <v>2644</v>
      </c>
      <c r="C21" s="2605" t="str">
        <f>估价对象房地状况!C8</f>
        <v>估价对象所在区域红线内外七通，市政供暖，基础设施水平好。</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42"/>
      <c r="Q21" s="1808" t="str">
        <f>B21</f>
        <v>基础设施水平</v>
      </c>
      <c r="R21" s="772" t="s">
        <v>17</v>
      </c>
      <c r="S21" s="773">
        <f>F21</f>
        <v>100</v>
      </c>
      <c r="T21" s="772" t="s">
        <v>17</v>
      </c>
      <c r="U21" s="773">
        <f>H21</f>
        <v>100</v>
      </c>
      <c r="V21" s="772" t="s">
        <v>17</v>
      </c>
      <c r="W21" s="773">
        <f>J21</f>
        <v>100</v>
      </c>
      <c r="X21" s="1811"/>
      <c r="Y21" s="3244"/>
      <c r="Z21" s="1812" t="str">
        <f>Q21</f>
        <v>基础设施水平</v>
      </c>
      <c r="AA21" s="1809">
        <f t="shared" ref="AA21" si="8">D21/F21</f>
        <v>1</v>
      </c>
      <c r="AB21" s="1809">
        <f t="shared" ref="AB21" si="9">D21/H21</f>
        <v>1</v>
      </c>
      <c r="AC21" s="1809">
        <f t="shared" ref="AC21" si="10">D21/J21</f>
        <v>1</v>
      </c>
    </row>
    <row r="22" spans="1:29" ht="15">
      <c r="A22" s="427"/>
      <c r="B22" s="1382"/>
      <c r="C22" s="2606"/>
      <c r="D22" s="447"/>
      <c r="E22" s="446"/>
      <c r="F22" s="448"/>
      <c r="G22" s="446"/>
      <c r="H22" s="447"/>
      <c r="I22" s="446"/>
      <c r="J22" s="447"/>
      <c r="K22" s="1381"/>
      <c r="L22" s="1138"/>
      <c r="M22" s="1129"/>
      <c r="N22" s="1129"/>
      <c r="O22" s="1129"/>
      <c r="P22" s="3242"/>
      <c r="Q22" s="1808"/>
      <c r="R22" s="772"/>
      <c r="S22" s="773"/>
      <c r="T22" s="772"/>
      <c r="U22" s="773"/>
      <c r="V22" s="772"/>
      <c r="W22" s="773"/>
      <c r="X22" s="1811"/>
      <c r="Y22" s="3244"/>
      <c r="Z22" s="1812"/>
      <c r="AA22" s="1809">
        <v>1</v>
      </c>
      <c r="AB22" s="1809">
        <v>1</v>
      </c>
      <c r="AC22" s="1809">
        <v>1</v>
      </c>
    </row>
    <row r="23" spans="1:29" ht="156.75">
      <c r="A23" s="427"/>
      <c r="B23" s="450" t="s">
        <v>2091</v>
      </c>
      <c r="C23" s="2660" t="str">
        <f>估价对象房地状况!C9</f>
        <v>区域内有新中街城市森林公园等，街道整洁，相邻路段无污染源，自然环境较好；区域内有保利剧院、中国医史博物馆等，人文环境较较好；综合评价环境状况较好。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42"/>
      <c r="Q23" s="1808" t="str">
        <f>B23</f>
        <v>自然及人文环境</v>
      </c>
      <c r="R23" s="772" t="s">
        <v>17</v>
      </c>
      <c r="S23" s="773">
        <f>F23</f>
        <v>100</v>
      </c>
      <c r="T23" s="772" t="s">
        <v>17</v>
      </c>
      <c r="U23" s="773">
        <f>H23</f>
        <v>100</v>
      </c>
      <c r="V23" s="772" t="s">
        <v>17</v>
      </c>
      <c r="W23" s="773">
        <f>J23</f>
        <v>100</v>
      </c>
      <c r="X23" s="1811"/>
      <c r="Y23" s="3244"/>
      <c r="Z23" s="1812" t="str">
        <f>Q23</f>
        <v>自然及人文环境</v>
      </c>
      <c r="AA23" s="1809">
        <f t="shared" si="3"/>
        <v>1</v>
      </c>
      <c r="AB23" s="1809">
        <f t="shared" si="4"/>
        <v>1</v>
      </c>
      <c r="AC23" s="1809">
        <f t="shared" si="5"/>
        <v>1</v>
      </c>
    </row>
    <row r="24" spans="1:29" ht="15">
      <c r="A24" s="427"/>
      <c r="B24" s="455"/>
      <c r="C24" s="446"/>
      <c r="D24" s="447"/>
      <c r="E24" s="2603"/>
      <c r="F24" s="448"/>
      <c r="G24" s="2602"/>
      <c r="H24" s="447"/>
      <c r="I24" s="2603"/>
      <c r="J24" s="447"/>
      <c r="K24" s="614"/>
      <c r="L24" s="1138"/>
      <c r="M24" s="1129"/>
      <c r="N24" s="1129"/>
      <c r="O24" s="1129"/>
      <c r="P24" s="3242"/>
      <c r="Q24" s="1808"/>
      <c r="R24" s="772"/>
      <c r="S24" s="773"/>
      <c r="T24" s="772"/>
      <c r="U24" s="773"/>
      <c r="V24" s="772"/>
      <c r="W24" s="773"/>
      <c r="X24" s="1811"/>
      <c r="Y24" s="3244"/>
      <c r="Z24" s="1812"/>
      <c r="AA24" s="1809">
        <v>1</v>
      </c>
      <c r="AB24" s="1809">
        <v>1</v>
      </c>
      <c r="AC24" s="1809">
        <v>1</v>
      </c>
    </row>
    <row r="25" spans="1:29" ht="15">
      <c r="A25" s="427"/>
      <c r="B25" s="421" t="s">
        <v>2645</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42"/>
      <c r="Q25" s="1808" t="str">
        <f t="shared" ref="Q25:Q46" si="11">B25</f>
        <v>临街状况</v>
      </c>
      <c r="R25" s="772" t="s">
        <v>17</v>
      </c>
      <c r="S25" s="773">
        <f>F25</f>
        <v>100</v>
      </c>
      <c r="T25" s="772" t="s">
        <v>17</v>
      </c>
      <c r="U25" s="773">
        <f>H25</f>
        <v>100</v>
      </c>
      <c r="V25" s="772" t="s">
        <v>17</v>
      </c>
      <c r="W25" s="773">
        <f>J25</f>
        <v>100</v>
      </c>
      <c r="X25" s="1811"/>
      <c r="Y25" s="3244"/>
      <c r="Z25" s="1812" t="str">
        <f>Q25</f>
        <v>临街状况</v>
      </c>
      <c r="AA25" s="1809">
        <f t="shared" si="3"/>
        <v>1</v>
      </c>
      <c r="AB25" s="1809">
        <f t="shared" si="4"/>
        <v>1</v>
      </c>
      <c r="AC25" s="1809">
        <f t="shared" si="5"/>
        <v>1</v>
      </c>
    </row>
    <row r="26" spans="1:29" ht="15">
      <c r="A26" s="427"/>
      <c r="B26" s="1384" t="s">
        <v>2646</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42"/>
      <c r="Q26" s="1808" t="str">
        <f t="shared" si="11"/>
        <v>平面位置/可视性</v>
      </c>
      <c r="R26" s="772" t="s">
        <v>17</v>
      </c>
      <c r="S26" s="773">
        <f>F26</f>
        <v>100</v>
      </c>
      <c r="T26" s="772" t="s">
        <v>17</v>
      </c>
      <c r="U26" s="773">
        <f>H26</f>
        <v>100</v>
      </c>
      <c r="V26" s="772" t="s">
        <v>17</v>
      </c>
      <c r="W26" s="773">
        <f>J26</f>
        <v>100</v>
      </c>
      <c r="X26" s="1811"/>
      <c r="Y26" s="3244"/>
      <c r="Z26" s="1812" t="str">
        <f>Q26</f>
        <v>平面位置/可视性</v>
      </c>
      <c r="AA26" s="1809">
        <f t="shared" si="3"/>
        <v>1</v>
      </c>
      <c r="AB26" s="1809">
        <f t="shared" si="4"/>
        <v>1</v>
      </c>
      <c r="AC26" s="1809">
        <f t="shared" si="5"/>
        <v>1</v>
      </c>
    </row>
    <row r="27" spans="1:29" s="116" customFormat="1" ht="15">
      <c r="A27" s="430"/>
      <c r="B27" s="450" t="s">
        <v>2647</v>
      </c>
      <c r="C27" s="2661"/>
      <c r="D27" s="461">
        <v>100</v>
      </c>
      <c r="E27" s="2661"/>
      <c r="F27" s="463">
        <f>SUMIF(90:90,E27,91:91)-SUMIF(90:90,C27,91:91)+100</f>
        <v>100</v>
      </c>
      <c r="G27" s="2661"/>
      <c r="H27" s="461">
        <f>SUMIF(90:90,G27,91:91)-SUMIF(90:90,C27,91:91)+100</f>
        <v>100</v>
      </c>
      <c r="I27" s="2661"/>
      <c r="J27" s="461">
        <f>SUMIF(90:90,I27,91:91)-SUMIF(90:90,C27,91:91)+100</f>
        <v>100</v>
      </c>
      <c r="K27" s="611"/>
      <c r="L27" s="1130"/>
      <c r="M27" s="1131"/>
      <c r="N27" s="1131"/>
      <c r="O27" s="1131"/>
      <c r="P27" s="3242"/>
      <c r="Q27" s="1793" t="str">
        <f t="shared" si="11"/>
        <v>人流量</v>
      </c>
      <c r="R27" s="768" t="s">
        <v>17</v>
      </c>
      <c r="S27" s="769">
        <f>F27</f>
        <v>100</v>
      </c>
      <c r="T27" s="768" t="s">
        <v>17</v>
      </c>
      <c r="U27" s="769">
        <f>H27</f>
        <v>100</v>
      </c>
      <c r="V27" s="768" t="s">
        <v>17</v>
      </c>
      <c r="W27" s="769">
        <f>J27</f>
        <v>100</v>
      </c>
      <c r="X27" s="770"/>
      <c r="Y27" s="3244"/>
      <c r="Z27" s="54" t="str">
        <f>Q27</f>
        <v>人流量</v>
      </c>
      <c r="AA27" s="1809">
        <f>D27/F27</f>
        <v>1</v>
      </c>
      <c r="AB27" s="1809">
        <f>D27/H27</f>
        <v>1</v>
      </c>
      <c r="AC27" s="1809">
        <f>D27/J27</f>
        <v>1</v>
      </c>
    </row>
    <row r="28" spans="1:29" ht="15">
      <c r="A28" s="427"/>
      <c r="B28" s="421" t="s">
        <v>2648</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42"/>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44"/>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42"/>
      <c r="Q29" s="1808">
        <f t="shared" si="11"/>
        <v>111</v>
      </c>
      <c r="R29" s="772" t="s">
        <v>17</v>
      </c>
      <c r="S29" s="773">
        <f t="shared" si="12"/>
        <v>100</v>
      </c>
      <c r="T29" s="772" t="s">
        <v>17</v>
      </c>
      <c r="U29" s="773">
        <f t="shared" si="13"/>
        <v>100</v>
      </c>
      <c r="V29" s="772" t="s">
        <v>17</v>
      </c>
      <c r="W29" s="773">
        <f t="shared" si="14"/>
        <v>100</v>
      </c>
      <c r="X29" s="1811"/>
      <c r="Y29" s="3244"/>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42"/>
      <c r="Q30" s="1808">
        <f t="shared" si="11"/>
        <v>111</v>
      </c>
      <c r="R30" s="772" t="s">
        <v>17</v>
      </c>
      <c r="S30" s="773">
        <f t="shared" si="12"/>
        <v>100</v>
      </c>
      <c r="T30" s="772" t="s">
        <v>17</v>
      </c>
      <c r="U30" s="773">
        <f t="shared" si="13"/>
        <v>100</v>
      </c>
      <c r="V30" s="772" t="s">
        <v>17</v>
      </c>
      <c r="W30" s="773">
        <f t="shared" si="14"/>
        <v>100</v>
      </c>
      <c r="X30" s="1811"/>
      <c r="Y30" s="3244"/>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42"/>
      <c r="Q31" s="1808">
        <f t="shared" si="11"/>
        <v>111</v>
      </c>
      <c r="R31" s="772" t="s">
        <v>17</v>
      </c>
      <c r="S31" s="773">
        <f t="shared" si="12"/>
        <v>100</v>
      </c>
      <c r="T31" s="772" t="s">
        <v>17</v>
      </c>
      <c r="U31" s="773">
        <f t="shared" si="13"/>
        <v>100</v>
      </c>
      <c r="V31" s="772" t="s">
        <v>17</v>
      </c>
      <c r="W31" s="773">
        <f t="shared" si="14"/>
        <v>100</v>
      </c>
      <c r="X31" s="1811"/>
      <c r="Y31" s="3244"/>
      <c r="Z31" s="1812">
        <f t="shared" si="15"/>
        <v>111</v>
      </c>
      <c r="AA31" s="1809">
        <f t="shared" si="3"/>
        <v>1</v>
      </c>
      <c r="AB31" s="1809">
        <f t="shared" si="4"/>
        <v>1</v>
      </c>
      <c r="AC31" s="1809">
        <f t="shared" si="5"/>
        <v>1</v>
      </c>
    </row>
    <row r="32" spans="1:29" ht="15">
      <c r="A32" s="439" t="s">
        <v>2552</v>
      </c>
      <c r="B32" s="70" t="s">
        <v>2649</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38"/>
      <c r="M32" s="1129"/>
      <c r="N32" s="1129"/>
      <c r="O32" s="1129"/>
      <c r="P32" s="3245" t="s">
        <v>2554</v>
      </c>
      <c r="Q32" s="1808" t="str">
        <f t="shared" si="11"/>
        <v>商业类型</v>
      </c>
      <c r="R32" s="772" t="s">
        <v>17</v>
      </c>
      <c r="S32" s="773">
        <f t="shared" si="12"/>
        <v>100</v>
      </c>
      <c r="T32" s="772" t="s">
        <v>17</v>
      </c>
      <c r="U32" s="773">
        <f t="shared" si="13"/>
        <v>100</v>
      </c>
      <c r="V32" s="772" t="s">
        <v>17</v>
      </c>
      <c r="W32" s="773">
        <f t="shared" si="14"/>
        <v>100</v>
      </c>
      <c r="X32" s="1811"/>
      <c r="Y32" s="3248" t="s">
        <v>2554</v>
      </c>
      <c r="Z32" s="1812" t="str">
        <f t="shared" si="15"/>
        <v>商业类型</v>
      </c>
      <c r="AA32" s="1809">
        <f t="shared" si="3"/>
        <v>1</v>
      </c>
      <c r="AB32" s="1809">
        <f t="shared" si="4"/>
        <v>1</v>
      </c>
      <c r="AC32" s="1809">
        <f t="shared" si="5"/>
        <v>1</v>
      </c>
    </row>
    <row r="33" spans="1:29" s="470" customFormat="1" ht="15">
      <c r="A33" s="467"/>
      <c r="B33" s="421" t="s">
        <v>2555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46"/>
      <c r="Q33" s="774" t="str">
        <f t="shared" si="11"/>
        <v>项目建筑规模</v>
      </c>
      <c r="R33" s="775" t="s">
        <v>17</v>
      </c>
      <c r="S33" s="776" t="e">
        <f t="shared" si="12"/>
        <v>#N/A</v>
      </c>
      <c r="T33" s="775" t="s">
        <v>17</v>
      </c>
      <c r="U33" s="776" t="e">
        <f t="shared" si="13"/>
        <v>#N/A</v>
      </c>
      <c r="V33" s="775" t="s">
        <v>17</v>
      </c>
      <c r="W33" s="776" t="e">
        <f t="shared" si="14"/>
        <v>#N/A</v>
      </c>
      <c r="X33" s="777"/>
      <c r="Y33" s="3248"/>
      <c r="Z33" s="778" t="str">
        <f t="shared" si="15"/>
        <v>项目建筑规模</v>
      </c>
      <c r="AA33" s="1809" t="e">
        <f t="shared" si="3"/>
        <v>#N/A</v>
      </c>
      <c r="AB33" s="1809" t="e">
        <f t="shared" si="4"/>
        <v>#N/A</v>
      </c>
      <c r="AC33" s="1809" t="e">
        <f t="shared" si="5"/>
        <v>#N/A</v>
      </c>
    </row>
    <row r="34" spans="1:29" ht="15">
      <c r="A34" s="471"/>
      <c r="B34" s="421" t="s">
        <v>2556</v>
      </c>
      <c r="C34" s="2616"/>
      <c r="D34" s="434">
        <v>100</v>
      </c>
      <c r="E34" s="2616"/>
      <c r="F34" s="460">
        <f>SUMIF(105:105,E34,106:106)-SUMIF(105:105,C34,106:106)+100</f>
        <v>100</v>
      </c>
      <c r="G34" s="2616"/>
      <c r="H34" s="434">
        <f>SUMIF(105:105,G34,106:106)-SUMIF(105:105,C34,106:106)+100</f>
        <v>100</v>
      </c>
      <c r="I34" s="2616"/>
      <c r="J34" s="434">
        <f>SUMIF(105:105,I34,106:106)-SUMIF(105:105,C34,106:106)+100</f>
        <v>100</v>
      </c>
      <c r="K34" s="611"/>
      <c r="L34" s="1138"/>
      <c r="M34" s="1129"/>
      <c r="N34" s="1129"/>
      <c r="O34" s="1129"/>
      <c r="P34" s="3246"/>
      <c r="Q34" s="1808" t="str">
        <f t="shared" si="11"/>
        <v>建筑结构</v>
      </c>
      <c r="R34" s="772" t="s">
        <v>17</v>
      </c>
      <c r="S34" s="773">
        <f t="shared" si="12"/>
        <v>100</v>
      </c>
      <c r="T34" s="772" t="s">
        <v>17</v>
      </c>
      <c r="U34" s="773">
        <f t="shared" si="13"/>
        <v>100</v>
      </c>
      <c r="V34" s="772" t="s">
        <v>17</v>
      </c>
      <c r="W34" s="773">
        <f t="shared" si="14"/>
        <v>100</v>
      </c>
      <c r="X34" s="1811"/>
      <c r="Y34" s="3248"/>
      <c r="Z34" s="1812" t="str">
        <f t="shared" si="15"/>
        <v>建筑结构</v>
      </c>
      <c r="AA34" s="1809">
        <f t="shared" si="3"/>
        <v>1</v>
      </c>
      <c r="AB34" s="1809">
        <f t="shared" si="4"/>
        <v>1</v>
      </c>
      <c r="AC34" s="1809">
        <f t="shared" si="5"/>
        <v>1</v>
      </c>
    </row>
    <row r="35" spans="1:29" ht="15">
      <c r="A35" s="471"/>
      <c r="B35" s="421" t="s">
        <v>2650</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38"/>
      <c r="M35" s="1129"/>
      <c r="N35" s="1129"/>
      <c r="O35" s="1129"/>
      <c r="P35" s="3246"/>
      <c r="Q35" s="1808" t="str">
        <f t="shared" si="11"/>
        <v>公共部分装修</v>
      </c>
      <c r="R35" s="772" t="s">
        <v>17</v>
      </c>
      <c r="S35" s="773">
        <f t="shared" si="12"/>
        <v>100</v>
      </c>
      <c r="T35" s="772" t="s">
        <v>17</v>
      </c>
      <c r="U35" s="773">
        <f t="shared" si="13"/>
        <v>100</v>
      </c>
      <c r="V35" s="772" t="s">
        <v>17</v>
      </c>
      <c r="W35" s="773">
        <f t="shared" si="14"/>
        <v>100</v>
      </c>
      <c r="X35" s="1811"/>
      <c r="Y35" s="3248"/>
      <c r="Z35" s="1812" t="str">
        <f t="shared" si="15"/>
        <v>公共部分装修</v>
      </c>
      <c r="AA35" s="1809">
        <f t="shared" si="3"/>
        <v>1</v>
      </c>
      <c r="AB35" s="1809">
        <f t="shared" si="4"/>
        <v>1</v>
      </c>
      <c r="AC35" s="1809">
        <f t="shared" si="5"/>
        <v>1</v>
      </c>
    </row>
    <row r="36" spans="1:29" ht="15">
      <c r="A36" s="471"/>
      <c r="B36" s="421" t="s">
        <v>2651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46"/>
      <c r="Q36" s="1808" t="str">
        <f t="shared" si="11"/>
        <v>成新度</v>
      </c>
      <c r="R36" s="772" t="s">
        <v>17</v>
      </c>
      <c r="S36" s="773" t="e">
        <f t="shared" si="12"/>
        <v>#N/A</v>
      </c>
      <c r="T36" s="772" t="s">
        <v>17</v>
      </c>
      <c r="U36" s="773" t="e">
        <f t="shared" si="13"/>
        <v>#N/A</v>
      </c>
      <c r="V36" s="772" t="s">
        <v>17</v>
      </c>
      <c r="W36" s="773" t="e">
        <f t="shared" si="14"/>
        <v>#N/A</v>
      </c>
      <c r="X36" s="1811"/>
      <c r="Y36" s="3248"/>
      <c r="Z36" s="1812" t="str">
        <f t="shared" si="15"/>
        <v>成新度</v>
      </c>
      <c r="AA36" s="1809" t="e">
        <f t="shared" si="3"/>
        <v>#N/A</v>
      </c>
      <c r="AB36" s="1809" t="e">
        <f t="shared" si="4"/>
        <v>#N/A</v>
      </c>
      <c r="AC36" s="1809" t="e">
        <f t="shared" si="5"/>
        <v>#N/A</v>
      </c>
    </row>
    <row r="37" spans="1:29" s="116" customFormat="1" ht="15">
      <c r="A37" s="472"/>
      <c r="B37" s="421" t="s">
        <v>2652</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0"/>
      <c r="M37" s="1131"/>
      <c r="N37" s="1131"/>
      <c r="O37" s="1131"/>
      <c r="P37" s="3246"/>
      <c r="Q37" s="1793" t="str">
        <f t="shared" si="11"/>
        <v>市政基础设施</v>
      </c>
      <c r="R37" s="768" t="s">
        <v>17</v>
      </c>
      <c r="S37" s="769">
        <f t="shared" si="12"/>
        <v>100</v>
      </c>
      <c r="T37" s="768" t="s">
        <v>17</v>
      </c>
      <c r="U37" s="769">
        <f t="shared" si="13"/>
        <v>100</v>
      </c>
      <c r="V37" s="768" t="s">
        <v>17</v>
      </c>
      <c r="W37" s="769">
        <f t="shared" si="14"/>
        <v>100</v>
      </c>
      <c r="X37" s="770"/>
      <c r="Y37" s="3248"/>
      <c r="Z37" s="54" t="str">
        <f t="shared" si="15"/>
        <v>市政基础设施</v>
      </c>
      <c r="AA37" s="771">
        <f t="shared" si="3"/>
        <v>1</v>
      </c>
      <c r="AB37" s="771">
        <f t="shared" si="4"/>
        <v>1</v>
      </c>
      <c r="AC37" s="771">
        <f t="shared" si="5"/>
        <v>1</v>
      </c>
    </row>
    <row r="38" spans="1:29" ht="15">
      <c r="A38" s="471"/>
      <c r="B38" s="421" t="s">
        <v>2653</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38"/>
      <c r="M38" s="1129"/>
      <c r="N38" s="1129"/>
      <c r="O38" s="1129"/>
      <c r="P38" s="3246" t="s">
        <v>2554</v>
      </c>
      <c r="Q38" s="1808" t="str">
        <f t="shared" si="11"/>
        <v>业态</v>
      </c>
      <c r="R38" s="772" t="s">
        <v>17</v>
      </c>
      <c r="S38" s="773">
        <f t="shared" si="12"/>
        <v>100</v>
      </c>
      <c r="T38" s="772" t="s">
        <v>17</v>
      </c>
      <c r="U38" s="773">
        <f t="shared" si="13"/>
        <v>100</v>
      </c>
      <c r="V38" s="772" t="s">
        <v>17</v>
      </c>
      <c r="W38" s="773">
        <f t="shared" si="14"/>
        <v>100</v>
      </c>
      <c r="X38" s="1811"/>
      <c r="Y38" s="3248" t="s">
        <v>2554</v>
      </c>
      <c r="Z38" s="1812" t="str">
        <f t="shared" si="15"/>
        <v>业态</v>
      </c>
      <c r="AA38" s="1809">
        <f t="shared" si="3"/>
        <v>1</v>
      </c>
      <c r="AB38" s="1809">
        <f t="shared" si="4"/>
        <v>1</v>
      </c>
      <c r="AC38" s="1809">
        <f t="shared" si="5"/>
        <v>1</v>
      </c>
    </row>
    <row r="39" spans="1:29" ht="15">
      <c r="A39" s="471"/>
      <c r="B39" s="421" t="s">
        <v>2654</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38"/>
      <c r="M39" s="1129"/>
      <c r="N39" s="1129"/>
      <c r="O39" s="1129"/>
      <c r="P39" s="3246"/>
      <c r="Q39" s="1808" t="str">
        <f t="shared" si="11"/>
        <v>层高</v>
      </c>
      <c r="R39" s="772" t="s">
        <v>17</v>
      </c>
      <c r="S39" s="773">
        <f t="shared" si="12"/>
        <v>100</v>
      </c>
      <c r="T39" s="772" t="s">
        <v>17</v>
      </c>
      <c r="U39" s="773">
        <f t="shared" si="13"/>
        <v>100</v>
      </c>
      <c r="V39" s="772" t="s">
        <v>17</v>
      </c>
      <c r="W39" s="773">
        <f t="shared" si="14"/>
        <v>100</v>
      </c>
      <c r="X39" s="1811"/>
      <c r="Y39" s="3248"/>
      <c r="Z39" s="1812" t="str">
        <f t="shared" si="15"/>
        <v>层高</v>
      </c>
      <c r="AA39" s="1809">
        <f t="shared" si="3"/>
        <v>1</v>
      </c>
      <c r="AB39" s="1809">
        <f t="shared" si="4"/>
        <v>1</v>
      </c>
      <c r="AC39" s="1809">
        <f t="shared" si="5"/>
        <v>1</v>
      </c>
    </row>
    <row r="40" spans="1:29" ht="15">
      <c r="A40" s="471"/>
      <c r="B40" s="421" t="s">
        <v>2655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46"/>
      <c r="Q40" s="1808" t="str">
        <f t="shared" si="11"/>
        <v>单套建筑面积</v>
      </c>
      <c r="R40" s="772" t="s">
        <v>17</v>
      </c>
      <c r="S40" s="773">
        <f t="shared" si="12"/>
        <v>100</v>
      </c>
      <c r="T40" s="772" t="s">
        <v>17</v>
      </c>
      <c r="U40" s="773">
        <f t="shared" si="13"/>
        <v>100</v>
      </c>
      <c r="V40" s="772" t="s">
        <v>17</v>
      </c>
      <c r="W40" s="773">
        <f t="shared" si="14"/>
        <v>100</v>
      </c>
      <c r="X40" s="1811"/>
      <c r="Y40" s="3248"/>
      <c r="Z40" s="1812" t="str">
        <f t="shared" si="15"/>
        <v>单套建筑面积</v>
      </c>
      <c r="AA40" s="1809">
        <f t="shared" si="3"/>
        <v>1</v>
      </c>
      <c r="AB40" s="1809">
        <f t="shared" si="4"/>
        <v>1</v>
      </c>
      <c r="AC40" s="1809">
        <f t="shared" si="5"/>
        <v>1</v>
      </c>
    </row>
    <row r="41" spans="1:29" s="470" customFormat="1" ht="15">
      <c r="A41" s="467"/>
      <c r="B41" s="1810" t="s">
        <v>2656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46"/>
      <c r="Q41" s="774" t="str">
        <f t="shared" si="11"/>
        <v>进深比</v>
      </c>
      <c r="R41" s="775" t="s">
        <v>17</v>
      </c>
      <c r="S41" s="776">
        <f t="shared" si="12"/>
        <v>100</v>
      </c>
      <c r="T41" s="775" t="s">
        <v>17</v>
      </c>
      <c r="U41" s="776">
        <f t="shared" si="13"/>
        <v>100</v>
      </c>
      <c r="V41" s="775" t="s">
        <v>17</v>
      </c>
      <c r="W41" s="776">
        <f t="shared" si="14"/>
        <v>100</v>
      </c>
      <c r="X41" s="777"/>
      <c r="Y41" s="3248"/>
      <c r="Z41" s="778" t="str">
        <f t="shared" si="15"/>
        <v>进深比</v>
      </c>
      <c r="AA41" s="1809">
        <f t="shared" si="3"/>
        <v>1</v>
      </c>
      <c r="AB41" s="1809">
        <f t="shared" si="4"/>
        <v>1</v>
      </c>
      <c r="AC41" s="1809">
        <f t="shared" si="5"/>
        <v>1</v>
      </c>
    </row>
    <row r="42" spans="1:29" ht="15">
      <c r="A42" s="471"/>
      <c r="B42" s="421" t="s">
        <v>2657</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38"/>
      <c r="M42" s="1129"/>
      <c r="N42" s="1129"/>
      <c r="O42" s="1129"/>
      <c r="P42" s="3246"/>
      <c r="Q42" s="1808" t="str">
        <f t="shared" si="11"/>
        <v>内部装修</v>
      </c>
      <c r="R42" s="772" t="s">
        <v>17</v>
      </c>
      <c r="S42" s="773">
        <f t="shared" si="12"/>
        <v>100</v>
      </c>
      <c r="T42" s="772" t="s">
        <v>17</v>
      </c>
      <c r="U42" s="773">
        <f t="shared" si="13"/>
        <v>100</v>
      </c>
      <c r="V42" s="772" t="s">
        <v>17</v>
      </c>
      <c r="W42" s="773">
        <f t="shared" si="14"/>
        <v>100</v>
      </c>
      <c r="X42" s="1811"/>
      <c r="Y42" s="3248"/>
      <c r="Z42" s="1812" t="str">
        <f t="shared" si="15"/>
        <v>内部装修</v>
      </c>
      <c r="AA42" s="1809">
        <f t="shared" si="3"/>
        <v>1</v>
      </c>
      <c r="AB42" s="1809">
        <f t="shared" si="4"/>
        <v>1</v>
      </c>
      <c r="AC42" s="1809">
        <f t="shared" si="5"/>
        <v>1</v>
      </c>
    </row>
    <row r="43" spans="1:29" ht="15">
      <c r="A43" s="471"/>
      <c r="B43" s="421" t="s">
        <v>2565</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38"/>
      <c r="M43" s="1129"/>
      <c r="N43" s="1129"/>
      <c r="O43" s="1129"/>
      <c r="P43" s="3246"/>
      <c r="Q43" s="1808" t="str">
        <f t="shared" si="11"/>
        <v>内部装修维护情况</v>
      </c>
      <c r="R43" s="772" t="s">
        <v>17</v>
      </c>
      <c r="S43" s="773">
        <f t="shared" si="12"/>
        <v>100</v>
      </c>
      <c r="T43" s="772" t="s">
        <v>17</v>
      </c>
      <c r="U43" s="773">
        <f t="shared" si="13"/>
        <v>100</v>
      </c>
      <c r="V43" s="772" t="s">
        <v>17</v>
      </c>
      <c r="W43" s="773">
        <f t="shared" si="14"/>
        <v>100</v>
      </c>
      <c r="X43" s="1811"/>
      <c r="Y43" s="3248"/>
      <c r="Z43" s="1812" t="str">
        <f t="shared" si="15"/>
        <v>内部装修维护情况</v>
      </c>
      <c r="AA43" s="1809">
        <f t="shared" si="3"/>
        <v>1</v>
      </c>
      <c r="AB43" s="1809">
        <f t="shared" si="4"/>
        <v>1</v>
      </c>
      <c r="AC43" s="1809">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46"/>
      <c r="Q44" s="1793">
        <f t="shared" si="11"/>
        <v>111</v>
      </c>
      <c r="R44" s="768" t="s">
        <v>17</v>
      </c>
      <c r="S44" s="769">
        <f t="shared" si="12"/>
        <v>100</v>
      </c>
      <c r="T44" s="768" t="s">
        <v>17</v>
      </c>
      <c r="U44" s="769">
        <f t="shared" si="13"/>
        <v>100</v>
      </c>
      <c r="V44" s="768" t="s">
        <v>17</v>
      </c>
      <c r="W44" s="769">
        <f t="shared" si="14"/>
        <v>100</v>
      </c>
      <c r="X44" s="770"/>
      <c r="Y44" s="3248"/>
      <c r="Z44" s="54">
        <f t="shared" si="15"/>
        <v>111</v>
      </c>
      <c r="AA44" s="771">
        <f t="shared" si="3"/>
        <v>1</v>
      </c>
      <c r="AB44" s="771">
        <f t="shared" si="4"/>
        <v>1</v>
      </c>
      <c r="AC44" s="771">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46"/>
      <c r="Q45" s="1808">
        <f t="shared" si="11"/>
        <v>111</v>
      </c>
      <c r="R45" s="772" t="s">
        <v>17</v>
      </c>
      <c r="S45" s="773">
        <f t="shared" si="12"/>
        <v>100</v>
      </c>
      <c r="T45" s="772" t="s">
        <v>17</v>
      </c>
      <c r="U45" s="773">
        <f t="shared" si="13"/>
        <v>100</v>
      </c>
      <c r="V45" s="772" t="s">
        <v>17</v>
      </c>
      <c r="W45" s="773">
        <f t="shared" si="14"/>
        <v>100</v>
      </c>
      <c r="X45" s="1811"/>
      <c r="Y45" s="3248"/>
      <c r="Z45" s="1812">
        <f t="shared" si="15"/>
        <v>111</v>
      </c>
      <c r="AA45" s="1809">
        <f t="shared" si="3"/>
        <v>1</v>
      </c>
      <c r="AB45" s="1809">
        <f t="shared" si="4"/>
        <v>1</v>
      </c>
      <c r="AC45" s="1809">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47"/>
      <c r="Q46" s="1808">
        <f t="shared" si="11"/>
        <v>111</v>
      </c>
      <c r="R46" s="772" t="s">
        <v>17</v>
      </c>
      <c r="S46" s="773">
        <f t="shared" si="12"/>
        <v>100</v>
      </c>
      <c r="T46" s="772" t="s">
        <v>17</v>
      </c>
      <c r="U46" s="773">
        <f t="shared" si="13"/>
        <v>100</v>
      </c>
      <c r="V46" s="772" t="s">
        <v>17</v>
      </c>
      <c r="W46" s="773">
        <f t="shared" si="14"/>
        <v>100</v>
      </c>
      <c r="X46" s="1811"/>
      <c r="Y46" s="3249"/>
      <c r="Z46" s="1812">
        <f t="shared" si="15"/>
        <v>111</v>
      </c>
      <c r="AA46" s="1809">
        <f t="shared" si="3"/>
        <v>1</v>
      </c>
      <c r="AB46" s="1809">
        <f t="shared" si="4"/>
        <v>1</v>
      </c>
      <c r="AC46" s="1809">
        <f t="shared" si="5"/>
        <v>1</v>
      </c>
    </row>
    <row r="47" spans="1:29" ht="15">
      <c r="A47" s="478" t="s">
        <v>2566</v>
      </c>
      <c r="B47" s="479"/>
      <c r="C47" s="1405" t="s">
        <v>1</v>
      </c>
      <c r="D47" s="1406"/>
      <c r="E47" s="1407"/>
      <c r="F47" s="1408"/>
      <c r="G47" s="1409"/>
      <c r="H47" s="1410"/>
      <c r="I47" s="1407"/>
      <c r="J47" s="1410"/>
      <c r="K47" s="781"/>
      <c r="L47" s="1141"/>
      <c r="M47" s="1142"/>
      <c r="N47" s="1129"/>
      <c r="O47" s="1142"/>
      <c r="P47" s="3236" t="str">
        <f>A47</f>
        <v>成交单价（元/平方米）</v>
      </c>
      <c r="Q47" s="3236"/>
      <c r="R47" s="3250">
        <f>E47</f>
        <v>0</v>
      </c>
      <c r="S47" s="3250"/>
      <c r="T47" s="3250">
        <f>G47</f>
        <v>0</v>
      </c>
      <c r="U47" s="3250"/>
      <c r="V47" s="3250">
        <f>I47</f>
        <v>0</v>
      </c>
      <c r="W47" s="3250"/>
      <c r="X47" s="757"/>
      <c r="Y47" s="779"/>
      <c r="Z47" s="757"/>
      <c r="AA47" s="757"/>
      <c r="AB47" s="757"/>
      <c r="AC47" s="757"/>
    </row>
    <row r="48" spans="1:29" ht="15.75" thickBot="1">
      <c r="A48" s="485" t="s">
        <v>2658</v>
      </c>
      <c r="B48" s="486"/>
      <c r="C48" s="1411" t="e">
        <f>R49</f>
        <v>#DIV/0!</v>
      </c>
      <c r="D48" s="1412"/>
      <c r="E48" s="1413" t="e">
        <f>R48</f>
        <v>#DIV/0!</v>
      </c>
      <c r="F48" s="1413"/>
      <c r="G48" s="1411" t="e">
        <f>T48</f>
        <v>#DIV/0!</v>
      </c>
      <c r="H48" s="1412"/>
      <c r="I48" s="1413" t="e">
        <f>V48</f>
        <v>#DIV/0!</v>
      </c>
      <c r="J48" s="1412"/>
      <c r="K48" s="782"/>
      <c r="L48" s="1141"/>
      <c r="M48" s="1142"/>
      <c r="N48" s="1129"/>
      <c r="O48" s="1142"/>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7"/>
      <c r="Y48" s="757"/>
      <c r="Z48" s="757"/>
      <c r="AA48" s="757"/>
      <c r="AB48" s="757"/>
      <c r="AC48" s="757"/>
    </row>
    <row r="49" spans="1:29" ht="15.75" thickBot="1">
      <c r="A49" s="491" t="s">
        <v>2659</v>
      </c>
      <c r="B49" s="492"/>
      <c r="C49" s="1415" t="e">
        <f>R49</f>
        <v>#DIV/0!</v>
      </c>
      <c r="D49" s="1415"/>
      <c r="E49" s="1415"/>
      <c r="F49" s="1415"/>
      <c r="G49" s="1415"/>
      <c r="H49" s="1415"/>
      <c r="I49" s="1415"/>
      <c r="J49" s="1415"/>
      <c r="K49" s="783"/>
      <c r="L49" s="1141"/>
      <c r="M49" s="1142"/>
      <c r="N49" s="1129"/>
      <c r="O49" s="1142"/>
      <c r="P49" s="3238" t="str">
        <f>A49</f>
        <v>估价对象XX用房的比较价值（楼面单价，元/平方米）</v>
      </c>
      <c r="Q49" s="3239"/>
      <c r="R49" s="3240" t="e">
        <f>IF(F1="售价",ROUND(AVERAGE(R48:V48),0),ROUND(AVERAGE(R48:V48),1))</f>
        <v>#DIV/0!</v>
      </c>
      <c r="S49" s="3240"/>
      <c r="T49" s="3240"/>
      <c r="U49" s="3240"/>
      <c r="V49" s="3240"/>
      <c r="W49" s="324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2660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2661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2662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2"/>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2"/>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1.75" thickBot="1">
      <c r="A57" s="761" t="s">
        <v>2663</v>
      </c>
      <c r="B57" s="757"/>
      <c r="C57" s="762"/>
      <c r="D57" s="762"/>
      <c r="E57" s="762"/>
      <c r="F57" s="763"/>
      <c r="G57" s="763"/>
      <c r="H57" s="762"/>
      <c r="I57" s="762"/>
      <c r="J57" s="762"/>
      <c r="K57" s="764"/>
      <c r="L57" s="1159"/>
      <c r="M57" s="1157"/>
      <c r="N57" s="1157"/>
      <c r="O57" s="1157"/>
      <c r="P57" s="2663"/>
      <c r="Q57" s="2664"/>
      <c r="R57" s="757"/>
      <c r="S57" s="757"/>
      <c r="T57" s="757"/>
      <c r="U57" s="757"/>
      <c r="V57" s="757"/>
      <c r="W57" s="757"/>
      <c r="X57" s="757"/>
      <c r="Y57" s="757"/>
      <c r="Z57" s="757"/>
      <c r="AA57" s="757"/>
      <c r="AB57" s="757"/>
      <c r="AC57" s="757"/>
    </row>
    <row r="58" spans="1:29" s="507" customFormat="1" ht="15">
      <c r="A58" s="504" t="s">
        <v>2537</v>
      </c>
      <c r="B58" s="505"/>
      <c r="C58" s="1572" t="str">
        <f>YEAR(C7)&amp;"-"&amp;MONTH(C7)</f>
        <v>2019-7</v>
      </c>
      <c r="D58" s="1573">
        <f>EDATE(C58,-1)</f>
        <v>43617</v>
      </c>
      <c r="E58" s="1573">
        <f t="shared" ref="E58:N58" si="16">EDATE(D58,-1)</f>
        <v>43586</v>
      </c>
      <c r="F58" s="1573">
        <f t="shared" si="16"/>
        <v>43556</v>
      </c>
      <c r="G58" s="1573">
        <f t="shared" si="16"/>
        <v>43525</v>
      </c>
      <c r="H58" s="1573">
        <f t="shared" si="16"/>
        <v>43497</v>
      </c>
      <c r="I58" s="1573">
        <f t="shared" si="16"/>
        <v>43466</v>
      </c>
      <c r="J58" s="1573">
        <f t="shared" si="16"/>
        <v>43435</v>
      </c>
      <c r="K58" s="1573">
        <f t="shared" si="16"/>
        <v>43405</v>
      </c>
      <c r="L58" s="1573">
        <f t="shared" si="16"/>
        <v>43374</v>
      </c>
      <c r="M58" s="1573">
        <f t="shared" si="16"/>
        <v>43344</v>
      </c>
      <c r="N58" s="1573">
        <f t="shared" si="16"/>
        <v>43313</v>
      </c>
      <c r="O58" s="1573">
        <f>EDATE(N58,-1)</f>
        <v>43282</v>
      </c>
      <c r="P58" s="1568"/>
    </row>
    <row r="59" spans="1:29" s="116" customFormat="1" ht="15">
      <c r="A59" s="508"/>
      <c r="B59" s="509"/>
      <c r="C59" s="1571">
        <v>100</v>
      </c>
      <c r="D59" s="511"/>
      <c r="E59" s="511"/>
      <c r="F59" s="511"/>
      <c r="G59" s="511"/>
      <c r="H59" s="511"/>
      <c r="I59" s="511"/>
      <c r="J59" s="511"/>
      <c r="K59" s="511"/>
      <c r="L59" s="511"/>
      <c r="M59" s="512"/>
      <c r="N59" s="511"/>
      <c r="O59" s="512"/>
      <c r="P59" s="2624"/>
    </row>
    <row r="60" spans="1:29" s="116" customFormat="1" ht="15.75" thickBot="1">
      <c r="A60" s="514" t="s">
        <v>2574</v>
      </c>
      <c r="B60" s="515"/>
      <c r="C60" s="516"/>
      <c r="D60" s="517"/>
      <c r="E60" s="517"/>
      <c r="F60" s="517"/>
      <c r="G60" s="517"/>
      <c r="H60" s="517"/>
      <c r="I60" s="517"/>
      <c r="J60" s="517"/>
      <c r="K60" s="517"/>
      <c r="L60" s="517"/>
      <c r="M60" s="518"/>
      <c r="N60" s="517"/>
      <c r="O60" s="518"/>
      <c r="P60" s="2624"/>
      <c r="Q60" s="503"/>
    </row>
    <row r="61" spans="1:29" s="116" customFormat="1" ht="15">
      <c r="A61" s="520" t="s">
        <v>2539</v>
      </c>
      <c r="B61" s="509"/>
      <c r="C61" s="521" t="s">
        <v>2641</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2577</v>
      </c>
      <c r="B63" s="527" t="s">
        <v>2543</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50"/>
      <c r="O65" s="1150"/>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75" thickTop="1">
      <c r="A67" s="533"/>
      <c r="B67" s="545" t="s">
        <v>2547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35"/>
      <c r="E73" s="535"/>
      <c r="F73" s="535"/>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2644</v>
      </c>
      <c r="C82" s="659" t="s">
        <v>2664</v>
      </c>
      <c r="D82" s="659" t="s">
        <v>2665</v>
      </c>
      <c r="E82" s="659" t="s">
        <v>2666</v>
      </c>
      <c r="F82" s="659" t="s">
        <v>2667</v>
      </c>
      <c r="G82" s="659" t="s">
        <v>2668</v>
      </c>
      <c r="H82" s="538"/>
      <c r="I82" s="538"/>
      <c r="J82" s="538"/>
      <c r="K82" s="538"/>
      <c r="L82" s="538"/>
      <c r="M82" s="1380"/>
      <c r="N82" s="1151"/>
      <c r="O82" s="1151"/>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2669</v>
      </c>
      <c r="C86" s="553"/>
      <c r="D86" s="553"/>
      <c r="E86" s="553"/>
      <c r="F86" s="553"/>
      <c r="G86" s="553"/>
      <c r="H86" s="553"/>
      <c r="I86" s="553"/>
      <c r="J86" s="553"/>
      <c r="K86" s="553"/>
      <c r="L86" s="579"/>
      <c r="M86" s="580"/>
      <c r="N86" s="1149"/>
      <c r="O86" s="1149"/>
      <c r="P86" s="2626"/>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6" customFormat="1" ht="15.75" thickTop="1">
      <c r="A88" s="578"/>
      <c r="B88" s="537" t="str">
        <f>B26</f>
        <v>平面位置/可视性</v>
      </c>
      <c r="C88" s="553"/>
      <c r="D88" s="553"/>
      <c r="E88" s="553"/>
      <c r="F88" s="2631"/>
      <c r="G88" s="553"/>
      <c r="H88" s="553"/>
      <c r="I88" s="553"/>
      <c r="J88" s="553"/>
      <c r="K88" s="553"/>
      <c r="L88" s="553"/>
      <c r="M88" s="580"/>
      <c r="N88" s="1149"/>
      <c r="O88" s="1149"/>
      <c r="P88" s="2626"/>
      <c r="Q88" s="503"/>
    </row>
    <row r="89" spans="1:17" s="116" customFormat="1" ht="15.75" thickBot="1">
      <c r="A89" s="578"/>
      <c r="B89" s="542"/>
      <c r="C89" s="559"/>
      <c r="D89" s="535"/>
      <c r="E89" s="535"/>
      <c r="F89" s="535"/>
      <c r="G89" s="535"/>
      <c r="H89" s="535"/>
      <c r="I89" s="535"/>
      <c r="J89" s="535"/>
      <c r="K89" s="535"/>
      <c r="L89" s="535"/>
      <c r="M89" s="535"/>
      <c r="N89" s="1151"/>
      <c r="O89" s="1151"/>
      <c r="P89" s="2626"/>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5.75" thickTop="1">
      <c r="A92" s="533"/>
      <c r="B92" s="537" t="str">
        <f>B28</f>
        <v>楼层</v>
      </c>
      <c r="C92" s="553"/>
      <c r="D92" s="553"/>
      <c r="E92" s="553"/>
      <c r="F92" s="553"/>
      <c r="G92" s="553"/>
      <c r="H92" s="553"/>
      <c r="I92" s="553"/>
      <c r="J92" s="553"/>
      <c r="K92" s="553"/>
      <c r="L92" s="579"/>
      <c r="M92" s="580"/>
      <c r="N92" s="1150"/>
      <c r="O92" s="1150"/>
      <c r="P92" s="2626"/>
      <c r="Q92" s="503"/>
    </row>
    <row r="93" spans="1:17" ht="15.75" thickBot="1">
      <c r="A93" s="533"/>
      <c r="B93" s="542"/>
      <c r="C93" s="535"/>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35"/>
      <c r="E95" s="535"/>
      <c r="F95" s="535"/>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59"/>
      <c r="D97" s="535"/>
      <c r="E97" s="535"/>
      <c r="F97" s="535"/>
      <c r="G97" s="535"/>
      <c r="H97" s="535"/>
      <c r="I97" s="535"/>
      <c r="J97" s="535"/>
      <c r="K97" s="535"/>
      <c r="L97" s="535"/>
      <c r="M97" s="536"/>
      <c r="N97" s="1151"/>
      <c r="O97" s="1151"/>
      <c r="P97" s="2626"/>
      <c r="Q97" s="503"/>
    </row>
    <row r="98" spans="1:17" ht="15.75" thickTop="1">
      <c r="A98" s="533"/>
      <c r="B98" s="545">
        <f>B31</f>
        <v>111</v>
      </c>
      <c r="C98" s="553"/>
      <c r="D98" s="553"/>
      <c r="E98" s="553"/>
      <c r="F98" s="553"/>
      <c r="G98" s="586"/>
      <c r="H98" s="586"/>
      <c r="I98" s="586"/>
      <c r="J98" s="586"/>
      <c r="K98" s="587"/>
      <c r="L98" s="588"/>
      <c r="M98" s="589"/>
      <c r="N98" s="1150"/>
      <c r="O98" s="1150"/>
      <c r="P98" s="2626"/>
      <c r="Q98" s="503"/>
    </row>
    <row r="99" spans="1:17" ht="15.75" thickBot="1">
      <c r="A99" s="2632"/>
      <c r="B99" s="568"/>
      <c r="C99" s="569"/>
      <c r="D99" s="569"/>
      <c r="E99" s="569"/>
      <c r="F99" s="569"/>
      <c r="G99" s="590"/>
      <c r="H99" s="590"/>
      <c r="I99" s="590"/>
      <c r="J99" s="590"/>
      <c r="K99" s="590"/>
      <c r="L99" s="590"/>
      <c r="M99" s="591"/>
      <c r="N99" s="1151"/>
      <c r="O99" s="1151"/>
      <c r="P99" s="2626"/>
      <c r="Q99" s="503"/>
    </row>
    <row r="100" spans="1:17">
      <c r="A100" s="526" t="s">
        <v>2552</v>
      </c>
      <c r="B100" s="527" t="s">
        <v>2670</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6"/>
      <c r="Q101" s="503"/>
    </row>
    <row r="102" spans="1:17" ht="15.75" thickTop="1">
      <c r="A102" s="533"/>
      <c r="B102" s="537" t="s">
        <v>2602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7"/>
      <c r="Q104" s="558"/>
    </row>
    <row r="105" spans="1:17" ht="15" thickTop="1">
      <c r="A105" s="598"/>
      <c r="B105" s="537" t="s">
        <v>2603</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2605</v>
      </c>
      <c r="C107" s="553"/>
      <c r="D107" s="553"/>
      <c r="E107" s="553"/>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1987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2607</v>
      </c>
      <c r="C112" s="553"/>
      <c r="D112" s="553"/>
      <c r="E112" s="553"/>
      <c r="F112" s="553"/>
      <c r="G112" s="553"/>
      <c r="H112" s="582"/>
      <c r="I112" s="582"/>
      <c r="J112" s="582"/>
      <c r="K112" s="583"/>
      <c r="L112" s="584"/>
      <c r="M112" s="585"/>
      <c r="N112" s="1152"/>
      <c r="O112" s="1152"/>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2671</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2672</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2673</v>
      </c>
      <c r="C118" s="626"/>
      <c r="D118" s="626"/>
      <c r="E118" s="626"/>
      <c r="F118" s="626"/>
      <c r="G118" s="626"/>
      <c r="H118" s="554"/>
      <c r="I118" s="554"/>
      <c r="J118" s="554"/>
      <c r="K118" s="554"/>
      <c r="L118" s="555"/>
      <c r="M118" s="556"/>
      <c r="N118" s="1150"/>
      <c r="O118" s="1150"/>
      <c r="P118" s="2626"/>
      <c r="Q118" s="503"/>
    </row>
    <row r="119" spans="1:17" ht="15.75"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2674</v>
      </c>
      <c r="C120" s="582"/>
      <c r="D120" s="582"/>
      <c r="E120" s="582"/>
      <c r="F120" s="582"/>
      <c r="G120" s="554"/>
      <c r="H120" s="554"/>
      <c r="I120" s="554"/>
      <c r="J120" s="554"/>
      <c r="K120" s="554"/>
      <c r="L120" s="555"/>
      <c r="M120" s="556"/>
      <c r="N120" s="1152"/>
      <c r="O120" s="1152"/>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2609</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35"/>
      <c r="E129" s="535"/>
      <c r="F129" s="535"/>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3" priority="17" stopIfTrue="1" operator="containsText" text="超过">
      <formula>NOT(ISERROR(SEARCH("超过",F52)))</formula>
    </cfRule>
  </conditionalFormatting>
  <conditionalFormatting sqref="H54">
    <cfRule type="containsText" dxfId="162" priority="15" stopIfTrue="1" operator="containsText" text="超过">
      <formula>NOT(ISERROR(SEARCH("超过",H54)))</formula>
    </cfRule>
  </conditionalFormatting>
  <conditionalFormatting sqref="F54">
    <cfRule type="containsText" dxfId="161" priority="14" stopIfTrue="1" operator="containsText" text="超过">
      <formula>NOT(ISERROR(SEARCH("超过",F54)))</formula>
    </cfRule>
  </conditionalFormatting>
  <conditionalFormatting sqref="F53 H53">
    <cfRule type="containsText" dxfId="160" priority="13" stopIfTrue="1" operator="containsText" text="超过">
      <formula>NOT(ISERROR(SEARCH("超过",F53)))</formula>
    </cfRule>
  </conditionalFormatting>
  <conditionalFormatting sqref="E52">
    <cfRule type="expression" dxfId="159" priority="12" stopIfTrue="1">
      <formula>$F$52="超过30%"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4">
    <cfRule type="expression" dxfId="156" priority="9" stopIfTrue="1">
      <formula>$H$54="超过30%"</formula>
    </cfRule>
  </conditionalFormatting>
  <conditionalFormatting sqref="G52">
    <cfRule type="expression" dxfId="155" priority="8" stopIfTrue="1">
      <formula>$H$52="超过30%"</formula>
    </cfRule>
  </conditionalFormatting>
  <conditionalFormatting sqref="G53">
    <cfRule type="expression" dxfId="154" priority="7" stopIfTrue="1">
      <formula>$H$53="超过20%"</formula>
    </cfRule>
  </conditionalFormatting>
  <conditionalFormatting sqref="J52">
    <cfRule type="containsText" dxfId="153" priority="6" stopIfTrue="1" operator="containsText" text="超过">
      <formula>NOT(ISERROR(SEARCH("超过",J52)))</formula>
    </cfRule>
  </conditionalFormatting>
  <conditionalFormatting sqref="J54">
    <cfRule type="containsText" dxfId="152" priority="5" stopIfTrue="1" operator="containsText" text="超过">
      <formula>NOT(ISERROR(SEARCH("超过",J54)))</formula>
    </cfRule>
  </conditionalFormatting>
  <conditionalFormatting sqref="J53">
    <cfRule type="containsText" dxfId="151" priority="4" stopIfTrue="1" operator="containsText" text="超过">
      <formula>NOT(ISERROR(SEARCH("超过",J53)))</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C14" sqref="C14:C16"/>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665" t="s">
        <v>2675</v>
      </c>
      <c r="C1" s="1618" t="s">
        <v>2519</v>
      </c>
      <c r="D1" s="1619" t="s">
        <v>27</v>
      </c>
      <c r="E1" s="1628"/>
      <c r="F1" s="2582" t="s">
        <v>3090</v>
      </c>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2316</v>
      </c>
      <c r="B2" s="1416">
        <f>IF(C2="——",ROUND(C50*D3/10000,0),ROUND(C50*D3/10000,0)-D2)</f>
        <v>448</v>
      </c>
      <c r="C2" s="2584" t="s">
        <v>70</v>
      </c>
      <c r="D2" s="1363" t="e">
        <f ca="1">SUMIF(INDIRECT("'"&amp;F2&amp;"'"&amp;"!A:A"),"承租人权益价值",INDIRECT("'"&amp;F2&amp;"'"&amp;"!c:c"))</f>
        <v>#REF!</v>
      </c>
      <c r="E2" s="2585" t="s">
        <v>2317</v>
      </c>
      <c r="F2" s="2586"/>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2318</v>
      </c>
      <c r="B3" s="608">
        <f>IF(C2="——",C50,ROUND(B2*10000/D3,0))</f>
        <v>40692</v>
      </c>
      <c r="C3" s="399" t="s">
        <v>2633</v>
      </c>
      <c r="D3" s="398">
        <f>IF(D1="",'数据-汇总表'!E3,SUMIF('数据-汇总表'!$C19:$C33,D1,'数据-汇总表'!$E19:$E33))</f>
        <v>109.98</v>
      </c>
      <c r="E3" s="2659"/>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2634</v>
      </c>
      <c r="B4" s="401"/>
      <c r="C4" s="3255" t="s">
        <v>2635</v>
      </c>
      <c r="D4" s="3256"/>
      <c r="E4" s="3257" t="s">
        <v>2636</v>
      </c>
      <c r="F4" s="3258"/>
      <c r="G4" s="3255" t="s">
        <v>2637</v>
      </c>
      <c r="H4" s="3256"/>
      <c r="I4" s="3255" t="s">
        <v>2638</v>
      </c>
      <c r="J4" s="3256"/>
      <c r="K4" s="609" t="s">
        <v>2639</v>
      </c>
      <c r="L4" s="1128"/>
      <c r="M4" s="1129"/>
      <c r="N4" s="1129"/>
      <c r="O4" s="1129"/>
      <c r="P4" s="3288" t="s">
        <v>2640</v>
      </c>
      <c r="Q4" s="3289"/>
      <c r="R4" s="3292" t="s">
        <v>2636</v>
      </c>
      <c r="S4" s="3293"/>
      <c r="T4" s="3292" t="s">
        <v>2637</v>
      </c>
      <c r="U4" s="3293"/>
      <c r="V4" s="3294" t="s">
        <v>2638</v>
      </c>
      <c r="W4" s="3294"/>
      <c r="X4" s="2666"/>
      <c r="Y4" s="3292" t="s">
        <v>2640</v>
      </c>
      <c r="Z4" s="3293"/>
      <c r="AA4" s="3297" t="s">
        <v>2636</v>
      </c>
      <c r="AB4" s="3297" t="s">
        <v>2637</v>
      </c>
      <c r="AC4" s="3285" t="s">
        <v>2638</v>
      </c>
    </row>
    <row r="5" spans="1:29" ht="15">
      <c r="A5" s="403"/>
      <c r="B5" s="404"/>
      <c r="C5" s="3296" t="s">
        <v>3057</v>
      </c>
      <c r="D5" s="3274"/>
      <c r="E5" s="3280" t="str">
        <f>C5</f>
        <v>银座</v>
      </c>
      <c r="F5" s="3281"/>
      <c r="G5" s="3273" t="str">
        <f>C5</f>
        <v>银座</v>
      </c>
      <c r="H5" s="3274"/>
      <c r="I5" s="3273" t="str">
        <f>C5</f>
        <v>银座</v>
      </c>
      <c r="J5" s="3274"/>
      <c r="K5" s="609"/>
      <c r="L5" s="1128"/>
      <c r="M5" s="1129"/>
      <c r="N5" s="1129"/>
      <c r="O5" s="1129"/>
      <c r="P5" s="3290"/>
      <c r="Q5" s="3262"/>
      <c r="R5" s="3267"/>
      <c r="S5" s="3268"/>
      <c r="T5" s="3267"/>
      <c r="U5" s="3268"/>
      <c r="V5" s="3250"/>
      <c r="W5" s="3250"/>
      <c r="X5" s="1811"/>
      <c r="Y5" s="3267"/>
      <c r="Z5" s="3268"/>
      <c r="AA5" s="3253"/>
      <c r="AB5" s="3253"/>
      <c r="AC5" s="3286"/>
    </row>
    <row r="6" spans="1:29" ht="15.75" thickBot="1">
      <c r="A6" s="405"/>
      <c r="B6" s="406"/>
      <c r="C6" s="3271" t="s">
        <v>2535</v>
      </c>
      <c r="D6" s="3272"/>
      <c r="E6" s="3278" t="s">
        <v>2535</v>
      </c>
      <c r="F6" s="3279"/>
      <c r="G6" s="3271" t="s">
        <v>2535</v>
      </c>
      <c r="H6" s="3272"/>
      <c r="I6" s="3271" t="s">
        <v>2535</v>
      </c>
      <c r="J6" s="3272"/>
      <c r="K6" s="609" t="s">
        <v>2536</v>
      </c>
      <c r="L6" s="1128"/>
      <c r="M6" s="1129"/>
      <c r="N6" s="1129"/>
      <c r="O6" s="1129"/>
      <c r="P6" s="3291"/>
      <c r="Q6" s="3264"/>
      <c r="R6" s="3267"/>
      <c r="S6" s="3268"/>
      <c r="T6" s="3269"/>
      <c r="U6" s="3270"/>
      <c r="V6" s="3250"/>
      <c r="W6" s="3250"/>
      <c r="X6" s="1811"/>
      <c r="Y6" s="3269"/>
      <c r="Z6" s="3270"/>
      <c r="AA6" s="3254"/>
      <c r="AB6" s="3254"/>
      <c r="AC6" s="3287"/>
    </row>
    <row r="7" spans="1:29" s="116" customFormat="1" ht="15.75" thickBot="1">
      <c r="A7" s="407" t="s">
        <v>2537</v>
      </c>
      <c r="B7" s="408"/>
      <c r="C7" s="409">
        <f>'数据-取费表'!B2</f>
        <v>43658</v>
      </c>
      <c r="D7" s="410">
        <v>100</v>
      </c>
      <c r="E7" s="411">
        <f>C7</f>
        <v>43658</v>
      </c>
      <c r="F7" s="412">
        <f>SUMIF(59:59,YEAR(E7)&amp;"-"&amp;MONTH(E7),60:60)</f>
        <v>100</v>
      </c>
      <c r="G7" s="411">
        <f>C7</f>
        <v>43658</v>
      </c>
      <c r="H7" s="410">
        <f>SUMIF(59:59,YEAR(G7)&amp;"-"&amp;MONTH(G7),60:60)</f>
        <v>100</v>
      </c>
      <c r="I7" s="411">
        <f>C7</f>
        <v>43658</v>
      </c>
      <c r="J7" s="410">
        <f>SUMIF(59:59,YEAR(I7)&amp;"-"&amp;MONTH(I7),60:60)</f>
        <v>100</v>
      </c>
      <c r="K7" s="610"/>
      <c r="L7" s="1130"/>
      <c r="M7" s="1131"/>
      <c r="N7" s="1131"/>
      <c r="O7" s="1131"/>
      <c r="P7" s="3295" t="s">
        <v>2538</v>
      </c>
      <c r="Q7" s="3277"/>
      <c r="R7" s="768" t="s">
        <v>17</v>
      </c>
      <c r="S7" s="769">
        <f t="shared" ref="S7:S15" si="0">F7</f>
        <v>100</v>
      </c>
      <c r="T7" s="768" t="s">
        <v>17</v>
      </c>
      <c r="U7" s="769">
        <f t="shared" ref="U7:U15" si="1">H7</f>
        <v>100</v>
      </c>
      <c r="V7" s="768" t="s">
        <v>17</v>
      </c>
      <c r="W7" s="769">
        <f t="shared" ref="W7:W15" si="2">J7</f>
        <v>100</v>
      </c>
      <c r="X7" s="770"/>
      <c r="Y7" s="3275" t="s">
        <v>2538</v>
      </c>
      <c r="Z7" s="3276"/>
      <c r="AA7" s="771">
        <f>D7/F7</f>
        <v>1</v>
      </c>
      <c r="AB7" s="771">
        <f>D7/H7</f>
        <v>1</v>
      </c>
      <c r="AC7" s="2667">
        <f>D7/J7</f>
        <v>1</v>
      </c>
    </row>
    <row r="8" spans="1:29" s="116" customFormat="1" ht="15.75" thickBot="1">
      <c r="A8" s="407" t="s">
        <v>2539</v>
      </c>
      <c r="B8" s="408"/>
      <c r="C8" s="413" t="s">
        <v>2641</v>
      </c>
      <c r="D8" s="410">
        <v>100</v>
      </c>
      <c r="E8" s="413" t="s">
        <v>3058</v>
      </c>
      <c r="F8" s="412">
        <f>SUMIF(62:62,E8,63:63)-SUMIF(62:62,C8,63:63)+100</f>
        <v>100</v>
      </c>
      <c r="G8" s="413" t="s">
        <v>3058</v>
      </c>
      <c r="H8" s="410">
        <f>SUMIF(62:62,G8,63:63)-SUMIF(62:62,C8,63:63)+100</f>
        <v>100</v>
      </c>
      <c r="I8" s="413" t="s">
        <v>3058</v>
      </c>
      <c r="J8" s="410">
        <f>SUMIF(62:62,I8,63:63)-SUMIF(62:62,C8,63:63)+100</f>
        <v>100</v>
      </c>
      <c r="K8" s="610"/>
      <c r="L8" s="1130"/>
      <c r="M8" s="1131"/>
      <c r="N8" s="1131"/>
      <c r="O8" s="1131"/>
      <c r="P8" s="3295" t="s">
        <v>2541</v>
      </c>
      <c r="Q8" s="3276"/>
      <c r="R8" s="768" t="s">
        <v>17</v>
      </c>
      <c r="S8" s="769">
        <f t="shared" si="0"/>
        <v>100</v>
      </c>
      <c r="T8" s="768" t="s">
        <v>17</v>
      </c>
      <c r="U8" s="769">
        <f t="shared" si="1"/>
        <v>100</v>
      </c>
      <c r="V8" s="768" t="s">
        <v>17</v>
      </c>
      <c r="W8" s="769">
        <f t="shared" si="2"/>
        <v>100</v>
      </c>
      <c r="X8" s="770"/>
      <c r="Y8" s="3275" t="s">
        <v>2541</v>
      </c>
      <c r="Z8" s="3276"/>
      <c r="AA8" s="771">
        <f t="shared" ref="AA8:AA47" si="3">D8/F8</f>
        <v>1</v>
      </c>
      <c r="AB8" s="771">
        <f t="shared" ref="AB8:AB47" si="4">D8/H8</f>
        <v>1</v>
      </c>
      <c r="AC8" s="2667">
        <f t="shared" ref="AC8:AC47" si="5">D8/J8</f>
        <v>1</v>
      </c>
    </row>
    <row r="9" spans="1:29" s="116" customFormat="1">
      <c r="A9" s="414" t="s">
        <v>2542</v>
      </c>
      <c r="B9" s="70" t="s">
        <v>2543</v>
      </c>
      <c r="C9" s="2969" t="s">
        <v>3079</v>
      </c>
      <c r="D9" s="134">
        <v>100</v>
      </c>
      <c r="E9" s="418" t="s">
        <v>27</v>
      </c>
      <c r="F9" s="134">
        <f>SUMIF(64:64,E9,65:65)-SUMIF(64:64,C9,65:65)+100</f>
        <v>100</v>
      </c>
      <c r="G9" s="416" t="s">
        <v>27</v>
      </c>
      <c r="H9" s="134">
        <f>SUMIF(64:64,G9,65:65)-SUMIF(64:64,C9,65:65)+100</f>
        <v>100</v>
      </c>
      <c r="I9" s="416" t="s">
        <v>27</v>
      </c>
      <c r="J9" s="134">
        <f>SUMIF(64:64,I9,65:65)-SUMIF(64:64,C9,65:65)+100</f>
        <v>100</v>
      </c>
      <c r="K9" s="610"/>
      <c r="L9" s="1130"/>
      <c r="M9" s="1131"/>
      <c r="N9" s="1131"/>
      <c r="O9" s="1131"/>
      <c r="P9" s="3251" t="s">
        <v>2544</v>
      </c>
      <c r="Q9" s="1793" t="str">
        <f t="shared" ref="Q9:Q15" si="6">B9</f>
        <v>用途</v>
      </c>
      <c r="R9" s="768" t="s">
        <v>17</v>
      </c>
      <c r="S9" s="769">
        <f t="shared" si="0"/>
        <v>100</v>
      </c>
      <c r="T9" s="768" t="s">
        <v>17</v>
      </c>
      <c r="U9" s="769">
        <f t="shared" si="1"/>
        <v>100</v>
      </c>
      <c r="V9" s="768" t="s">
        <v>17</v>
      </c>
      <c r="W9" s="769">
        <f t="shared" si="2"/>
        <v>100</v>
      </c>
      <c r="X9" s="770"/>
      <c r="Y9" s="3067" t="s">
        <v>2545</v>
      </c>
      <c r="Z9" s="54" t="str">
        <f t="shared" ref="Z9:Z15" si="7">Q9</f>
        <v>用途</v>
      </c>
      <c r="AA9" s="771">
        <f t="shared" si="3"/>
        <v>1</v>
      </c>
      <c r="AB9" s="771">
        <f t="shared" si="4"/>
        <v>1</v>
      </c>
      <c r="AC9" s="2667">
        <f t="shared" si="5"/>
        <v>1</v>
      </c>
    </row>
    <row r="10" spans="1:29" s="426" customFormat="1" ht="27">
      <c r="A10" s="420"/>
      <c r="B10" s="421" t="s">
        <v>2546</v>
      </c>
      <c r="C10" s="422" t="s">
        <v>3222</v>
      </c>
      <c r="D10" s="135">
        <v>100</v>
      </c>
      <c r="E10" s="422" t="s">
        <v>3222</v>
      </c>
      <c r="F10" s="135">
        <f>SUMIF(66:66,E10,67:67)-SUMIF(66:66,C10,67:67)+100</f>
        <v>100</v>
      </c>
      <c r="G10" s="422" t="s">
        <v>3222</v>
      </c>
      <c r="H10" s="135">
        <f>SUMIF(66:66,G10,67:67)-SUMIF(66:66,C10,67:67)+100</f>
        <v>100</v>
      </c>
      <c r="I10" s="422" t="s">
        <v>3222</v>
      </c>
      <c r="J10" s="135">
        <f>SUMIF(66:66,I10,67:67)-SUMIF(66:66,C10,67:67)+100</f>
        <v>100</v>
      </c>
      <c r="K10" s="611">
        <v>2</v>
      </c>
      <c r="L10" s="1133"/>
      <c r="M10" s="1134"/>
      <c r="N10" s="1134"/>
      <c r="O10" s="1134"/>
      <c r="P10" s="3251"/>
      <c r="Q10" s="1793" t="str">
        <f t="shared" si="6"/>
        <v>土地使用年限（年）</v>
      </c>
      <c r="R10" s="768" t="s">
        <v>17</v>
      </c>
      <c r="S10" s="769">
        <f t="shared" si="0"/>
        <v>100</v>
      </c>
      <c r="T10" s="768" t="s">
        <v>17</v>
      </c>
      <c r="U10" s="769">
        <f t="shared" si="1"/>
        <v>100</v>
      </c>
      <c r="V10" s="768" t="s">
        <v>17</v>
      </c>
      <c r="W10" s="769">
        <f t="shared" si="2"/>
        <v>100</v>
      </c>
      <c r="X10" s="770"/>
      <c r="Y10" s="3067"/>
      <c r="Z10" s="54" t="str">
        <f t="shared" si="7"/>
        <v>土地使用年限（年）</v>
      </c>
      <c r="AA10" s="771">
        <f t="shared" si="3"/>
        <v>1</v>
      </c>
      <c r="AB10" s="771">
        <f t="shared" si="4"/>
        <v>1</v>
      </c>
      <c r="AC10" s="2667">
        <f t="shared" si="5"/>
        <v>1</v>
      </c>
    </row>
    <row r="11" spans="1:29" ht="15">
      <c r="A11" s="427"/>
      <c r="B11" s="421" t="s">
        <v>2547</v>
      </c>
      <c r="C11" s="428">
        <v>1</v>
      </c>
      <c r="D11" s="135">
        <v>100</v>
      </c>
      <c r="E11" s="428">
        <v>1</v>
      </c>
      <c r="F11" s="135">
        <f>LOOKUP(E11,69:69,70:70)-LOOKUP(C11,69:69,70:70)+100</f>
        <v>100</v>
      </c>
      <c r="G11" s="429">
        <v>1</v>
      </c>
      <c r="H11" s="135">
        <f>LOOKUP(G11,69:69,70:70)-LOOKUP(C11,69:69,70:70)+100</f>
        <v>100</v>
      </c>
      <c r="I11" s="428">
        <v>1</v>
      </c>
      <c r="J11" s="135">
        <f>LOOKUP(I11,69:69,70:70)-LOOKUP(C11,69:69,70:70)+100</f>
        <v>100</v>
      </c>
      <c r="K11" s="611">
        <v>0</v>
      </c>
      <c r="L11" s="1136"/>
      <c r="M11" s="1129"/>
      <c r="N11" s="1129"/>
      <c r="O11" s="1129"/>
      <c r="P11" s="3251"/>
      <c r="Q11" s="1793" t="str">
        <f t="shared" si="6"/>
        <v>容积率</v>
      </c>
      <c r="R11" s="768" t="s">
        <v>17</v>
      </c>
      <c r="S11" s="769">
        <f t="shared" si="0"/>
        <v>100</v>
      </c>
      <c r="T11" s="768" t="s">
        <v>17</v>
      </c>
      <c r="U11" s="769">
        <f t="shared" si="1"/>
        <v>100</v>
      </c>
      <c r="V11" s="768" t="s">
        <v>17</v>
      </c>
      <c r="W11" s="769">
        <f t="shared" si="2"/>
        <v>100</v>
      </c>
      <c r="X11" s="770"/>
      <c r="Y11" s="3067"/>
      <c r="Z11" s="54" t="str">
        <f t="shared" si="7"/>
        <v>容积率</v>
      </c>
      <c r="AA11" s="771">
        <f t="shared" si="3"/>
        <v>1</v>
      </c>
      <c r="AB11" s="771">
        <f t="shared" si="4"/>
        <v>1</v>
      </c>
      <c r="AC11" s="2667">
        <f t="shared" si="5"/>
        <v>1</v>
      </c>
    </row>
    <row r="12" spans="1:29" s="116" customFormat="1" ht="15">
      <c r="A12" s="430"/>
      <c r="B12" s="2598">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251"/>
      <c r="Q12" s="1793">
        <f t="shared" si="6"/>
        <v>111</v>
      </c>
      <c r="R12" s="768" t="s">
        <v>17</v>
      </c>
      <c r="S12" s="769">
        <f t="shared" si="0"/>
        <v>100</v>
      </c>
      <c r="T12" s="768" t="s">
        <v>17</v>
      </c>
      <c r="U12" s="769">
        <f t="shared" si="1"/>
        <v>100</v>
      </c>
      <c r="V12" s="768" t="s">
        <v>17</v>
      </c>
      <c r="W12" s="769">
        <f t="shared" si="2"/>
        <v>100</v>
      </c>
      <c r="X12" s="770"/>
      <c r="Y12" s="3067"/>
      <c r="Z12" s="54">
        <f t="shared" si="7"/>
        <v>111</v>
      </c>
      <c r="AA12" s="771">
        <f>D12/F12</f>
        <v>1</v>
      </c>
      <c r="AB12" s="771">
        <f>D12/H12</f>
        <v>1</v>
      </c>
      <c r="AC12" s="2667">
        <f>D12/J12</f>
        <v>1</v>
      </c>
    </row>
    <row r="13" spans="1:29" ht="15">
      <c r="A13" s="427"/>
      <c r="B13" s="2598">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251"/>
      <c r="Q13" s="1793">
        <f t="shared" si="6"/>
        <v>111</v>
      </c>
      <c r="R13" s="768" t="s">
        <v>17</v>
      </c>
      <c r="S13" s="769">
        <f t="shared" si="0"/>
        <v>100</v>
      </c>
      <c r="T13" s="768" t="s">
        <v>17</v>
      </c>
      <c r="U13" s="769">
        <f t="shared" si="1"/>
        <v>100</v>
      </c>
      <c r="V13" s="768" t="s">
        <v>17</v>
      </c>
      <c r="W13" s="769">
        <f t="shared" si="2"/>
        <v>100</v>
      </c>
      <c r="X13" s="770"/>
      <c r="Y13" s="3067"/>
      <c r="Z13" s="54">
        <f t="shared" si="7"/>
        <v>111</v>
      </c>
      <c r="AA13" s="771">
        <f t="shared" si="3"/>
        <v>1</v>
      </c>
      <c r="AB13" s="771">
        <f t="shared" si="4"/>
        <v>1</v>
      </c>
      <c r="AC13" s="2667">
        <f t="shared" si="5"/>
        <v>1</v>
      </c>
    </row>
    <row r="14" spans="1:29" ht="15.75" thickBot="1">
      <c r="A14" s="435"/>
      <c r="B14" s="2600">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251"/>
      <c r="Q14" s="1793">
        <f t="shared" si="6"/>
        <v>111</v>
      </c>
      <c r="R14" s="768" t="s">
        <v>17</v>
      </c>
      <c r="S14" s="769">
        <f t="shared" si="0"/>
        <v>100</v>
      </c>
      <c r="T14" s="768" t="s">
        <v>17</v>
      </c>
      <c r="U14" s="769">
        <f t="shared" si="1"/>
        <v>100</v>
      </c>
      <c r="V14" s="768" t="s">
        <v>17</v>
      </c>
      <c r="W14" s="769">
        <f t="shared" si="2"/>
        <v>100</v>
      </c>
      <c r="X14" s="770"/>
      <c r="Y14" s="3067"/>
      <c r="Z14" s="54">
        <f t="shared" si="7"/>
        <v>111</v>
      </c>
      <c r="AA14" s="771">
        <f t="shared" si="3"/>
        <v>1</v>
      </c>
      <c r="AB14" s="771">
        <f t="shared" si="4"/>
        <v>1</v>
      </c>
      <c r="AC14" s="2667">
        <f t="shared" si="5"/>
        <v>1</v>
      </c>
    </row>
    <row r="15" spans="1:29" ht="81">
      <c r="A15" s="439" t="s">
        <v>2548</v>
      </c>
      <c r="B15" s="628" t="s">
        <v>2676</v>
      </c>
      <c r="C15" s="2669" t="str">
        <f>估价对象房地状况!C5</f>
        <v>估价对象位于东直门商圈，周边办公楼项目较多，入驻率高，办公集聚程度较好</v>
      </c>
      <c r="D15" s="440">
        <v>100</v>
      </c>
      <c r="E15" s="2999" t="s">
        <v>3227</v>
      </c>
      <c r="F15" s="440">
        <f>SUMIF(77:77,E16,78:78)-SUMIF(77:77,C16,78:78)+100</f>
        <v>100</v>
      </c>
      <c r="G15" s="3000" t="s">
        <v>3226</v>
      </c>
      <c r="H15" s="440">
        <f>SUMIF(77:77,G16,78:78)-SUMIF(77:77,C16,78:78)+100</f>
        <v>100</v>
      </c>
      <c r="I15" s="3000" t="s">
        <v>3217</v>
      </c>
      <c r="J15" s="440">
        <f>SUMIF(77:77,I16,78:78)-SUMIF(77:77,C16,78:78)+100</f>
        <v>100</v>
      </c>
      <c r="K15" s="613">
        <v>2</v>
      </c>
      <c r="L15" s="1138"/>
      <c r="M15" s="1129"/>
      <c r="N15" s="1129"/>
      <c r="O15" s="1129"/>
      <c r="P15" s="3241" t="s">
        <v>2549</v>
      </c>
      <c r="Q15" s="1808" t="str">
        <f t="shared" si="6"/>
        <v>办公集聚程度</v>
      </c>
      <c r="R15" s="772" t="s">
        <v>17</v>
      </c>
      <c r="S15" s="773">
        <f t="shared" si="0"/>
        <v>100</v>
      </c>
      <c r="T15" s="772" t="s">
        <v>17</v>
      </c>
      <c r="U15" s="773">
        <f t="shared" si="1"/>
        <v>100</v>
      </c>
      <c r="V15" s="772" t="s">
        <v>17</v>
      </c>
      <c r="W15" s="773">
        <f t="shared" si="2"/>
        <v>100</v>
      </c>
      <c r="X15" s="1811"/>
      <c r="Y15" s="3243" t="s">
        <v>2549</v>
      </c>
      <c r="Z15" s="1812" t="str">
        <f t="shared" si="7"/>
        <v>办公集聚程度</v>
      </c>
      <c r="AA15" s="1809">
        <f t="shared" si="3"/>
        <v>1</v>
      </c>
      <c r="AB15" s="1809">
        <f t="shared" si="4"/>
        <v>1</v>
      </c>
      <c r="AC15" s="2670">
        <f t="shared" si="5"/>
        <v>1</v>
      </c>
    </row>
    <row r="16" spans="1:29" ht="15">
      <c r="A16" s="427"/>
      <c r="B16" s="629"/>
      <c r="C16" s="2609" t="s">
        <v>3112</v>
      </c>
      <c r="D16" s="447"/>
      <c r="E16" s="2609" t="s">
        <v>3112</v>
      </c>
      <c r="F16" s="447"/>
      <c r="G16" s="2609" t="s">
        <v>3112</v>
      </c>
      <c r="H16" s="449"/>
      <c r="I16" s="2609" t="s">
        <v>3112</v>
      </c>
      <c r="J16" s="447"/>
      <c r="K16" s="614"/>
      <c r="L16" s="1138"/>
      <c r="M16" s="1129"/>
      <c r="N16" s="1129"/>
      <c r="O16" s="1129"/>
      <c r="P16" s="3242"/>
      <c r="Q16" s="1808"/>
      <c r="R16" s="772"/>
      <c r="S16" s="773"/>
      <c r="T16" s="772"/>
      <c r="U16" s="773"/>
      <c r="V16" s="772"/>
      <c r="W16" s="773"/>
      <c r="X16" s="1811"/>
      <c r="Y16" s="3244"/>
      <c r="Z16" s="1812"/>
      <c r="AA16" s="1809">
        <v>1</v>
      </c>
      <c r="AB16" s="1809">
        <v>1</v>
      </c>
      <c r="AC16" s="2670">
        <v>1</v>
      </c>
    </row>
    <row r="17" spans="1:29" ht="204">
      <c r="A17" s="427"/>
      <c r="B17" s="630" t="s">
        <v>2086</v>
      </c>
      <c r="C17" s="2671"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3" t="s">
        <v>3218</v>
      </c>
      <c r="F17" s="449">
        <f>SUMIF(79:79,E18,80:80)-SUMIF(79:79,C18,80:80)+100</f>
        <v>100</v>
      </c>
      <c r="G17" s="451" t="s">
        <v>3218</v>
      </c>
      <c r="H17" s="454">
        <f>SUMIF(79:79,G18,80:80)-SUMIF(79:79,C18,80:80)+100</f>
        <v>100</v>
      </c>
      <c r="I17" s="451" t="s">
        <v>3219</v>
      </c>
      <c r="J17" s="454">
        <f>SUMIF(79:79,I18,80:80)-SUMIF(79:79,C18,80:80)+100</f>
        <v>100</v>
      </c>
      <c r="K17" s="613">
        <v>2</v>
      </c>
      <c r="L17" s="1138"/>
      <c r="M17" s="1129"/>
      <c r="N17" s="1129"/>
      <c r="O17" s="1129"/>
      <c r="P17" s="3242"/>
      <c r="Q17" s="1808" t="str">
        <f>B17</f>
        <v>交通便捷度</v>
      </c>
      <c r="R17" s="772" t="s">
        <v>17</v>
      </c>
      <c r="S17" s="773">
        <f>F17</f>
        <v>100</v>
      </c>
      <c r="T17" s="772" t="s">
        <v>17</v>
      </c>
      <c r="U17" s="773">
        <f>H17</f>
        <v>100</v>
      </c>
      <c r="V17" s="772" t="s">
        <v>17</v>
      </c>
      <c r="W17" s="773">
        <f>J17</f>
        <v>100</v>
      </c>
      <c r="X17" s="1811"/>
      <c r="Y17" s="3244"/>
      <c r="Z17" s="1812" t="str">
        <f>Q17</f>
        <v>交通便捷度</v>
      </c>
      <c r="AA17" s="1809">
        <f t="shared" si="3"/>
        <v>1</v>
      </c>
      <c r="AB17" s="1809">
        <f t="shared" si="4"/>
        <v>1</v>
      </c>
      <c r="AC17" s="2670">
        <f t="shared" si="5"/>
        <v>1</v>
      </c>
    </row>
    <row r="18" spans="1:29" ht="15">
      <c r="A18" s="427"/>
      <c r="B18" s="631"/>
      <c r="C18" s="2672" t="s">
        <v>3112</v>
      </c>
      <c r="D18" s="449"/>
      <c r="E18" s="2672" t="s">
        <v>3112</v>
      </c>
      <c r="F18" s="449"/>
      <c r="G18" s="2672" t="s">
        <v>3112</v>
      </c>
      <c r="H18" s="447"/>
      <c r="I18" s="2672" t="s">
        <v>3112</v>
      </c>
      <c r="J18" s="447"/>
      <c r="K18" s="614"/>
      <c r="L18" s="1138"/>
      <c r="M18" s="1129"/>
      <c r="N18" s="1129"/>
      <c r="O18" s="1129"/>
      <c r="P18" s="3242"/>
      <c r="Q18" s="1808"/>
      <c r="R18" s="772"/>
      <c r="S18" s="773"/>
      <c r="T18" s="772"/>
      <c r="U18" s="773"/>
      <c r="V18" s="772"/>
      <c r="W18" s="773"/>
      <c r="X18" s="1811"/>
      <c r="Y18" s="3244"/>
      <c r="Z18" s="1812"/>
      <c r="AA18" s="1809">
        <v>1</v>
      </c>
      <c r="AB18" s="1809">
        <v>1</v>
      </c>
      <c r="AC18" s="2670">
        <v>1</v>
      </c>
    </row>
    <row r="19" spans="1:29" ht="108">
      <c r="A19" s="427"/>
      <c r="B19" s="630" t="s">
        <v>2677</v>
      </c>
      <c r="C19" s="2671" t="str">
        <f>估价对象房地状况!C7</f>
        <v>区域内有新中街幼儿园、西中街小学、东直门中学、北京中医药大学东直门医院、招商银行、华联超市等，公共服务设施较完善</v>
      </c>
      <c r="D19" s="454">
        <v>100</v>
      </c>
      <c r="E19" s="3001" t="s">
        <v>3220</v>
      </c>
      <c r="F19" s="454">
        <f>SUMIF(81:81,E20,82:82)-SUMIF(81:81,C20,82:82)+100</f>
        <v>100</v>
      </c>
      <c r="G19" s="3002" t="s">
        <v>3220</v>
      </c>
      <c r="H19" s="449">
        <f>SUMIF(81:81,G20,82:82)-SUMIF(81:81,C20,82:82)+100</f>
        <v>100</v>
      </c>
      <c r="I19" s="3002" t="s">
        <v>3221</v>
      </c>
      <c r="J19" s="449">
        <f>SUMIF(81:81,I20,82:82)-SUMIF(81:81,C20,82:82)+100</f>
        <v>100</v>
      </c>
      <c r="K19" s="613">
        <v>2</v>
      </c>
      <c r="L19" s="1138"/>
      <c r="M19" s="1129"/>
      <c r="N19" s="1129"/>
      <c r="O19" s="1129"/>
      <c r="P19" s="3242"/>
      <c r="Q19" s="1808" t="str">
        <f>B19</f>
        <v>公共配套设施</v>
      </c>
      <c r="R19" s="772" t="s">
        <v>17</v>
      </c>
      <c r="S19" s="773">
        <f>F19</f>
        <v>100</v>
      </c>
      <c r="T19" s="772" t="s">
        <v>17</v>
      </c>
      <c r="U19" s="773">
        <f>H19</f>
        <v>100</v>
      </c>
      <c r="V19" s="772" t="s">
        <v>17</v>
      </c>
      <c r="W19" s="773">
        <f>J19</f>
        <v>100</v>
      </c>
      <c r="X19" s="1811"/>
      <c r="Y19" s="3244"/>
      <c r="Z19" s="1812" t="str">
        <f>Q19</f>
        <v>公共配套设施</v>
      </c>
      <c r="AA19" s="1809">
        <f t="shared" si="3"/>
        <v>1</v>
      </c>
      <c r="AB19" s="1809">
        <f t="shared" si="4"/>
        <v>1</v>
      </c>
      <c r="AC19" s="2670">
        <f t="shared" si="5"/>
        <v>1</v>
      </c>
    </row>
    <row r="20" spans="1:29" ht="15">
      <c r="A20" s="427"/>
      <c r="B20" s="631"/>
      <c r="C20" s="2609" t="s">
        <v>3112</v>
      </c>
      <c r="D20" s="447"/>
      <c r="E20" s="2609" t="s">
        <v>3112</v>
      </c>
      <c r="F20" s="447"/>
      <c r="G20" s="2609" t="s">
        <v>3112</v>
      </c>
      <c r="H20" s="447"/>
      <c r="I20" s="2609" t="s">
        <v>3112</v>
      </c>
      <c r="J20" s="447"/>
      <c r="K20" s="614"/>
      <c r="L20" s="1138"/>
      <c r="M20" s="1129"/>
      <c r="N20" s="1129"/>
      <c r="O20" s="1129"/>
      <c r="P20" s="3242"/>
      <c r="Q20" s="1808"/>
      <c r="R20" s="772"/>
      <c r="S20" s="773"/>
      <c r="T20" s="772"/>
      <c r="U20" s="773"/>
      <c r="V20" s="772"/>
      <c r="W20" s="773"/>
      <c r="X20" s="1811"/>
      <c r="Y20" s="3244"/>
      <c r="Z20" s="1812"/>
      <c r="AA20" s="1809">
        <v>1</v>
      </c>
      <c r="AB20" s="1809">
        <v>1</v>
      </c>
      <c r="AC20" s="2670">
        <v>1</v>
      </c>
    </row>
    <row r="21" spans="1:29" ht="71.25">
      <c r="A21" s="427"/>
      <c r="B21" s="632" t="s">
        <v>2678</v>
      </c>
      <c r="C21" s="2671" t="str">
        <f>估价对象房地状况!C8</f>
        <v>估价对象所在区域红线内外七通，市政供暖，基础设施水平好。</v>
      </c>
      <c r="D21" s="449">
        <v>100</v>
      </c>
      <c r="E21" s="3008" t="str">
        <f>C21</f>
        <v>估价对象所在区域红线内外七通，市政供暖，基础设施水平好。</v>
      </c>
      <c r="F21" s="454">
        <f>SUMIF(83:83,E22,84:84)-SUMIF(83:83,C22,84:84)+100</f>
        <v>100</v>
      </c>
      <c r="G21" s="3008" t="str">
        <f>E21</f>
        <v>估价对象所在区域红线内外七通，市政供暖，基础设施水平好。</v>
      </c>
      <c r="H21" s="449">
        <f>SUMIF(83:83,G22,84:84)-SUMIF(83:83,C22,84:84)+100</f>
        <v>100</v>
      </c>
      <c r="I21" s="3008" t="str">
        <f>G21</f>
        <v>估价对象所在区域红线内外七通，市政供暖，基础设施水平好。</v>
      </c>
      <c r="J21" s="449">
        <f>SUMIF(83:83,I22,84:84)-SUMIF(83:83,C22,84:84)+100</f>
        <v>100</v>
      </c>
      <c r="K21" s="613">
        <v>1</v>
      </c>
      <c r="L21" s="1138"/>
      <c r="M21" s="1129"/>
      <c r="N21" s="1129"/>
      <c r="O21" s="1129"/>
      <c r="P21" s="3242"/>
      <c r="Q21" s="1808" t="str">
        <f>B21</f>
        <v>基础设施水平</v>
      </c>
      <c r="R21" s="772" t="s">
        <v>17</v>
      </c>
      <c r="S21" s="773">
        <f>F21</f>
        <v>100</v>
      </c>
      <c r="T21" s="772" t="s">
        <v>17</v>
      </c>
      <c r="U21" s="773">
        <f>H21</f>
        <v>100</v>
      </c>
      <c r="V21" s="772" t="s">
        <v>17</v>
      </c>
      <c r="W21" s="773">
        <f>J21</f>
        <v>100</v>
      </c>
      <c r="X21" s="1811"/>
      <c r="Y21" s="3244"/>
      <c r="Z21" s="1812" t="str">
        <f>Q21</f>
        <v>基础设施水平</v>
      </c>
      <c r="AA21" s="1809">
        <f t="shared" ref="AA21" si="8">D21/F21</f>
        <v>1</v>
      </c>
      <c r="AB21" s="1809">
        <f t="shared" ref="AB21" si="9">D21/H21</f>
        <v>1</v>
      </c>
      <c r="AC21" s="2670">
        <f t="shared" ref="AC21" si="10">D21/J21</f>
        <v>1</v>
      </c>
    </row>
    <row r="22" spans="1:29" ht="15">
      <c r="A22" s="427"/>
      <c r="B22" s="632"/>
      <c r="C22" s="2672" t="s">
        <v>3176</v>
      </c>
      <c r="D22" s="447"/>
      <c r="E22" s="2672" t="s">
        <v>3176</v>
      </c>
      <c r="F22" s="447"/>
      <c r="G22" s="2672" t="s">
        <v>3176</v>
      </c>
      <c r="H22" s="447"/>
      <c r="I22" s="2672" t="s">
        <v>3176</v>
      </c>
      <c r="J22" s="447"/>
      <c r="K22" s="1381"/>
      <c r="L22" s="1138"/>
      <c r="M22" s="1129"/>
      <c r="N22" s="1129"/>
      <c r="O22" s="1129"/>
      <c r="P22" s="3242"/>
      <c r="Q22" s="1808"/>
      <c r="R22" s="772"/>
      <c r="S22" s="773"/>
      <c r="T22" s="772"/>
      <c r="U22" s="773"/>
      <c r="V22" s="772"/>
      <c r="W22" s="773"/>
      <c r="X22" s="1811"/>
      <c r="Y22" s="3244"/>
      <c r="Z22" s="1812"/>
      <c r="AA22" s="1809">
        <v>1</v>
      </c>
      <c r="AB22" s="1809">
        <v>1</v>
      </c>
      <c r="AC22" s="2670">
        <v>1</v>
      </c>
    </row>
    <row r="23" spans="1:29" ht="156.75">
      <c r="A23" s="427"/>
      <c r="B23" s="630" t="s">
        <v>2679</v>
      </c>
      <c r="C23" s="2671" t="str">
        <f>估价对象房地状况!C9</f>
        <v>区域内有新中街城市森林公园等，街道整洁，相邻路段无污染源，自然环境较好；区域内有保利剧院、中国医史博物馆等，人文环境较较好；综合评价环境状况较好。</v>
      </c>
      <c r="D23" s="449">
        <v>100</v>
      </c>
      <c r="E23" s="3009" t="str">
        <f>C23</f>
        <v>区域内有新中街城市森林公园等，街道整洁，相邻路段无污染源，自然环境较好；区域内有保利剧院、中国医史博物馆等，人文环境较较好；综合评价环境状况较好。</v>
      </c>
      <c r="F23" s="449">
        <f>SUMIF(85:85,E24,86:86)-SUMIF(85:85,C24,86:86)+100</f>
        <v>100</v>
      </c>
      <c r="G23" s="3009" t="str">
        <f>E23</f>
        <v>区域内有新中街城市森林公园等，街道整洁，相邻路段无污染源，自然环境较好；区域内有保利剧院、中国医史博物馆等，人文环境较较好；综合评价环境状况较好。</v>
      </c>
      <c r="H23" s="449">
        <f>SUMIF(85:85,G24,86:86)-SUMIF(85:85,C24,86:86)+100</f>
        <v>100</v>
      </c>
      <c r="I23" s="3009" t="str">
        <f>G23</f>
        <v>区域内有新中街城市森林公园等，街道整洁，相邻路段无污染源，自然环境较好；区域内有保利剧院、中国医史博物馆等，人文环境较较好；综合评价环境状况较好。</v>
      </c>
      <c r="J23" s="449">
        <f>SUMIF(85:85,I24,86:86)-SUMIF(85:85,C24,86:86)+100</f>
        <v>100</v>
      </c>
      <c r="K23" s="613">
        <v>2</v>
      </c>
      <c r="L23" s="1138"/>
      <c r="M23" s="1129"/>
      <c r="N23" s="1129"/>
      <c r="O23" s="1129"/>
      <c r="P23" s="3242"/>
      <c r="Q23" s="1808" t="str">
        <f>B23</f>
        <v>环境质量</v>
      </c>
      <c r="R23" s="772" t="s">
        <v>17</v>
      </c>
      <c r="S23" s="773">
        <f>F23</f>
        <v>100</v>
      </c>
      <c r="T23" s="772" t="s">
        <v>17</v>
      </c>
      <c r="U23" s="773">
        <f>H23</f>
        <v>100</v>
      </c>
      <c r="V23" s="772" t="s">
        <v>17</v>
      </c>
      <c r="W23" s="773">
        <f>J23</f>
        <v>100</v>
      </c>
      <c r="X23" s="1811"/>
      <c r="Y23" s="3244"/>
      <c r="Z23" s="1812" t="str">
        <f>Q23</f>
        <v>环境质量</v>
      </c>
      <c r="AA23" s="1809">
        <f t="shared" si="3"/>
        <v>1</v>
      </c>
      <c r="AB23" s="1809">
        <f t="shared" si="4"/>
        <v>1</v>
      </c>
      <c r="AC23" s="2670">
        <f t="shared" si="5"/>
        <v>1</v>
      </c>
    </row>
    <row r="24" spans="1:29" ht="15">
      <c r="A24" s="427"/>
      <c r="B24" s="632"/>
      <c r="C24" s="2609" t="s">
        <v>3112</v>
      </c>
      <c r="D24" s="447"/>
      <c r="E24" s="2609" t="s">
        <v>3112</v>
      </c>
      <c r="F24" s="447"/>
      <c r="G24" s="2609" t="s">
        <v>3112</v>
      </c>
      <c r="H24" s="447"/>
      <c r="I24" s="2609" t="s">
        <v>3112</v>
      </c>
      <c r="J24" s="447"/>
      <c r="K24" s="614"/>
      <c r="L24" s="1138"/>
      <c r="M24" s="1129"/>
      <c r="N24" s="1129"/>
      <c r="O24" s="1129"/>
      <c r="P24" s="3242"/>
      <c r="Q24" s="1808"/>
      <c r="R24" s="772"/>
      <c r="S24" s="773"/>
      <c r="T24" s="772"/>
      <c r="U24" s="773"/>
      <c r="V24" s="772"/>
      <c r="W24" s="773"/>
      <c r="X24" s="1811"/>
      <c r="Y24" s="3244"/>
      <c r="Z24" s="1812"/>
      <c r="AA24" s="1809">
        <v>1</v>
      </c>
      <c r="AB24" s="1809">
        <v>1</v>
      </c>
      <c r="AC24" s="2670">
        <v>1</v>
      </c>
    </row>
    <row r="25" spans="1:29" ht="27.75">
      <c r="A25" s="403"/>
      <c r="B25" s="630" t="s">
        <v>2680</v>
      </c>
      <c r="C25" s="2613" t="s">
        <v>3228</v>
      </c>
      <c r="D25" s="434">
        <v>100</v>
      </c>
      <c r="E25" s="2613" t="s">
        <v>3214</v>
      </c>
      <c r="F25" s="434">
        <f>SUMIF(87:87,E26,88:88)-SUMIF(87:87,C26,88:88)+100</f>
        <v>100</v>
      </c>
      <c r="G25" s="2613" t="s">
        <v>3214</v>
      </c>
      <c r="H25" s="434">
        <f>SUMIF(87:87,G26,88:88)-SUMIF(87:87,C26,88:88)+100</f>
        <v>100</v>
      </c>
      <c r="I25" s="2613" t="s">
        <v>3214</v>
      </c>
      <c r="J25" s="434">
        <f>SUMIF(87:87,I26,88:88)-SUMIF(87:87,C26,88:88)+100</f>
        <v>100</v>
      </c>
      <c r="K25" s="613">
        <v>2</v>
      </c>
      <c r="L25" s="1138"/>
      <c r="M25" s="1129"/>
      <c r="N25" s="1129"/>
      <c r="O25" s="1129"/>
      <c r="P25" s="3242"/>
      <c r="Q25" s="1808" t="str">
        <f>B25</f>
        <v>毗邻道路的类型与等级</v>
      </c>
      <c r="R25" s="772" t="s">
        <v>17</v>
      </c>
      <c r="S25" s="773">
        <f>F25</f>
        <v>100</v>
      </c>
      <c r="T25" s="772" t="s">
        <v>17</v>
      </c>
      <c r="U25" s="773">
        <f>H25</f>
        <v>100</v>
      </c>
      <c r="V25" s="772" t="s">
        <v>17</v>
      </c>
      <c r="W25" s="773">
        <f>J25</f>
        <v>100</v>
      </c>
      <c r="X25" s="1811"/>
      <c r="Y25" s="3244"/>
      <c r="Z25" s="1812" t="str">
        <f>Q25</f>
        <v>毗邻道路的类型与等级</v>
      </c>
      <c r="AA25" s="1809">
        <f t="shared" si="3"/>
        <v>1</v>
      </c>
      <c r="AB25" s="1809">
        <f t="shared" si="4"/>
        <v>1</v>
      </c>
      <c r="AC25" s="2670">
        <f t="shared" si="5"/>
        <v>1</v>
      </c>
    </row>
    <row r="26" spans="1:29" ht="15">
      <c r="A26" s="403"/>
      <c r="B26" s="631"/>
      <c r="C26" s="633" t="s">
        <v>3213</v>
      </c>
      <c r="D26" s="434"/>
      <c r="E26" s="615" t="s">
        <v>3213</v>
      </c>
      <c r="F26" s="434"/>
      <c r="G26" s="615" t="s">
        <v>3213</v>
      </c>
      <c r="H26" s="434"/>
      <c r="I26" s="615" t="s">
        <v>3213</v>
      </c>
      <c r="J26" s="434"/>
      <c r="K26" s="614"/>
      <c r="L26" s="1138"/>
      <c r="M26" s="1129"/>
      <c r="N26" s="1129"/>
      <c r="O26" s="1129"/>
      <c r="P26" s="3242"/>
      <c r="Q26" s="1808"/>
      <c r="R26" s="772"/>
      <c r="S26" s="773"/>
      <c r="T26" s="772"/>
      <c r="U26" s="773"/>
      <c r="V26" s="772"/>
      <c r="W26" s="773"/>
      <c r="X26" s="1811"/>
      <c r="Y26" s="3244"/>
      <c r="Z26" s="1812"/>
      <c r="AA26" s="1809">
        <v>1</v>
      </c>
      <c r="AB26" s="1809">
        <v>1</v>
      </c>
      <c r="AC26" s="2670">
        <v>1</v>
      </c>
    </row>
    <row r="27" spans="1:29" ht="15">
      <c r="A27" s="427"/>
      <c r="B27" s="631" t="s">
        <v>2648</v>
      </c>
      <c r="C27" s="633" t="s">
        <v>3081</v>
      </c>
      <c r="D27" s="434">
        <v>100</v>
      </c>
      <c r="E27" s="615" t="s">
        <v>3083</v>
      </c>
      <c r="F27" s="434">
        <f>SUMIF(89:89,E27,90:90)-SUMIF(89:89,C27,90:90)+100</f>
        <v>98</v>
      </c>
      <c r="G27" s="633" t="s">
        <v>3081</v>
      </c>
      <c r="H27" s="434">
        <f>SUMIF(89:89,G27,90:90)-SUMIF(89:89,C27,90:90)+100</f>
        <v>100</v>
      </c>
      <c r="I27" s="615" t="s">
        <v>3083</v>
      </c>
      <c r="J27" s="434">
        <f>SUMIF(89:89,I27,90:90)-SUMIF(89:89,C27,90:90)+100</f>
        <v>98</v>
      </c>
      <c r="K27" s="611">
        <v>2</v>
      </c>
      <c r="L27" s="1138"/>
      <c r="M27" s="1129"/>
      <c r="N27" s="1129"/>
      <c r="O27" s="1129"/>
      <c r="P27" s="3242"/>
      <c r="Q27" s="1808" t="str">
        <f t="shared" ref="Q27:Q47" si="11">B27</f>
        <v>楼层</v>
      </c>
      <c r="R27" s="772" t="s">
        <v>17</v>
      </c>
      <c r="S27" s="773">
        <f>F27</f>
        <v>98</v>
      </c>
      <c r="T27" s="772" t="s">
        <v>17</v>
      </c>
      <c r="U27" s="773">
        <f>H27</f>
        <v>100</v>
      </c>
      <c r="V27" s="772" t="s">
        <v>17</v>
      </c>
      <c r="W27" s="773">
        <f>J27</f>
        <v>98</v>
      </c>
      <c r="X27" s="1811"/>
      <c r="Y27" s="3244"/>
      <c r="Z27" s="1812" t="str">
        <f>Q27</f>
        <v>楼层</v>
      </c>
      <c r="AA27" s="1809">
        <f t="shared" si="3"/>
        <v>1.0204081632653061</v>
      </c>
      <c r="AB27" s="1809">
        <f t="shared" si="4"/>
        <v>1</v>
      </c>
      <c r="AC27" s="2670">
        <f t="shared" si="5"/>
        <v>1.0204081632653061</v>
      </c>
    </row>
    <row r="28" spans="1:29" s="116" customFormat="1" ht="15">
      <c r="A28" s="430"/>
      <c r="B28" s="630" t="s">
        <v>2681</v>
      </c>
      <c r="C28" s="2673"/>
      <c r="D28" s="461">
        <v>100</v>
      </c>
      <c r="E28" s="2661"/>
      <c r="F28" s="461">
        <f>SUMIF(91:91,E28,92:92)-SUMIF(91:91,C28,92:92)+100</f>
        <v>100</v>
      </c>
      <c r="G28" s="2673"/>
      <c r="H28" s="461">
        <f>SUMIF(91:91,G28,92:92)-SUMIF(91:91,C28,92:92)+100</f>
        <v>100</v>
      </c>
      <c r="I28" s="2661"/>
      <c r="J28" s="461">
        <f>SUMIF(91:91,I28,92:92)-SUMIF(91:91,C28,92:92)+100</f>
        <v>100</v>
      </c>
      <c r="K28" s="611">
        <v>1</v>
      </c>
      <c r="L28" s="1130"/>
      <c r="M28" s="1131"/>
      <c r="N28" s="1131"/>
      <c r="O28" s="1131"/>
      <c r="P28" s="3242"/>
      <c r="Q28" s="1793" t="str">
        <f t="shared" si="11"/>
        <v>朝向</v>
      </c>
      <c r="R28" s="768" t="s">
        <v>17</v>
      </c>
      <c r="S28" s="769">
        <f>F28</f>
        <v>100</v>
      </c>
      <c r="T28" s="768" t="s">
        <v>17</v>
      </c>
      <c r="U28" s="769">
        <f>H28</f>
        <v>100</v>
      </c>
      <c r="V28" s="768" t="s">
        <v>17</v>
      </c>
      <c r="W28" s="769">
        <f>J28</f>
        <v>100</v>
      </c>
      <c r="X28" s="770"/>
      <c r="Y28" s="3244"/>
      <c r="Z28" s="54" t="str">
        <f>Q28</f>
        <v>朝向</v>
      </c>
      <c r="AA28" s="1809">
        <f>D28/F28</f>
        <v>1</v>
      </c>
      <c r="AB28" s="1809">
        <f>D28/H28</f>
        <v>1</v>
      </c>
      <c r="AC28" s="2670">
        <f>D28/J28</f>
        <v>1</v>
      </c>
    </row>
    <row r="29" spans="1:29" ht="15">
      <c r="A29" s="427"/>
      <c r="B29" s="3010" t="s">
        <v>3229</v>
      </c>
      <c r="C29" s="3011" t="s">
        <v>3235</v>
      </c>
      <c r="D29" s="434">
        <v>100</v>
      </c>
      <c r="E29" s="3011" t="s">
        <v>3235</v>
      </c>
      <c r="F29" s="434">
        <f>SUMIF(93:93,E29,94:94)-SUMIF(93:93,C29,94:94)+100</f>
        <v>100</v>
      </c>
      <c r="G29" s="3011" t="s">
        <v>3235</v>
      </c>
      <c r="H29" s="434">
        <f>SUMIF(93:93,G29,94:94)-SUMIF(93:93,C29,94:94)+100</f>
        <v>100</v>
      </c>
      <c r="I29" s="3011" t="s">
        <v>3235</v>
      </c>
      <c r="J29" s="434">
        <f>SUMIF(93:93,I29,94:94)-SUMIF(93:93,C29,94:94)+100</f>
        <v>100</v>
      </c>
      <c r="K29" s="612"/>
      <c r="L29" s="1138"/>
      <c r="M29" s="1129"/>
      <c r="N29" s="1129"/>
      <c r="O29" s="1129"/>
      <c r="P29" s="3242"/>
      <c r="Q29" s="1808" t="str">
        <f t="shared" si="11"/>
        <v>人流量</v>
      </c>
      <c r="R29" s="772" t="s">
        <v>17</v>
      </c>
      <c r="S29" s="773">
        <f t="shared" ref="S29:S47" si="12">F29</f>
        <v>100</v>
      </c>
      <c r="T29" s="772" t="s">
        <v>17</v>
      </c>
      <c r="U29" s="773">
        <f t="shared" ref="U29:U47" si="13">H29</f>
        <v>100</v>
      </c>
      <c r="V29" s="772" t="s">
        <v>17</v>
      </c>
      <c r="W29" s="773">
        <f t="shared" ref="W29:W47" si="14">J29</f>
        <v>100</v>
      </c>
      <c r="X29" s="1811"/>
      <c r="Y29" s="3244"/>
      <c r="Z29" s="1812" t="str">
        <f t="shared" ref="Z29:Z47" si="15">Q29</f>
        <v>人流量</v>
      </c>
      <c r="AA29" s="1809">
        <f t="shared" si="3"/>
        <v>1</v>
      </c>
      <c r="AB29" s="1809">
        <f t="shared" si="4"/>
        <v>1</v>
      </c>
      <c r="AC29" s="2670">
        <f t="shared" si="5"/>
        <v>1</v>
      </c>
    </row>
    <row r="30" spans="1:29" ht="15">
      <c r="A30" s="427"/>
      <c r="B30" s="2674">
        <v>111</v>
      </c>
      <c r="C30" s="2613"/>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242"/>
      <c r="Q30" s="1808">
        <f t="shared" si="11"/>
        <v>111</v>
      </c>
      <c r="R30" s="772" t="s">
        <v>17</v>
      </c>
      <c r="S30" s="773">
        <f t="shared" si="12"/>
        <v>100</v>
      </c>
      <c r="T30" s="772" t="s">
        <v>17</v>
      </c>
      <c r="U30" s="773">
        <f t="shared" si="13"/>
        <v>100</v>
      </c>
      <c r="V30" s="772" t="s">
        <v>17</v>
      </c>
      <c r="W30" s="773">
        <f t="shared" si="14"/>
        <v>100</v>
      </c>
      <c r="X30" s="1811"/>
      <c r="Y30" s="3244"/>
      <c r="Z30" s="1812">
        <f t="shared" si="15"/>
        <v>111</v>
      </c>
      <c r="AA30" s="1809">
        <f t="shared" si="3"/>
        <v>1</v>
      </c>
      <c r="AB30" s="1809">
        <f t="shared" si="4"/>
        <v>1</v>
      </c>
      <c r="AC30" s="2670">
        <f t="shared" si="5"/>
        <v>1</v>
      </c>
    </row>
    <row r="31" spans="1:29" ht="15">
      <c r="A31" s="427"/>
      <c r="B31" s="2674">
        <v>111</v>
      </c>
      <c r="C31" s="2613"/>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242"/>
      <c r="Q31" s="1808">
        <f t="shared" si="11"/>
        <v>111</v>
      </c>
      <c r="R31" s="772" t="s">
        <v>17</v>
      </c>
      <c r="S31" s="773">
        <f t="shared" si="12"/>
        <v>100</v>
      </c>
      <c r="T31" s="772" t="s">
        <v>17</v>
      </c>
      <c r="U31" s="773">
        <f t="shared" si="13"/>
        <v>100</v>
      </c>
      <c r="V31" s="772" t="s">
        <v>17</v>
      </c>
      <c r="W31" s="773">
        <f t="shared" si="14"/>
        <v>100</v>
      </c>
      <c r="X31" s="1811"/>
      <c r="Y31" s="3244"/>
      <c r="Z31" s="1812">
        <f t="shared" si="15"/>
        <v>111</v>
      </c>
      <c r="AA31" s="1809">
        <f t="shared" si="3"/>
        <v>1</v>
      </c>
      <c r="AB31" s="1809">
        <f t="shared" si="4"/>
        <v>1</v>
      </c>
      <c r="AC31" s="2670">
        <f t="shared" si="5"/>
        <v>1</v>
      </c>
    </row>
    <row r="32" spans="1:29" ht="15.75" thickBot="1">
      <c r="A32" s="435"/>
      <c r="B32" s="634">
        <v>111</v>
      </c>
      <c r="C32" s="2614"/>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242"/>
      <c r="Q32" s="1808">
        <f t="shared" si="11"/>
        <v>111</v>
      </c>
      <c r="R32" s="772" t="s">
        <v>17</v>
      </c>
      <c r="S32" s="773">
        <f t="shared" si="12"/>
        <v>100</v>
      </c>
      <c r="T32" s="772" t="s">
        <v>17</v>
      </c>
      <c r="U32" s="773">
        <f t="shared" si="13"/>
        <v>100</v>
      </c>
      <c r="V32" s="772" t="s">
        <v>17</v>
      </c>
      <c r="W32" s="773">
        <f t="shared" si="14"/>
        <v>100</v>
      </c>
      <c r="X32" s="1811"/>
      <c r="Y32" s="3244"/>
      <c r="Z32" s="1812">
        <f t="shared" si="15"/>
        <v>111</v>
      </c>
      <c r="AA32" s="1809">
        <f t="shared" si="3"/>
        <v>1</v>
      </c>
      <c r="AB32" s="1809">
        <f t="shared" si="4"/>
        <v>1</v>
      </c>
      <c r="AC32" s="2670">
        <f t="shared" si="5"/>
        <v>1</v>
      </c>
    </row>
    <row r="33" spans="1:29" ht="15">
      <c r="A33" s="439" t="s">
        <v>2552</v>
      </c>
      <c r="B33" s="70" t="s">
        <v>2682</v>
      </c>
      <c r="C33" s="2675" t="s">
        <v>3192</v>
      </c>
      <c r="D33" s="466">
        <v>100</v>
      </c>
      <c r="E33" s="2675" t="s">
        <v>3192</v>
      </c>
      <c r="F33" s="460">
        <f>SUMIF(101:101,E33,102:102)-SUMIF(101:101,C33,102:102)+100</f>
        <v>100</v>
      </c>
      <c r="G33" s="2675" t="s">
        <v>3192</v>
      </c>
      <c r="H33" s="434">
        <f>SUMIF(101:101,G33,102:102)-SUMIF(101:101,C33,102:102)+100</f>
        <v>100</v>
      </c>
      <c r="I33" s="2675" t="s">
        <v>3192</v>
      </c>
      <c r="J33" s="466">
        <f>SUMIF(101:101,I33,102:102)-SUMIF(101:101,C33,102:102)+100</f>
        <v>100</v>
      </c>
      <c r="K33" s="611">
        <v>1</v>
      </c>
      <c r="L33" s="1138"/>
      <c r="M33" s="1129"/>
      <c r="N33" s="1129"/>
      <c r="O33" s="1129"/>
      <c r="P33" s="3245" t="s">
        <v>2554</v>
      </c>
      <c r="Q33" s="1808" t="str">
        <f t="shared" si="11"/>
        <v>建筑类型</v>
      </c>
      <c r="R33" s="772" t="s">
        <v>17</v>
      </c>
      <c r="S33" s="773">
        <f t="shared" si="12"/>
        <v>100</v>
      </c>
      <c r="T33" s="772" t="s">
        <v>17</v>
      </c>
      <c r="U33" s="773">
        <f t="shared" si="13"/>
        <v>100</v>
      </c>
      <c r="V33" s="772" t="s">
        <v>17</v>
      </c>
      <c r="W33" s="773">
        <f t="shared" si="14"/>
        <v>100</v>
      </c>
      <c r="X33" s="1811"/>
      <c r="Y33" s="3248" t="s">
        <v>2554</v>
      </c>
      <c r="Z33" s="1812" t="str">
        <f t="shared" si="15"/>
        <v>建筑类型</v>
      </c>
      <c r="AA33" s="1809">
        <f t="shared" si="3"/>
        <v>1</v>
      </c>
      <c r="AB33" s="1809">
        <f t="shared" si="4"/>
        <v>1</v>
      </c>
      <c r="AC33" s="2670">
        <f t="shared" si="5"/>
        <v>1</v>
      </c>
    </row>
    <row r="34" spans="1:29" s="470" customFormat="1" ht="15">
      <c r="A34" s="467"/>
      <c r="B34" s="421" t="s">
        <v>2555</v>
      </c>
      <c r="C34" s="468"/>
      <c r="D34" s="135">
        <v>100</v>
      </c>
      <c r="E34" s="429"/>
      <c r="F34" s="424">
        <f>LOOKUP(E34,104:104,105:105)-LOOKUP(C34,104:104,105:105)+100</f>
        <v>100</v>
      </c>
      <c r="G34" s="428"/>
      <c r="H34" s="135">
        <f>LOOKUP(G34,104:104,105:105)-LOOKUP(C34,104:104,105:105)+100</f>
        <v>100</v>
      </c>
      <c r="I34" s="428"/>
      <c r="J34" s="135">
        <f>LOOKUP(I34,104:104,105:105)-LOOKUP(C34,104:104,105:105)+100</f>
        <v>100</v>
      </c>
      <c r="K34" s="612"/>
      <c r="L34" s="1136"/>
      <c r="M34" s="1139"/>
      <c r="N34" s="1139"/>
      <c r="O34" s="1139"/>
      <c r="P34" s="3246"/>
      <c r="Q34" s="774" t="str">
        <f t="shared" si="11"/>
        <v>项目建筑规模</v>
      </c>
      <c r="R34" s="775" t="s">
        <v>17</v>
      </c>
      <c r="S34" s="776">
        <f t="shared" si="12"/>
        <v>100</v>
      </c>
      <c r="T34" s="775" t="s">
        <v>17</v>
      </c>
      <c r="U34" s="776">
        <f t="shared" si="13"/>
        <v>100</v>
      </c>
      <c r="V34" s="775" t="s">
        <v>17</v>
      </c>
      <c r="W34" s="776">
        <f t="shared" si="14"/>
        <v>100</v>
      </c>
      <c r="X34" s="777"/>
      <c r="Y34" s="3248"/>
      <c r="Z34" s="778" t="str">
        <f t="shared" si="15"/>
        <v>项目建筑规模</v>
      </c>
      <c r="AA34" s="1809">
        <f t="shared" si="3"/>
        <v>1</v>
      </c>
      <c r="AB34" s="1809">
        <f t="shared" si="4"/>
        <v>1</v>
      </c>
      <c r="AC34" s="2670">
        <f t="shared" si="5"/>
        <v>1</v>
      </c>
    </row>
    <row r="35" spans="1:29" ht="15">
      <c r="A35" s="471"/>
      <c r="B35" s="421" t="s">
        <v>2556</v>
      </c>
      <c r="C35" s="459" t="s">
        <v>3075</v>
      </c>
      <c r="D35" s="434">
        <v>100</v>
      </c>
      <c r="E35" s="459" t="s">
        <v>3075</v>
      </c>
      <c r="F35" s="460">
        <f>SUMIF(106:106,E35,107:107)-SUMIF(106:106,C35,107:107)+100</f>
        <v>100</v>
      </c>
      <c r="G35" s="459" t="s">
        <v>3075</v>
      </c>
      <c r="H35" s="434">
        <f>SUMIF(106:106,G35,107:107)-SUMIF(106:106,C35,107:107)+100</f>
        <v>100</v>
      </c>
      <c r="I35" s="459" t="s">
        <v>3075</v>
      </c>
      <c r="J35" s="434">
        <f>SUMIF(106:106,I35,107:107)-SUMIF(106:106,C35,107:107)+100</f>
        <v>100</v>
      </c>
      <c r="K35" s="611">
        <v>2</v>
      </c>
      <c r="L35" s="1138"/>
      <c r="M35" s="1129"/>
      <c r="N35" s="1129"/>
      <c r="O35" s="1129"/>
      <c r="P35" s="3246"/>
      <c r="Q35" s="1808" t="str">
        <f t="shared" si="11"/>
        <v>建筑结构</v>
      </c>
      <c r="R35" s="772" t="s">
        <v>17</v>
      </c>
      <c r="S35" s="773">
        <f t="shared" si="12"/>
        <v>100</v>
      </c>
      <c r="T35" s="772" t="s">
        <v>17</v>
      </c>
      <c r="U35" s="773">
        <f t="shared" si="13"/>
        <v>100</v>
      </c>
      <c r="V35" s="772" t="s">
        <v>17</v>
      </c>
      <c r="W35" s="773">
        <f t="shared" si="14"/>
        <v>100</v>
      </c>
      <c r="X35" s="1811"/>
      <c r="Y35" s="3248"/>
      <c r="Z35" s="1812" t="str">
        <f t="shared" si="15"/>
        <v>建筑结构</v>
      </c>
      <c r="AA35" s="1809">
        <f t="shared" si="3"/>
        <v>1</v>
      </c>
      <c r="AB35" s="1809">
        <f t="shared" si="4"/>
        <v>1</v>
      </c>
      <c r="AC35" s="2670">
        <f t="shared" si="5"/>
        <v>1</v>
      </c>
    </row>
    <row r="36" spans="1:29" ht="15">
      <c r="A36" s="471"/>
      <c r="B36" s="421" t="s">
        <v>2650</v>
      </c>
      <c r="C36" s="459" t="s">
        <v>3067</v>
      </c>
      <c r="D36" s="434">
        <v>100</v>
      </c>
      <c r="E36" s="459" t="s">
        <v>3067</v>
      </c>
      <c r="F36" s="460">
        <f>SUMIF(108:108,E36,109:109)-SUMIF(108:108,C36,109:109)+100</f>
        <v>100</v>
      </c>
      <c r="G36" s="459" t="s">
        <v>3067</v>
      </c>
      <c r="H36" s="434">
        <f>SUMIF(108:108,G36,109:109)-SUMIF(108:108,C36,109:109)+100</f>
        <v>100</v>
      </c>
      <c r="I36" s="459" t="s">
        <v>3067</v>
      </c>
      <c r="J36" s="434">
        <f>SUMIF(108:108,I36,109:109)-SUMIF(108:108,C36,109:109)+100</f>
        <v>100</v>
      </c>
      <c r="K36" s="611">
        <v>2</v>
      </c>
      <c r="L36" s="1138"/>
      <c r="M36" s="1129"/>
      <c r="N36" s="1129"/>
      <c r="O36" s="1129"/>
      <c r="P36" s="3246"/>
      <c r="Q36" s="1808" t="str">
        <f t="shared" si="11"/>
        <v>公共部分装修</v>
      </c>
      <c r="R36" s="772" t="s">
        <v>17</v>
      </c>
      <c r="S36" s="773">
        <f t="shared" si="12"/>
        <v>100</v>
      </c>
      <c r="T36" s="772" t="s">
        <v>17</v>
      </c>
      <c r="U36" s="773">
        <f t="shared" si="13"/>
        <v>100</v>
      </c>
      <c r="V36" s="772" t="s">
        <v>17</v>
      </c>
      <c r="W36" s="773">
        <f t="shared" si="14"/>
        <v>100</v>
      </c>
      <c r="X36" s="1811"/>
      <c r="Y36" s="3248"/>
      <c r="Z36" s="1812" t="str">
        <f t="shared" si="15"/>
        <v>公共部分装修</v>
      </c>
      <c r="AA36" s="1809">
        <f t="shared" si="3"/>
        <v>1</v>
      </c>
      <c r="AB36" s="1809">
        <f t="shared" si="4"/>
        <v>1</v>
      </c>
      <c r="AC36" s="2670">
        <f t="shared" si="5"/>
        <v>1</v>
      </c>
    </row>
    <row r="37" spans="1:29" ht="15">
      <c r="A37" s="471"/>
      <c r="B37" s="421" t="s">
        <v>2651</v>
      </c>
      <c r="C37" s="473">
        <f>'数据-取费表'!Y6</f>
        <v>0.73333333333333328</v>
      </c>
      <c r="D37" s="434">
        <v>100</v>
      </c>
      <c r="E37" s="473">
        <f>C37</f>
        <v>0.73333333333333328</v>
      </c>
      <c r="F37" s="460">
        <f>LOOKUP(E37,111:111,112:112)-LOOKUP(C37,111:111,112:112)+100</f>
        <v>100</v>
      </c>
      <c r="G37" s="473">
        <f>C37</f>
        <v>0.73333333333333328</v>
      </c>
      <c r="H37" s="460">
        <f>LOOKUP(G37,111:111,112:112)-LOOKUP(C37,111:111,112:112)+100</f>
        <v>100</v>
      </c>
      <c r="I37" s="473">
        <f>C37</f>
        <v>0.73333333333333328</v>
      </c>
      <c r="J37" s="434">
        <f>LOOKUP(I37,111:111,112:112)-LOOKUP(C37,111:111,112:112)+100</f>
        <v>100</v>
      </c>
      <c r="K37" s="611">
        <v>1</v>
      </c>
      <c r="L37" s="1138"/>
      <c r="M37" s="1129"/>
      <c r="N37" s="1129"/>
      <c r="O37" s="1129"/>
      <c r="P37" s="3246"/>
      <c r="Q37" s="1808" t="str">
        <f t="shared" si="11"/>
        <v>成新度</v>
      </c>
      <c r="R37" s="772" t="s">
        <v>17</v>
      </c>
      <c r="S37" s="773">
        <f t="shared" si="12"/>
        <v>100</v>
      </c>
      <c r="T37" s="772" t="s">
        <v>17</v>
      </c>
      <c r="U37" s="773">
        <f t="shared" si="13"/>
        <v>100</v>
      </c>
      <c r="V37" s="772" t="s">
        <v>17</v>
      </c>
      <c r="W37" s="773">
        <f t="shared" si="14"/>
        <v>100</v>
      </c>
      <c r="X37" s="1811"/>
      <c r="Y37" s="3248"/>
      <c r="Z37" s="1812" t="str">
        <f t="shared" si="15"/>
        <v>成新度</v>
      </c>
      <c r="AA37" s="1809">
        <f t="shared" si="3"/>
        <v>1</v>
      </c>
      <c r="AB37" s="1809">
        <f t="shared" si="4"/>
        <v>1</v>
      </c>
      <c r="AC37" s="2670">
        <f t="shared" si="5"/>
        <v>1</v>
      </c>
    </row>
    <row r="38" spans="1:29" s="116" customFormat="1" ht="15">
      <c r="A38" s="472"/>
      <c r="B38" s="421" t="s">
        <v>2683</v>
      </c>
      <c r="C38" s="459" t="s">
        <v>3204</v>
      </c>
      <c r="D38" s="135">
        <v>100</v>
      </c>
      <c r="E38" s="459" t="s">
        <v>3204</v>
      </c>
      <c r="F38" s="460">
        <f>SUMIF(113:113,E38,114:114)-SUMIF(113:113,C38,114:114)+100</f>
        <v>100</v>
      </c>
      <c r="G38" s="459" t="s">
        <v>3204</v>
      </c>
      <c r="H38" s="434">
        <f>SUMIF(113:113,G38,114:114)-SUMIF(113:113,C38,114:114)+100</f>
        <v>100</v>
      </c>
      <c r="I38" s="459" t="s">
        <v>3204</v>
      </c>
      <c r="J38" s="434">
        <f>SUMIF(113:113,I38,114:114)-SUMIF(113:113,C38,114:114)+100</f>
        <v>100</v>
      </c>
      <c r="K38" s="611">
        <v>3</v>
      </c>
      <c r="L38" s="1130"/>
      <c r="M38" s="1131"/>
      <c r="N38" s="1131"/>
      <c r="O38" s="1131"/>
      <c r="P38" s="3246"/>
      <c r="Q38" s="1793" t="str">
        <f t="shared" si="11"/>
        <v>写字楼等级</v>
      </c>
      <c r="R38" s="768" t="s">
        <v>17</v>
      </c>
      <c r="S38" s="769">
        <f t="shared" si="12"/>
        <v>100</v>
      </c>
      <c r="T38" s="768" t="s">
        <v>17</v>
      </c>
      <c r="U38" s="769">
        <f t="shared" si="13"/>
        <v>100</v>
      </c>
      <c r="V38" s="768" t="s">
        <v>17</v>
      </c>
      <c r="W38" s="769">
        <f t="shared" si="14"/>
        <v>100</v>
      </c>
      <c r="X38" s="770"/>
      <c r="Y38" s="3248"/>
      <c r="Z38" s="54" t="str">
        <f t="shared" si="15"/>
        <v>写字楼等级</v>
      </c>
      <c r="AA38" s="771">
        <f t="shared" si="3"/>
        <v>1</v>
      </c>
      <c r="AB38" s="771">
        <f t="shared" si="4"/>
        <v>1</v>
      </c>
      <c r="AC38" s="2667">
        <f t="shared" si="5"/>
        <v>1</v>
      </c>
    </row>
    <row r="39" spans="1:29" ht="15">
      <c r="A39" s="471"/>
      <c r="B39" s="421" t="s">
        <v>2684</v>
      </c>
      <c r="C39" s="459" t="s">
        <v>3195</v>
      </c>
      <c r="D39" s="434">
        <v>100</v>
      </c>
      <c r="E39" s="459" t="s">
        <v>3195</v>
      </c>
      <c r="F39" s="460">
        <f>SUMIF(115:115,E39,116:116)-SUMIF(115:115,C39,116:116)+100</f>
        <v>100</v>
      </c>
      <c r="G39" s="459" t="s">
        <v>3195</v>
      </c>
      <c r="H39" s="434">
        <f>SUMIF(115:115,G39,116:116)-SUMIF(115:115,C39,116:116)+100</f>
        <v>100</v>
      </c>
      <c r="I39" s="459" t="s">
        <v>3195</v>
      </c>
      <c r="J39" s="434">
        <f>SUMIF(115:115,I39,116:116)-SUMIF(115:115,C39,116:116)+100</f>
        <v>100</v>
      </c>
      <c r="K39" s="611">
        <v>1</v>
      </c>
      <c r="L39" s="1138"/>
      <c r="M39" s="1129"/>
      <c r="N39" s="1129"/>
      <c r="O39" s="1129"/>
      <c r="P39" s="3246" t="s">
        <v>2554</v>
      </c>
      <c r="Q39" s="1808" t="str">
        <f t="shared" si="11"/>
        <v>物业管理</v>
      </c>
      <c r="R39" s="772" t="s">
        <v>17</v>
      </c>
      <c r="S39" s="773">
        <f t="shared" si="12"/>
        <v>100</v>
      </c>
      <c r="T39" s="772" t="s">
        <v>17</v>
      </c>
      <c r="U39" s="773">
        <f t="shared" si="13"/>
        <v>100</v>
      </c>
      <c r="V39" s="772" t="s">
        <v>17</v>
      </c>
      <c r="W39" s="773">
        <f t="shared" si="14"/>
        <v>100</v>
      </c>
      <c r="X39" s="1811"/>
      <c r="Y39" s="3248" t="s">
        <v>2554</v>
      </c>
      <c r="Z39" s="1812" t="str">
        <f t="shared" si="15"/>
        <v>物业管理</v>
      </c>
      <c r="AA39" s="1809">
        <f t="shared" si="3"/>
        <v>1</v>
      </c>
      <c r="AB39" s="1809">
        <f t="shared" si="4"/>
        <v>1</v>
      </c>
      <c r="AC39" s="2670">
        <f t="shared" si="5"/>
        <v>1</v>
      </c>
    </row>
    <row r="40" spans="1:29" ht="15">
      <c r="A40" s="471"/>
      <c r="B40" s="421" t="s">
        <v>2652</v>
      </c>
      <c r="C40" s="459" t="s">
        <v>3176</v>
      </c>
      <c r="D40" s="434">
        <v>100</v>
      </c>
      <c r="E40" s="459" t="s">
        <v>3176</v>
      </c>
      <c r="F40" s="460">
        <f>SUMIF(117:117,E40,118:118)-SUMIF(117:117,C40,118:118)+100</f>
        <v>100</v>
      </c>
      <c r="G40" s="459" t="s">
        <v>3176</v>
      </c>
      <c r="H40" s="434">
        <f>SUMIF(117:117,G40,118:118)-SUMIF(117:117,C40,118:118)+100</f>
        <v>100</v>
      </c>
      <c r="I40" s="459" t="s">
        <v>3176</v>
      </c>
      <c r="J40" s="434">
        <f>SUMIF(117:117,I40,118:118)-SUMIF(117:117,C40,118:118)+100</f>
        <v>100</v>
      </c>
      <c r="K40" s="611">
        <v>1</v>
      </c>
      <c r="L40" s="1138"/>
      <c r="M40" s="1129"/>
      <c r="N40" s="1129"/>
      <c r="O40" s="1129"/>
      <c r="P40" s="3246"/>
      <c r="Q40" s="1808" t="str">
        <f t="shared" si="11"/>
        <v>市政基础设施</v>
      </c>
      <c r="R40" s="772" t="s">
        <v>17</v>
      </c>
      <c r="S40" s="773">
        <f t="shared" si="12"/>
        <v>100</v>
      </c>
      <c r="T40" s="772" t="s">
        <v>17</v>
      </c>
      <c r="U40" s="773">
        <f t="shared" si="13"/>
        <v>100</v>
      </c>
      <c r="V40" s="772" t="s">
        <v>17</v>
      </c>
      <c r="W40" s="773">
        <f t="shared" si="14"/>
        <v>100</v>
      </c>
      <c r="X40" s="1811"/>
      <c r="Y40" s="3248"/>
      <c r="Z40" s="1812" t="str">
        <f t="shared" si="15"/>
        <v>市政基础设施</v>
      </c>
      <c r="AA40" s="1809">
        <f t="shared" si="3"/>
        <v>1</v>
      </c>
      <c r="AB40" s="1809">
        <f t="shared" si="4"/>
        <v>1</v>
      </c>
      <c r="AC40" s="2670">
        <f t="shared" si="5"/>
        <v>1</v>
      </c>
    </row>
    <row r="41" spans="1:29" ht="15">
      <c r="A41" s="471"/>
      <c r="B41" s="421" t="s">
        <v>2654</v>
      </c>
      <c r="C41" s="615" t="s">
        <v>3236</v>
      </c>
      <c r="D41" s="434">
        <v>100</v>
      </c>
      <c r="E41" s="615" t="s">
        <v>3236</v>
      </c>
      <c r="F41" s="460">
        <f>SUMIF(119:119,E41,120:120)-SUMIF(119:119,C41,120:120)+100</f>
        <v>100</v>
      </c>
      <c r="G41" s="615" t="s">
        <v>3236</v>
      </c>
      <c r="H41" s="434">
        <f>SUMIF(119:119,G41,120:120)-SUMIF(119:119,C41,120:120)+100</f>
        <v>100</v>
      </c>
      <c r="I41" s="615" t="s">
        <v>3236</v>
      </c>
      <c r="J41" s="434">
        <f>SUMIF(119:119,I41,120:120)-SUMIF(119:119,C41,120:120)+100</f>
        <v>100</v>
      </c>
      <c r="K41" s="611">
        <v>2</v>
      </c>
      <c r="L41" s="1138"/>
      <c r="M41" s="1129"/>
      <c r="N41" s="1129"/>
      <c r="O41" s="1129"/>
      <c r="P41" s="3246"/>
      <c r="Q41" s="1808" t="str">
        <f t="shared" si="11"/>
        <v>层高</v>
      </c>
      <c r="R41" s="772" t="s">
        <v>17</v>
      </c>
      <c r="S41" s="773">
        <f t="shared" si="12"/>
        <v>100</v>
      </c>
      <c r="T41" s="772" t="s">
        <v>17</v>
      </c>
      <c r="U41" s="773">
        <f t="shared" si="13"/>
        <v>100</v>
      </c>
      <c r="V41" s="772" t="s">
        <v>17</v>
      </c>
      <c r="W41" s="773">
        <f t="shared" si="14"/>
        <v>100</v>
      </c>
      <c r="X41" s="1811"/>
      <c r="Y41" s="3248"/>
      <c r="Z41" s="1812" t="str">
        <f t="shared" si="15"/>
        <v>层高</v>
      </c>
      <c r="AA41" s="1809">
        <f t="shared" si="3"/>
        <v>1</v>
      </c>
      <c r="AB41" s="1809">
        <f t="shared" si="4"/>
        <v>1</v>
      </c>
      <c r="AC41" s="2670">
        <f t="shared" si="5"/>
        <v>1</v>
      </c>
    </row>
    <row r="42" spans="1:29" s="470" customFormat="1" ht="15">
      <c r="A42" s="467"/>
      <c r="B42" s="1810" t="s">
        <v>2685</v>
      </c>
      <c r="C42" s="433">
        <v>109.98</v>
      </c>
      <c r="D42" s="434">
        <v>100</v>
      </c>
      <c r="E42" s="433">
        <v>111</v>
      </c>
      <c r="F42" s="460">
        <f>SUMIF(121:121,E42,122:122)-SUMIF(121:121,C42,122:122)+100</f>
        <v>100</v>
      </c>
      <c r="G42" s="433">
        <v>725</v>
      </c>
      <c r="H42" s="434">
        <f>SUMIF(121:121,G42,122:122)-SUMIF(121:121,C42,122:122)+100</f>
        <v>95</v>
      </c>
      <c r="I42" s="433">
        <v>450</v>
      </c>
      <c r="J42" s="434">
        <f>SUMIF(121:121,I42,122:122)-SUMIF(121:121,C42,122:122)+100</f>
        <v>97</v>
      </c>
      <c r="K42" s="612"/>
      <c r="L42" s="1136"/>
      <c r="M42" s="1139"/>
      <c r="N42" s="1139"/>
      <c r="O42" s="1139"/>
      <c r="P42" s="3246"/>
      <c r="Q42" s="774" t="str">
        <f t="shared" si="11"/>
        <v>单套建筑面积</v>
      </c>
      <c r="R42" s="775" t="s">
        <v>17</v>
      </c>
      <c r="S42" s="776">
        <f t="shared" si="12"/>
        <v>100</v>
      </c>
      <c r="T42" s="775" t="s">
        <v>17</v>
      </c>
      <c r="U42" s="776">
        <f t="shared" si="13"/>
        <v>95</v>
      </c>
      <c r="V42" s="775" t="s">
        <v>17</v>
      </c>
      <c r="W42" s="776">
        <f t="shared" si="14"/>
        <v>97</v>
      </c>
      <c r="X42" s="777"/>
      <c r="Y42" s="3248"/>
      <c r="Z42" s="778" t="str">
        <f t="shared" si="15"/>
        <v>单套建筑面积</v>
      </c>
      <c r="AA42" s="1809">
        <f t="shared" si="3"/>
        <v>1</v>
      </c>
      <c r="AB42" s="1809">
        <f t="shared" si="4"/>
        <v>1.0526315789473684</v>
      </c>
      <c r="AC42" s="2670">
        <f t="shared" si="5"/>
        <v>1.0309278350515463</v>
      </c>
    </row>
    <row r="43" spans="1:29" ht="15">
      <c r="A43" s="471"/>
      <c r="B43" s="421" t="s">
        <v>2657</v>
      </c>
      <c r="C43" s="459" t="s">
        <v>3067</v>
      </c>
      <c r="D43" s="434">
        <v>100</v>
      </c>
      <c r="E43" s="459" t="s">
        <v>3065</v>
      </c>
      <c r="F43" s="460">
        <f>SUMIF(123:123,E43,124:124)-SUMIF(123:123,C43,124:124)+100</f>
        <v>101</v>
      </c>
      <c r="G43" s="459" t="s">
        <v>3065</v>
      </c>
      <c r="H43" s="434">
        <f>SUMIF(123:123,G43,124:124)-SUMIF(123:123,C43,124:124)+100</f>
        <v>101</v>
      </c>
      <c r="I43" s="459" t="s">
        <v>3067</v>
      </c>
      <c r="J43" s="434">
        <f>SUMIF(123:123,I43,124:124)-SUMIF(123:123,C43,124:124)+100</f>
        <v>100</v>
      </c>
      <c r="K43" s="611">
        <v>1</v>
      </c>
      <c r="L43" s="1138"/>
      <c r="M43" s="1129"/>
      <c r="N43" s="1129"/>
      <c r="O43" s="1129"/>
      <c r="P43" s="3246"/>
      <c r="Q43" s="1808" t="str">
        <f t="shared" si="11"/>
        <v>内部装修</v>
      </c>
      <c r="R43" s="772" t="s">
        <v>17</v>
      </c>
      <c r="S43" s="773">
        <f t="shared" si="12"/>
        <v>101</v>
      </c>
      <c r="T43" s="772" t="s">
        <v>17</v>
      </c>
      <c r="U43" s="773">
        <f t="shared" si="13"/>
        <v>101</v>
      </c>
      <c r="V43" s="772" t="s">
        <v>17</v>
      </c>
      <c r="W43" s="773">
        <f t="shared" si="14"/>
        <v>100</v>
      </c>
      <c r="X43" s="1811"/>
      <c r="Y43" s="3248"/>
      <c r="Z43" s="1812" t="str">
        <f t="shared" si="15"/>
        <v>内部装修</v>
      </c>
      <c r="AA43" s="1809">
        <f t="shared" si="3"/>
        <v>0.99009900990099009</v>
      </c>
      <c r="AB43" s="1809">
        <f t="shared" si="4"/>
        <v>0.99009900990099009</v>
      </c>
      <c r="AC43" s="2670">
        <f t="shared" si="5"/>
        <v>1</v>
      </c>
    </row>
    <row r="44" spans="1:29" ht="15">
      <c r="A44" s="471"/>
      <c r="B44" s="421" t="s">
        <v>2565</v>
      </c>
      <c r="C44" s="459" t="s">
        <v>3072</v>
      </c>
      <c r="D44" s="434">
        <v>100</v>
      </c>
      <c r="E44" s="2611" t="s">
        <v>3072</v>
      </c>
      <c r="F44" s="460">
        <f>SUMIF(125:125,E44,126:126)-SUMIF(125:125,C44,126:126)+100</f>
        <v>100</v>
      </c>
      <c r="G44" s="2611" t="s">
        <v>3072</v>
      </c>
      <c r="H44" s="434">
        <f>SUMIF(125:125,G44,126:126)-SUMIF(125:125,C44,126:126)+100</f>
        <v>100</v>
      </c>
      <c r="I44" s="2611" t="s">
        <v>3072</v>
      </c>
      <c r="J44" s="434">
        <f>SUMIF(125:125,I44,126:126)-SUMIF(125:125,C44,126:126)+100</f>
        <v>100</v>
      </c>
      <c r="K44" s="611">
        <v>2</v>
      </c>
      <c r="L44" s="1138"/>
      <c r="M44" s="1129"/>
      <c r="N44" s="1129"/>
      <c r="O44" s="1129"/>
      <c r="P44" s="3246"/>
      <c r="Q44" s="1808" t="str">
        <f t="shared" si="11"/>
        <v>内部装修维护情况</v>
      </c>
      <c r="R44" s="772" t="s">
        <v>17</v>
      </c>
      <c r="S44" s="773">
        <f t="shared" si="12"/>
        <v>100</v>
      </c>
      <c r="T44" s="772" t="s">
        <v>17</v>
      </c>
      <c r="U44" s="773">
        <f t="shared" si="13"/>
        <v>100</v>
      </c>
      <c r="V44" s="772" t="s">
        <v>17</v>
      </c>
      <c r="W44" s="773">
        <f t="shared" si="14"/>
        <v>100</v>
      </c>
      <c r="X44" s="1811"/>
      <c r="Y44" s="3248"/>
      <c r="Z44" s="1812" t="str">
        <f t="shared" si="15"/>
        <v>内部装修维护情况</v>
      </c>
      <c r="AA44" s="1809">
        <f t="shared" si="3"/>
        <v>1</v>
      </c>
      <c r="AB44" s="1809">
        <f t="shared" si="4"/>
        <v>1</v>
      </c>
      <c r="AC44" s="2670">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46"/>
      <c r="Q45" s="1793">
        <f t="shared" si="11"/>
        <v>111</v>
      </c>
      <c r="R45" s="768" t="s">
        <v>17</v>
      </c>
      <c r="S45" s="769">
        <f t="shared" si="12"/>
        <v>100</v>
      </c>
      <c r="T45" s="768" t="s">
        <v>17</v>
      </c>
      <c r="U45" s="769">
        <f t="shared" si="13"/>
        <v>100</v>
      </c>
      <c r="V45" s="768" t="s">
        <v>17</v>
      </c>
      <c r="W45" s="769">
        <f t="shared" si="14"/>
        <v>100</v>
      </c>
      <c r="X45" s="770"/>
      <c r="Y45" s="3248"/>
      <c r="Z45" s="54">
        <f t="shared" si="15"/>
        <v>111</v>
      </c>
      <c r="AA45" s="771">
        <f t="shared" si="3"/>
        <v>1</v>
      </c>
      <c r="AB45" s="771">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46"/>
      <c r="Q46" s="1808">
        <f t="shared" si="11"/>
        <v>111</v>
      </c>
      <c r="R46" s="772" t="s">
        <v>17</v>
      </c>
      <c r="S46" s="773">
        <f t="shared" si="12"/>
        <v>100</v>
      </c>
      <c r="T46" s="772" t="s">
        <v>17</v>
      </c>
      <c r="U46" s="773">
        <f t="shared" si="13"/>
        <v>100</v>
      </c>
      <c r="V46" s="772" t="s">
        <v>17</v>
      </c>
      <c r="W46" s="773">
        <f t="shared" si="14"/>
        <v>100</v>
      </c>
      <c r="X46" s="1811"/>
      <c r="Y46" s="3248"/>
      <c r="Z46" s="1812">
        <f t="shared" si="15"/>
        <v>111</v>
      </c>
      <c r="AA46" s="1809">
        <f t="shared" si="3"/>
        <v>1</v>
      </c>
      <c r="AB46" s="1809">
        <f t="shared" si="4"/>
        <v>1</v>
      </c>
      <c r="AC46" s="2670">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47"/>
      <c r="Q47" s="1808">
        <f t="shared" si="11"/>
        <v>111</v>
      </c>
      <c r="R47" s="772" t="s">
        <v>17</v>
      </c>
      <c r="S47" s="773">
        <f t="shared" si="12"/>
        <v>100</v>
      </c>
      <c r="T47" s="772" t="s">
        <v>17</v>
      </c>
      <c r="U47" s="773">
        <f t="shared" si="13"/>
        <v>100</v>
      </c>
      <c r="V47" s="772" t="s">
        <v>17</v>
      </c>
      <c r="W47" s="773">
        <f t="shared" si="14"/>
        <v>100</v>
      </c>
      <c r="X47" s="1811"/>
      <c r="Y47" s="3249"/>
      <c r="Z47" s="1812">
        <f t="shared" si="15"/>
        <v>111</v>
      </c>
      <c r="AA47" s="1809">
        <f t="shared" si="3"/>
        <v>1</v>
      </c>
      <c r="AB47" s="1809">
        <f t="shared" si="4"/>
        <v>1</v>
      </c>
      <c r="AC47" s="2670">
        <f t="shared" si="5"/>
        <v>1</v>
      </c>
    </row>
    <row r="48" spans="1:29" ht="15">
      <c r="A48" s="478" t="s">
        <v>2566</v>
      </c>
      <c r="B48" s="479"/>
      <c r="C48" s="1405" t="s">
        <v>1</v>
      </c>
      <c r="D48" s="1406"/>
      <c r="E48" s="1407">
        <v>40000</v>
      </c>
      <c r="F48" s="1408"/>
      <c r="G48" s="1409">
        <v>40000</v>
      </c>
      <c r="H48" s="1410"/>
      <c r="I48" s="1407">
        <v>38000</v>
      </c>
      <c r="J48" s="484"/>
      <c r="K48" s="781"/>
      <c r="L48" s="1141"/>
      <c r="M48" s="1129"/>
      <c r="N48" s="1129"/>
      <c r="O48" s="1129"/>
      <c r="P48" s="3251" t="str">
        <f>A48</f>
        <v>成交单价（元/平方米）</v>
      </c>
      <c r="Q48" s="3236"/>
      <c r="R48" s="3237">
        <f>E48</f>
        <v>40000</v>
      </c>
      <c r="S48" s="3237"/>
      <c r="T48" s="3237">
        <f>G48</f>
        <v>40000</v>
      </c>
      <c r="U48" s="3237"/>
      <c r="V48" s="3237">
        <f>I48</f>
        <v>38000</v>
      </c>
      <c r="W48" s="3237"/>
      <c r="X48" s="445"/>
      <c r="Y48" s="779"/>
      <c r="Z48" s="445"/>
      <c r="AA48" s="445"/>
      <c r="AB48" s="445"/>
      <c r="AC48" s="629"/>
    </row>
    <row r="49" spans="1:29" ht="15.75" thickBot="1">
      <c r="A49" s="485" t="s">
        <v>2658</v>
      </c>
      <c r="B49" s="486"/>
      <c r="C49" s="1411">
        <f>R50</f>
        <v>40692</v>
      </c>
      <c r="D49" s="1412"/>
      <c r="E49" s="1413">
        <f>R49</f>
        <v>40412</v>
      </c>
      <c r="F49" s="1413"/>
      <c r="G49" s="1411">
        <f>T49</f>
        <v>41688</v>
      </c>
      <c r="H49" s="1412"/>
      <c r="I49" s="1413">
        <f>V49</f>
        <v>39975</v>
      </c>
      <c r="J49" s="488"/>
      <c r="K49" s="782"/>
      <c r="L49" s="1141"/>
      <c r="M49" s="1129"/>
      <c r="N49" s="1129"/>
      <c r="O49" s="1129"/>
      <c r="P49" s="3251" t="str">
        <f>A49</f>
        <v>比较价值（元/平方米）</v>
      </c>
      <c r="Q49" s="3236"/>
      <c r="R49" s="3237">
        <f>IF(F1="售价",ROUND(PRODUCT(R48,AA7:AA47),0),ROUND(PRODUCT(R48,AA7:AA47),1))</f>
        <v>40412</v>
      </c>
      <c r="S49" s="3237"/>
      <c r="T49" s="3237">
        <f>IF(F1="售价",ROUND(PRODUCT(T48,AB7:AB47),0),ROUND(PRODUCT(T48,AB7:AB47),1))</f>
        <v>41688</v>
      </c>
      <c r="U49" s="3237"/>
      <c r="V49" s="3237">
        <f>IF(F1="售价",ROUND(PRODUCT(V48,AC7:AC47),0),ROUND(PRODUCT(V48,AC7:AC47),1))</f>
        <v>39975</v>
      </c>
      <c r="W49" s="3237"/>
      <c r="X49" s="445"/>
      <c r="Y49" s="445"/>
      <c r="Z49" s="445"/>
      <c r="AA49" s="445"/>
      <c r="AB49" s="445"/>
      <c r="AC49" s="629"/>
    </row>
    <row r="50" spans="1:29" ht="15.75" thickBot="1">
      <c r="A50" s="491" t="s">
        <v>2659</v>
      </c>
      <c r="B50" s="492"/>
      <c r="C50" s="1415">
        <f>R50</f>
        <v>40692</v>
      </c>
      <c r="D50" s="1415"/>
      <c r="E50" s="1415"/>
      <c r="F50" s="1415"/>
      <c r="G50" s="1415"/>
      <c r="H50" s="1415"/>
      <c r="I50" s="1415"/>
      <c r="J50" s="493"/>
      <c r="K50" s="783"/>
      <c r="L50" s="1141"/>
      <c r="M50" s="1129"/>
      <c r="N50" s="1129"/>
      <c r="O50" s="1129"/>
      <c r="P50" s="3282" t="str">
        <f>A50</f>
        <v>估价对象XX用房的比较价值（楼面单价，元/平方米）</v>
      </c>
      <c r="Q50" s="3283"/>
      <c r="R50" s="3284">
        <f>IF(F1="售价",ROUND(AVERAGE(R49:V49),0),ROUND(AVERAGE(R49:V49),1))</f>
        <v>40692</v>
      </c>
      <c r="S50" s="3284"/>
      <c r="T50" s="3284"/>
      <c r="U50" s="3284"/>
      <c r="V50" s="3284"/>
      <c r="W50" s="3284"/>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2660</v>
      </c>
      <c r="D53" s="497"/>
      <c r="E53" s="498">
        <f>IF(E48&lt;E49,E49/E48-1,E48/E49-1)</f>
        <v>1.0299999999999976E-2</v>
      </c>
      <c r="F53" s="499" t="str">
        <f>IF(OR(E53&gt;=0.3,E53&lt;=-0.3),"超过30%","")</f>
        <v/>
      </c>
      <c r="G53" s="498">
        <f>IF(G48&lt;G49,G49/G48-1,G48/G49-1)</f>
        <v>4.2200000000000015E-2</v>
      </c>
      <c r="H53" s="499" t="str">
        <f>IF(OR(G53&gt;=0.3,G53&lt;=-0.3),"超过30%","")</f>
        <v/>
      </c>
      <c r="I53" s="498">
        <f>IF(I48&lt;I49,I49/I48-1,I48/I49-1)</f>
        <v>5.1973684210526283E-2</v>
      </c>
      <c r="J53" s="499" t="str">
        <f>IF(OR(I53&gt;=0.3,I53&lt;=-0.3),"超过30%","")</f>
        <v/>
      </c>
      <c r="K53" s="1103"/>
      <c r="L53" s="1104"/>
      <c r="M53" s="1142"/>
      <c r="N53" s="1142"/>
      <c r="O53" s="1142"/>
    </row>
    <row r="54" spans="1:29" ht="13.5" customHeight="1">
      <c r="A54" s="1142"/>
      <c r="B54" s="1142"/>
      <c r="C54" s="496" t="s">
        <v>2661</v>
      </c>
      <c r="D54" s="500"/>
      <c r="E54" s="498">
        <f>IF(E49&lt;G49,G49/E49-1,E49/G49-1)</f>
        <v>3.157477976838563E-2</v>
      </c>
      <c r="F54" s="499" t="str">
        <f>IF(OR(E54&gt;=0.2,E54&lt;=-0.2),"超过20%","")</f>
        <v/>
      </c>
      <c r="G54" s="498">
        <f>IF(G49&lt;I49,I49/G49-1,G49/I49-1)</f>
        <v>4.2851782363977575E-2</v>
      </c>
      <c r="H54" s="499" t="str">
        <f>IF(OR(G54&gt;=0.2,G54&lt;=-0.2),"超过20%","")</f>
        <v/>
      </c>
      <c r="I54" s="498">
        <f>IF(I49&lt;E49,E49/I49-1,I49/E49-1)</f>
        <v>1.0931832395246976E-2</v>
      </c>
      <c r="J54" s="499" t="str">
        <f>IF(OR(I54&gt;=0.2,I54&lt;=-0.2),"超过20%","")</f>
        <v/>
      </c>
      <c r="K54" s="1103"/>
      <c r="L54" s="1104"/>
      <c r="M54" s="1142"/>
      <c r="N54" s="1142"/>
      <c r="O54" s="1142"/>
    </row>
    <row r="55" spans="1:29" s="501" customFormat="1" ht="13.5" customHeight="1">
      <c r="A55" s="1143"/>
      <c r="B55" s="1143"/>
      <c r="C55" s="496" t="s">
        <v>2662</v>
      </c>
      <c r="D55" s="500"/>
      <c r="E55" s="498">
        <f>IF(E48&lt;G48,G48/E48-1,E48/G48-1)</f>
        <v>0</v>
      </c>
      <c r="F55" s="499" t="str">
        <f>IF(OR(E55&gt;=0.3,E55&lt;=-0.3),"超过30%","")</f>
        <v/>
      </c>
      <c r="G55" s="498">
        <f>IF(G48&lt;I48,I48/G48-1,G48/I48-1)</f>
        <v>5.2631578947368363E-2</v>
      </c>
      <c r="H55" s="499" t="str">
        <f>IF(OR(G55&gt;=0.3,G55&lt;=-0.3),"超过30%","")</f>
        <v/>
      </c>
      <c r="I55" s="498">
        <f>IF(I48&lt;E48,E48/I48-1,I48/E48-1)</f>
        <v>5.2631578947368363E-2</v>
      </c>
      <c r="J55" s="499" t="str">
        <f>IF(OR(I55&gt;=0.3,I55&lt;=-0.3),"超过30%","")</f>
        <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1" t="s">
        <v>2663</v>
      </c>
      <c r="B58" s="757"/>
      <c r="C58" s="762"/>
      <c r="D58" s="762"/>
      <c r="E58" s="762"/>
      <c r="F58" s="763"/>
      <c r="G58" s="763"/>
      <c r="H58" s="762"/>
      <c r="I58" s="762"/>
      <c r="J58" s="762"/>
      <c r="K58" s="764"/>
      <c r="L58" s="1159"/>
      <c r="M58" s="1157"/>
      <c r="N58" s="1157"/>
      <c r="O58" s="1157"/>
      <c r="P58" s="2677"/>
      <c r="Q58" s="503"/>
    </row>
    <row r="59" spans="1:29" s="507" customFormat="1" ht="15">
      <c r="A59" s="504" t="s">
        <v>2537</v>
      </c>
      <c r="B59" s="505"/>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6" customFormat="1" ht="15">
      <c r="A60" s="508"/>
      <c r="B60" s="509"/>
      <c r="C60" s="1571">
        <v>100</v>
      </c>
      <c r="D60" s="511"/>
      <c r="E60" s="511"/>
      <c r="F60" s="511"/>
      <c r="G60" s="511"/>
      <c r="H60" s="511"/>
      <c r="I60" s="511"/>
      <c r="J60" s="511"/>
      <c r="K60" s="511"/>
      <c r="L60" s="511"/>
      <c r="M60" s="512"/>
      <c r="N60" s="511"/>
      <c r="O60" s="512"/>
      <c r="P60" s="2678"/>
    </row>
    <row r="61" spans="1:29" s="116" customFormat="1" ht="15.75" thickBot="1">
      <c r="A61" s="514" t="s">
        <v>2574</v>
      </c>
      <c r="B61" s="515"/>
      <c r="C61" s="516">
        <v>100</v>
      </c>
      <c r="D61" s="517"/>
      <c r="E61" s="517"/>
      <c r="F61" s="517"/>
      <c r="G61" s="517"/>
      <c r="H61" s="517"/>
      <c r="I61" s="517"/>
      <c r="J61" s="517"/>
      <c r="K61" s="517"/>
      <c r="L61" s="517"/>
      <c r="M61" s="518"/>
      <c r="N61" s="517"/>
      <c r="O61" s="518"/>
      <c r="P61" s="2678"/>
      <c r="Q61" s="503"/>
    </row>
    <row r="62" spans="1:29" s="116" customFormat="1" ht="15">
      <c r="A62" s="520" t="s">
        <v>2539</v>
      </c>
      <c r="B62" s="509"/>
      <c r="C62" s="521" t="s">
        <v>2641</v>
      </c>
      <c r="D62" s="522"/>
      <c r="E62" s="522"/>
      <c r="F62" s="522"/>
      <c r="G62" s="522"/>
      <c r="H62" s="522"/>
      <c r="I62" s="522"/>
      <c r="J62" s="522"/>
      <c r="K62" s="522"/>
      <c r="L62" s="523"/>
      <c r="M62" s="524"/>
      <c r="N62" s="1149"/>
      <c r="O62" s="1149"/>
      <c r="P62" s="2679"/>
      <c r="Q62" s="503"/>
    </row>
    <row r="63" spans="1:29" s="116"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2577</v>
      </c>
      <c r="B64" s="527" t="s">
        <v>2543</v>
      </c>
      <c r="C64" s="528" t="str">
        <f>C9</f>
        <v>办公</v>
      </c>
      <c r="D64" s="529"/>
      <c r="E64" s="529"/>
      <c r="F64" s="529"/>
      <c r="G64" s="529"/>
      <c r="H64" s="529"/>
      <c r="I64" s="529"/>
      <c r="J64" s="529"/>
      <c r="K64" s="530"/>
      <c r="L64" s="531"/>
      <c r="M64" s="532"/>
      <c r="N64" s="1150"/>
      <c r="O64" s="1150"/>
      <c r="P64" s="2680"/>
      <c r="Q64" s="503"/>
    </row>
    <row r="65" spans="1:17" ht="15.75" thickBot="1">
      <c r="A65" s="533"/>
      <c r="B65" s="534"/>
      <c r="C65" s="535">
        <v>100</v>
      </c>
      <c r="D65" s="535"/>
      <c r="E65" s="535"/>
      <c r="F65" s="535"/>
      <c r="G65" s="535"/>
      <c r="H65" s="535"/>
      <c r="I65" s="535"/>
      <c r="J65" s="535"/>
      <c r="K65" s="535"/>
      <c r="L65" s="535"/>
      <c r="M65" s="536"/>
      <c r="N65" s="1151"/>
      <c r="O65" s="1151"/>
      <c r="P65" s="2680"/>
      <c r="Q65" s="503"/>
    </row>
    <row r="66" spans="1:17" ht="27.75" thickTop="1">
      <c r="A66" s="533"/>
      <c r="B66" s="537" t="s">
        <v>2546</v>
      </c>
      <c r="C66" s="538" t="s">
        <v>2578</v>
      </c>
      <c r="D66" s="538" t="s">
        <v>2579</v>
      </c>
      <c r="E66" s="538" t="s">
        <v>2580</v>
      </c>
      <c r="F66" s="538" t="s">
        <v>2581</v>
      </c>
      <c r="G66" s="538" t="s">
        <v>2582</v>
      </c>
      <c r="H66" s="538" t="s">
        <v>2583</v>
      </c>
      <c r="I66" s="538" t="s">
        <v>2584</v>
      </c>
      <c r="J66" s="538"/>
      <c r="K66" s="539"/>
      <c r="L66" s="540"/>
      <c r="M66" s="541"/>
      <c r="N66" s="1150"/>
      <c r="O66" s="1150"/>
      <c r="P66" s="2680"/>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1"/>
      <c r="O67" s="1151"/>
      <c r="P67" s="2680"/>
      <c r="Q67" s="503"/>
    </row>
    <row r="68" spans="1:17" ht="15.75" thickTop="1">
      <c r="A68" s="533"/>
      <c r="B68" s="545" t="s">
        <v>2547</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v>1</v>
      </c>
      <c r="D69" s="548">
        <v>2</v>
      </c>
      <c r="E69" s="548">
        <v>3</v>
      </c>
      <c r="F69" s="548">
        <v>4</v>
      </c>
      <c r="G69" s="548"/>
      <c r="H69" s="548"/>
      <c r="I69" s="548"/>
      <c r="J69" s="548"/>
      <c r="K69" s="549"/>
      <c r="L69" s="550"/>
      <c r="M69" s="551"/>
      <c r="N69" s="1150"/>
      <c r="O69" s="1150"/>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2548</v>
      </c>
      <c r="B77" s="527" t="s">
        <v>2686</v>
      </c>
      <c r="C77" s="572" t="s">
        <v>2586</v>
      </c>
      <c r="D77" s="572" t="s">
        <v>2587</v>
      </c>
      <c r="E77" s="572" t="s">
        <v>2588</v>
      </c>
      <c r="F77" s="572" t="s">
        <v>2589</v>
      </c>
      <c r="G77" s="572" t="s">
        <v>2590</v>
      </c>
      <c r="H77" s="528"/>
      <c r="I77" s="528"/>
      <c r="J77" s="528"/>
      <c r="K77" s="573"/>
      <c r="L77" s="574"/>
      <c r="M77" s="575"/>
      <c r="N77" s="1150"/>
      <c r="O77" s="1150"/>
      <c r="P77" s="2684"/>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1"/>
      <c r="O78" s="1151"/>
      <c r="P78" s="2680"/>
      <c r="Q78" s="503"/>
    </row>
    <row r="79" spans="1:17" ht="15.75" thickTop="1">
      <c r="A79" s="533"/>
      <c r="B79" s="537" t="s">
        <v>2591</v>
      </c>
      <c r="C79" s="577" t="s">
        <v>2586</v>
      </c>
      <c r="D79" s="577" t="s">
        <v>2587</v>
      </c>
      <c r="E79" s="577" t="s">
        <v>2588</v>
      </c>
      <c r="F79" s="577" t="s">
        <v>2589</v>
      </c>
      <c r="G79" s="577" t="s">
        <v>2590</v>
      </c>
      <c r="H79" s="538"/>
      <c r="I79" s="538"/>
      <c r="J79" s="538"/>
      <c r="K79" s="539"/>
      <c r="L79" s="540"/>
      <c r="M79" s="541"/>
      <c r="N79" s="1150"/>
      <c r="O79" s="1150"/>
      <c r="P79" s="2680"/>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1"/>
      <c r="O80" s="1151"/>
      <c r="P80" s="2680"/>
      <c r="Q80" s="503"/>
    </row>
    <row r="81" spans="1:17" ht="15.75" thickTop="1">
      <c r="A81" s="533"/>
      <c r="B81" s="537" t="s">
        <v>2592</v>
      </c>
      <c r="C81" s="577" t="s">
        <v>2586</v>
      </c>
      <c r="D81" s="577" t="s">
        <v>2587</v>
      </c>
      <c r="E81" s="577" t="s">
        <v>2588</v>
      </c>
      <c r="F81" s="577" t="s">
        <v>2589</v>
      </c>
      <c r="G81" s="577" t="s">
        <v>2590</v>
      </c>
      <c r="H81" s="538"/>
      <c r="I81" s="538"/>
      <c r="J81" s="538"/>
      <c r="K81" s="539"/>
      <c r="L81" s="540"/>
      <c r="M81" s="541"/>
      <c r="N81" s="1150"/>
      <c r="O81" s="1150"/>
      <c r="P81" s="2680"/>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1"/>
      <c r="O82" s="1151"/>
      <c r="P82" s="2680"/>
      <c r="Q82" s="503"/>
    </row>
    <row r="83" spans="1:17" ht="15.75" thickTop="1">
      <c r="A83" s="533"/>
      <c r="B83" s="545" t="s">
        <v>2678</v>
      </c>
      <c r="C83" s="659" t="s">
        <v>2664</v>
      </c>
      <c r="D83" s="659" t="s">
        <v>2665</v>
      </c>
      <c r="E83" s="659" t="s">
        <v>2666</v>
      </c>
      <c r="F83" s="659" t="s">
        <v>2667</v>
      </c>
      <c r="G83" s="659" t="s">
        <v>2668</v>
      </c>
      <c r="H83" s="538"/>
      <c r="I83" s="538"/>
      <c r="J83" s="538"/>
      <c r="K83" s="538"/>
      <c r="L83" s="538"/>
      <c r="M83" s="1380"/>
      <c r="N83" s="1151"/>
      <c r="O83" s="1151"/>
      <c r="P83" s="2680"/>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1"/>
      <c r="O84" s="1151"/>
      <c r="P84" s="2680"/>
      <c r="Q84" s="503"/>
    </row>
    <row r="85" spans="1:17" ht="15.75" thickTop="1">
      <c r="A85" s="533"/>
      <c r="B85" s="537" t="s">
        <v>2687</v>
      </c>
      <c r="C85" s="577" t="s">
        <v>2586</v>
      </c>
      <c r="D85" s="577" t="s">
        <v>2587</v>
      </c>
      <c r="E85" s="577" t="s">
        <v>2588</v>
      </c>
      <c r="F85" s="577" t="s">
        <v>2589</v>
      </c>
      <c r="G85" s="577" t="s">
        <v>2590</v>
      </c>
      <c r="H85" s="538"/>
      <c r="I85" s="538"/>
      <c r="J85" s="538"/>
      <c r="K85" s="539"/>
      <c r="L85" s="540"/>
      <c r="M85" s="541"/>
      <c r="N85" s="1150"/>
      <c r="O85" s="1150"/>
      <c r="P85" s="2680"/>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1"/>
      <c r="O86" s="1151"/>
      <c r="P86" s="2680"/>
      <c r="Q86" s="503"/>
    </row>
    <row r="87" spans="1:17" s="116" customFormat="1" ht="27.75" thickTop="1">
      <c r="A87" s="578"/>
      <c r="B87" s="537" t="s">
        <v>2688</v>
      </c>
      <c r="C87" s="2970" t="s">
        <v>3165</v>
      </c>
      <c r="D87" s="2970" t="s">
        <v>3166</v>
      </c>
      <c r="E87" s="2970" t="s">
        <v>3167</v>
      </c>
      <c r="F87" s="2970" t="s">
        <v>3168</v>
      </c>
      <c r="G87" s="2970" t="s">
        <v>3169</v>
      </c>
      <c r="H87" s="553"/>
      <c r="I87" s="553"/>
      <c r="J87" s="553"/>
      <c r="K87" s="553"/>
      <c r="L87" s="579"/>
      <c r="M87" s="580"/>
      <c r="N87" s="1149"/>
      <c r="O87" s="1149"/>
      <c r="P87" s="2680"/>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1"/>
      <c r="O88" s="1151"/>
      <c r="P88" s="2680"/>
      <c r="Q88" s="503"/>
    </row>
    <row r="89" spans="1:17" s="116" customFormat="1" ht="15.75" thickTop="1">
      <c r="A89" s="578"/>
      <c r="B89" s="537" t="str">
        <f>B27</f>
        <v>楼层</v>
      </c>
      <c r="C89" s="2970" t="s">
        <v>3080</v>
      </c>
      <c r="D89" s="2970" t="s">
        <v>3082</v>
      </c>
      <c r="E89" s="2970" t="s">
        <v>3084</v>
      </c>
      <c r="F89" s="2631"/>
      <c r="G89" s="553"/>
      <c r="H89" s="553"/>
      <c r="I89" s="553"/>
      <c r="J89" s="553"/>
      <c r="K89" s="553"/>
      <c r="L89" s="553"/>
      <c r="M89" s="580"/>
      <c r="N89" s="1149"/>
      <c r="O89" s="1149"/>
      <c r="P89" s="2680"/>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1"/>
      <c r="O90" s="1151"/>
      <c r="P90" s="2680"/>
      <c r="Q90" s="503"/>
    </row>
    <row r="91" spans="1:17" s="470" customFormat="1" ht="15.75" thickTop="1">
      <c r="A91" s="552"/>
      <c r="B91" s="537" t="str">
        <f>B28</f>
        <v>朝向</v>
      </c>
      <c r="C91" s="2970" t="s">
        <v>3085</v>
      </c>
      <c r="D91" s="2970" t="s">
        <v>3086</v>
      </c>
      <c r="E91" s="2970" t="s">
        <v>3089</v>
      </c>
      <c r="F91" s="2970"/>
      <c r="G91" s="2970" t="s">
        <v>3087</v>
      </c>
      <c r="H91" s="554"/>
      <c r="I91" s="2972" t="s">
        <v>3088</v>
      </c>
      <c r="J91" s="554"/>
      <c r="K91" s="554"/>
      <c r="L91" s="555"/>
      <c r="M91" s="556"/>
      <c r="N91" s="1152"/>
      <c r="O91" s="1152"/>
      <c r="P91" s="2681"/>
      <c r="Q91" s="558"/>
    </row>
    <row r="92" spans="1:17" s="470" customFormat="1" ht="15.75" thickBot="1">
      <c r="A92" s="552"/>
      <c r="B92" s="542"/>
      <c r="C92" s="581">
        <v>100</v>
      </c>
      <c r="D92" s="543">
        <f t="shared" ref="D92:M92" si="21">C92-$K28</f>
        <v>99</v>
      </c>
      <c r="E92" s="543">
        <f t="shared" si="21"/>
        <v>98</v>
      </c>
      <c r="F92" s="543">
        <f t="shared" si="21"/>
        <v>97</v>
      </c>
      <c r="G92" s="543">
        <f t="shared" si="21"/>
        <v>96</v>
      </c>
      <c r="H92" s="543">
        <f t="shared" si="21"/>
        <v>95</v>
      </c>
      <c r="I92" s="543">
        <f t="shared" si="21"/>
        <v>94</v>
      </c>
      <c r="J92" s="543">
        <f t="shared" si="21"/>
        <v>93</v>
      </c>
      <c r="K92" s="543">
        <f t="shared" si="21"/>
        <v>92</v>
      </c>
      <c r="L92" s="543">
        <f t="shared" si="21"/>
        <v>91</v>
      </c>
      <c r="M92" s="543">
        <f t="shared" si="21"/>
        <v>90</v>
      </c>
      <c r="N92" s="1152"/>
      <c r="O92" s="1152"/>
      <c r="P92" s="2681"/>
      <c r="Q92" s="558"/>
    </row>
    <row r="93" spans="1:17" ht="15.75" thickTop="1">
      <c r="A93" s="533"/>
      <c r="B93" s="537" t="str">
        <f>B29</f>
        <v>人流量</v>
      </c>
      <c r="C93" s="2970" t="s">
        <v>3230</v>
      </c>
      <c r="D93" s="2970" t="s">
        <v>3231</v>
      </c>
      <c r="E93" s="2970" t="s">
        <v>3232</v>
      </c>
      <c r="F93" s="2970" t="s">
        <v>3233</v>
      </c>
      <c r="G93" s="2970" t="s">
        <v>3234</v>
      </c>
      <c r="H93" s="553"/>
      <c r="I93" s="553"/>
      <c r="J93" s="553"/>
      <c r="K93" s="553"/>
      <c r="L93" s="579"/>
      <c r="M93" s="580"/>
      <c r="N93" s="1150"/>
      <c r="O93" s="1150"/>
      <c r="P93" s="2680"/>
      <c r="Q93" s="503"/>
    </row>
    <row r="94" spans="1:17" ht="15.75" thickBot="1">
      <c r="A94" s="533"/>
      <c r="B94" s="542"/>
      <c r="C94" s="559">
        <v>100</v>
      </c>
      <c r="D94" s="535">
        <v>98</v>
      </c>
      <c r="E94" s="535">
        <v>96</v>
      </c>
      <c r="F94" s="535">
        <v>94</v>
      </c>
      <c r="G94" s="535">
        <v>92</v>
      </c>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2552</v>
      </c>
      <c r="B101" s="527" t="s">
        <v>2601</v>
      </c>
      <c r="C101" s="3007" t="s">
        <v>3202</v>
      </c>
      <c r="D101" s="529"/>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1"/>
      <c r="O102" s="1151"/>
      <c r="P102" s="2680"/>
      <c r="Q102" s="503"/>
    </row>
    <row r="103" spans="1:17" ht="15.75" thickTop="1">
      <c r="A103" s="533"/>
      <c r="B103" s="537" t="s">
        <v>2602</v>
      </c>
      <c r="C103" s="577" t="str">
        <f>C104&amp;"(含)"&amp;"-"&amp;D104</f>
        <v>0(含)-100</v>
      </c>
      <c r="D103" s="577" t="str">
        <f t="shared" ref="D103:L103" si="23">D104&amp;"(含)"&amp;"-"&amp;E104</f>
        <v>100(含)-300</v>
      </c>
      <c r="E103" s="577" t="str">
        <f t="shared" si="23"/>
        <v>300(含)-500</v>
      </c>
      <c r="F103" s="577" t="str">
        <f t="shared" si="23"/>
        <v>500(含)-1000</v>
      </c>
      <c r="G103" s="577" t="str">
        <f t="shared" si="23"/>
        <v>1000(含)-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v>0</v>
      </c>
      <c r="D104" s="594">
        <v>100</v>
      </c>
      <c r="E104" s="594">
        <v>300</v>
      </c>
      <c r="F104" s="594">
        <v>500</v>
      </c>
      <c r="G104" s="594">
        <v>1000</v>
      </c>
      <c r="H104" s="594"/>
      <c r="I104" s="594"/>
      <c r="J104" s="595"/>
      <c r="K104" s="595"/>
      <c r="L104" s="596"/>
      <c r="M104" s="597"/>
      <c r="N104" s="1152"/>
      <c r="O104" s="1152"/>
      <c r="P104" s="2681"/>
      <c r="Q104" s="558"/>
    </row>
    <row r="105" spans="1:17" s="470" customFormat="1" ht="15.75" thickBot="1">
      <c r="A105" s="552"/>
      <c r="B105" s="542"/>
      <c r="C105" s="559">
        <v>100</v>
      </c>
      <c r="D105" s="535">
        <v>98</v>
      </c>
      <c r="E105" s="535">
        <v>96</v>
      </c>
      <c r="F105" s="535">
        <v>94</v>
      </c>
      <c r="G105" s="535">
        <v>92</v>
      </c>
      <c r="H105" s="535"/>
      <c r="I105" s="535"/>
      <c r="J105" s="535"/>
      <c r="K105" s="535"/>
      <c r="L105" s="535"/>
      <c r="M105" s="536"/>
      <c r="N105" s="1151"/>
      <c r="O105" s="1151"/>
      <c r="P105" s="2681"/>
      <c r="Q105" s="558"/>
    </row>
    <row r="106" spans="1:17" ht="15" thickTop="1">
      <c r="A106" s="598"/>
      <c r="B106" s="537" t="s">
        <v>2603</v>
      </c>
      <c r="C106" s="2970" t="s">
        <v>3203</v>
      </c>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1"/>
      <c r="O107" s="1151"/>
      <c r="P107" s="2680"/>
      <c r="Q107" s="503"/>
    </row>
    <row r="108" spans="1:17" ht="15" thickTop="1">
      <c r="A108" s="598"/>
      <c r="B108" s="537" t="s">
        <v>2605</v>
      </c>
      <c r="C108" s="2970" t="s">
        <v>3091</v>
      </c>
      <c r="D108" s="2970" t="s">
        <v>3092</v>
      </c>
      <c r="E108" s="2970" t="s">
        <v>3093</v>
      </c>
      <c r="F108" s="2971" t="s">
        <v>3094</v>
      </c>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1"/>
      <c r="O109" s="1151"/>
      <c r="P109" s="2680"/>
      <c r="Q109" s="503"/>
    </row>
    <row r="110" spans="1:17" ht="15" thickTop="1">
      <c r="A110" s="598"/>
      <c r="B110" s="537" t="s">
        <v>1987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1"/>
      <c r="O112" s="1151"/>
      <c r="P112" s="2680"/>
      <c r="Q112" s="503"/>
    </row>
    <row r="113" spans="1:17" s="470" customFormat="1" ht="15" thickTop="1">
      <c r="A113" s="592"/>
      <c r="B113" s="537" t="s">
        <v>2689</v>
      </c>
      <c r="C113" s="2970" t="s">
        <v>3205</v>
      </c>
      <c r="D113" s="2970" t="s">
        <v>3206</v>
      </c>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97</v>
      </c>
      <c r="E114" s="543">
        <f t="shared" ref="E114:M114" si="27">D114-$K38</f>
        <v>94</v>
      </c>
      <c r="F114" s="543">
        <f t="shared" si="27"/>
        <v>91</v>
      </c>
      <c r="G114" s="543">
        <f t="shared" si="27"/>
        <v>88</v>
      </c>
      <c r="H114" s="543">
        <f t="shared" si="27"/>
        <v>85</v>
      </c>
      <c r="I114" s="543">
        <f t="shared" si="27"/>
        <v>82</v>
      </c>
      <c r="J114" s="543">
        <f t="shared" si="27"/>
        <v>79</v>
      </c>
      <c r="K114" s="543">
        <f t="shared" si="27"/>
        <v>76</v>
      </c>
      <c r="L114" s="543">
        <f t="shared" si="27"/>
        <v>73</v>
      </c>
      <c r="M114" s="543">
        <f t="shared" si="27"/>
        <v>70</v>
      </c>
      <c r="N114" s="1152"/>
      <c r="O114" s="1152"/>
      <c r="P114" s="2681"/>
      <c r="Q114" s="558"/>
    </row>
    <row r="115" spans="1:17" ht="15" thickTop="1">
      <c r="A115" s="598"/>
      <c r="B115" s="537" t="s">
        <v>2606</v>
      </c>
      <c r="C115" s="2970" t="s">
        <v>3207</v>
      </c>
      <c r="D115" s="553"/>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99</v>
      </c>
      <c r="E116" s="543">
        <f t="shared" si="28"/>
        <v>98</v>
      </c>
      <c r="F116" s="543">
        <f t="shared" si="28"/>
        <v>97</v>
      </c>
      <c r="G116" s="543">
        <f t="shared" si="28"/>
        <v>96</v>
      </c>
      <c r="H116" s="543">
        <f t="shared" si="28"/>
        <v>95</v>
      </c>
      <c r="I116" s="543">
        <f t="shared" si="28"/>
        <v>94</v>
      </c>
      <c r="J116" s="543">
        <f t="shared" si="28"/>
        <v>93</v>
      </c>
      <c r="K116" s="543">
        <f t="shared" si="28"/>
        <v>92</v>
      </c>
      <c r="L116" s="543">
        <f t="shared" si="28"/>
        <v>91</v>
      </c>
      <c r="M116" s="544">
        <f t="shared" si="28"/>
        <v>90</v>
      </c>
      <c r="N116" s="1151"/>
      <c r="O116" s="1151"/>
      <c r="P116" s="2680"/>
      <c r="Q116" s="503"/>
    </row>
    <row r="117" spans="1:17" ht="15" thickTop="1">
      <c r="A117" s="598"/>
      <c r="B117" s="537" t="s">
        <v>2607</v>
      </c>
      <c r="C117" s="2970" t="s">
        <v>3208</v>
      </c>
      <c r="D117" s="2970" t="s">
        <v>3209</v>
      </c>
      <c r="E117" s="2970" t="s">
        <v>3210</v>
      </c>
      <c r="F117" s="2970" t="s">
        <v>3211</v>
      </c>
      <c r="G117" s="2970" t="s">
        <v>3212</v>
      </c>
      <c r="H117" s="582"/>
      <c r="I117" s="582"/>
      <c r="J117" s="582"/>
      <c r="K117" s="583"/>
      <c r="L117" s="584"/>
      <c r="M117" s="585"/>
      <c r="N117" s="1150"/>
      <c r="O117" s="1150"/>
      <c r="P117" s="2680"/>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1"/>
      <c r="O118" s="1151"/>
      <c r="P118" s="2680"/>
      <c r="Q118" s="503"/>
    </row>
    <row r="119" spans="1:17" ht="15" thickTop="1">
      <c r="A119" s="598"/>
      <c r="B119" s="635" t="s">
        <v>2690</v>
      </c>
      <c r="C119" s="2971" t="s">
        <v>3238</v>
      </c>
      <c r="D119" s="2971" t="s">
        <v>3237</v>
      </c>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1"/>
      <c r="O120" s="1151"/>
      <c r="P120" s="2680"/>
      <c r="Q120" s="503"/>
    </row>
    <row r="121" spans="1:17" s="470" customFormat="1" ht="15" thickTop="1">
      <c r="A121" s="592"/>
      <c r="B121" s="537" t="s">
        <v>2673</v>
      </c>
      <c r="C121" s="553">
        <v>109.98</v>
      </c>
      <c r="D121" s="553">
        <v>111</v>
      </c>
      <c r="E121" s="553">
        <v>725</v>
      </c>
      <c r="F121" s="582">
        <v>450</v>
      </c>
      <c r="G121" s="554"/>
      <c r="H121" s="554"/>
      <c r="I121" s="554"/>
      <c r="J121" s="554"/>
      <c r="K121" s="554"/>
      <c r="L121" s="555"/>
      <c r="M121" s="556"/>
      <c r="N121" s="1152"/>
      <c r="O121" s="1152"/>
      <c r="P121" s="2681"/>
      <c r="Q121" s="558"/>
    </row>
    <row r="122" spans="1:17" s="470" customFormat="1" ht="15.75" thickBot="1">
      <c r="A122" s="552"/>
      <c r="B122" s="534"/>
      <c r="C122" s="559">
        <v>100</v>
      </c>
      <c r="D122" s="559">
        <v>100</v>
      </c>
      <c r="E122" s="559">
        <v>95</v>
      </c>
      <c r="F122" s="559">
        <v>97</v>
      </c>
      <c r="G122" s="559"/>
      <c r="H122" s="559"/>
      <c r="I122" s="559"/>
      <c r="J122" s="559"/>
      <c r="K122" s="559"/>
      <c r="L122" s="559"/>
      <c r="M122" s="559"/>
      <c r="N122" s="1152"/>
      <c r="O122" s="1152"/>
      <c r="P122" s="2681"/>
      <c r="Q122" s="558"/>
    </row>
    <row r="123" spans="1:17" ht="15" thickTop="1">
      <c r="A123" s="598"/>
      <c r="B123" s="537" t="s">
        <v>2609</v>
      </c>
      <c r="C123" s="2970" t="s">
        <v>3091</v>
      </c>
      <c r="D123" s="2970" t="s">
        <v>3092</v>
      </c>
      <c r="E123" s="2970" t="s">
        <v>3093</v>
      </c>
      <c r="F123" s="2971" t="s">
        <v>3094</v>
      </c>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1"/>
      <c r="O124" s="1151"/>
      <c r="P124" s="2680"/>
      <c r="Q124" s="503"/>
    </row>
    <row r="125" spans="1:17" ht="15" thickTop="1">
      <c r="A125" s="598"/>
      <c r="B125" s="537" t="s">
        <v>2610</v>
      </c>
      <c r="C125" s="577" t="s">
        <v>2586</v>
      </c>
      <c r="D125" s="577" t="s">
        <v>2587</v>
      </c>
      <c r="E125" s="577" t="s">
        <v>2588</v>
      </c>
      <c r="F125" s="577" t="s">
        <v>2589</v>
      </c>
      <c r="G125" s="577" t="s">
        <v>2590</v>
      </c>
      <c r="H125" s="538"/>
      <c r="I125" s="538"/>
      <c r="J125" s="538"/>
      <c r="K125" s="539"/>
      <c r="L125" s="540"/>
      <c r="M125" s="541"/>
      <c r="N125" s="1150"/>
      <c r="O125" s="1150"/>
      <c r="P125" s="2681"/>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7" priority="16" stopIfTrue="1" operator="containsText" text="超过">
      <formula>NOT(ISERROR(SEARCH("超过",F53)))</formula>
    </cfRule>
  </conditionalFormatting>
  <conditionalFormatting sqref="H55">
    <cfRule type="containsText" dxfId="146" priority="15" stopIfTrue="1" operator="containsText" text="超过">
      <formula>NOT(ISERROR(SEARCH("超过",H55)))</formula>
    </cfRule>
  </conditionalFormatting>
  <conditionalFormatting sqref="F55">
    <cfRule type="containsText" dxfId="145" priority="14" stopIfTrue="1" operator="containsText" text="超过">
      <formula>NOT(ISERROR(SEARCH("超过",F55)))</formula>
    </cfRule>
  </conditionalFormatting>
  <conditionalFormatting sqref="F54 H54">
    <cfRule type="containsText" dxfId="144" priority="13" stopIfTrue="1" operator="containsText" text="超过">
      <formula>NOT(ISERROR(SEARCH("超过",F54)))</formula>
    </cfRule>
  </conditionalFormatting>
  <conditionalFormatting sqref="E53">
    <cfRule type="expression" dxfId="143" priority="12" stopIfTrue="1">
      <formula>$F$53="超过30%"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5">
    <cfRule type="expression" dxfId="140" priority="9" stopIfTrue="1">
      <formula>$H$55="超过30%"</formula>
    </cfRule>
  </conditionalFormatting>
  <conditionalFormatting sqref="G53">
    <cfRule type="expression" dxfId="139" priority="8" stopIfTrue="1">
      <formula>$H$53="超过30%"</formula>
    </cfRule>
  </conditionalFormatting>
  <conditionalFormatting sqref="G54">
    <cfRule type="expression" dxfId="138" priority="7" stopIfTrue="1">
      <formula>$H$54="超过20%"</formula>
    </cfRule>
  </conditionalFormatting>
  <conditionalFormatting sqref="J53">
    <cfRule type="containsText" dxfId="137" priority="6" stopIfTrue="1" operator="containsText" text="超过">
      <formula>NOT(ISERROR(SEARCH("超过",J53)))</formula>
    </cfRule>
  </conditionalFormatting>
  <conditionalFormatting sqref="J55">
    <cfRule type="containsText" dxfId="136" priority="5" stopIfTrue="1" operator="containsText" text="超过">
      <formula>NOT(ISERROR(SEARCH("超过",J55)))</formula>
    </cfRule>
  </conditionalFormatting>
  <conditionalFormatting sqref="J54">
    <cfRule type="containsText" dxfId="135" priority="4" stopIfTrue="1" operator="containsText" text="超过">
      <formula>NOT(ISERROR(SEARCH("超过",J54)))</formula>
    </cfRule>
  </conditionalFormatting>
  <conditionalFormatting sqref="I53">
    <cfRule type="expression" dxfId="134" priority="3" stopIfTrue="1">
      <formula>$J$53="超过30%"</formula>
    </cfRule>
  </conditionalFormatting>
  <conditionalFormatting sqref="I54">
    <cfRule type="expression" dxfId="133" priority="2" stopIfTrue="1">
      <formula>$J$53+$J$54="超过20%"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665" t="s">
        <v>2691</v>
      </c>
      <c r="C1" s="1618" t="s">
        <v>2519</v>
      </c>
      <c r="D1" s="1619"/>
      <c r="E1" s="1628"/>
      <c r="F1" s="2582"/>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2316</v>
      </c>
      <c r="B2" s="1416" t="e">
        <f ca="1">IF(C2="——",ROUND(C43*D3/10000,0),ROUND(C43*D3/10000,0)-D2)</f>
        <v>#DIV/0!</v>
      </c>
      <c r="C2" s="2584"/>
      <c r="D2" s="1122" t="e">
        <f ca="1">SUMIF(INDIRECT("'"&amp;F2&amp;"'"&amp;"!A:A"),"承租人权益价值",INDIRECT("'"&amp;F2&amp;"'"&amp;"!c:c"))</f>
        <v>#REF!</v>
      </c>
      <c r="E2" s="2585" t="s">
        <v>2317</v>
      </c>
      <c r="F2" s="2586"/>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2318</v>
      </c>
      <c r="B3" s="608" t="e">
        <f ca="1">IF(C2="——",C43,ROUND(B2*10000/D3,0))</f>
        <v>#DIV/0!</v>
      </c>
      <c r="C3" s="399" t="s">
        <v>2633</v>
      </c>
      <c r="D3" s="398">
        <f>IF(D1="",'数据-汇总表'!E3,SUMIF('数据-汇总表'!$C19:$C33,D1,'数据-汇总表'!$E19:$E33))</f>
        <v>304.45</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2634</v>
      </c>
      <c r="B4" s="401"/>
      <c r="C4" s="3255" t="s">
        <v>2635</v>
      </c>
      <c r="D4" s="3256"/>
      <c r="E4" s="3257" t="s">
        <v>2636</v>
      </c>
      <c r="F4" s="3258"/>
      <c r="G4" s="3255" t="s">
        <v>2637</v>
      </c>
      <c r="H4" s="3256"/>
      <c r="I4" s="3255" t="s">
        <v>2638</v>
      </c>
      <c r="J4" s="3256"/>
      <c r="K4" s="609" t="s">
        <v>2639</v>
      </c>
      <c r="L4" s="1128"/>
      <c r="M4" s="1129"/>
      <c r="N4" s="1129"/>
      <c r="O4" s="1129"/>
      <c r="P4" s="3259" t="s">
        <v>2640</v>
      </c>
      <c r="Q4" s="3260"/>
      <c r="R4" s="3265" t="s">
        <v>2636</v>
      </c>
      <c r="S4" s="3266"/>
      <c r="T4" s="3265" t="s">
        <v>2637</v>
      </c>
      <c r="U4" s="3266"/>
      <c r="V4" s="3250" t="s">
        <v>2638</v>
      </c>
      <c r="W4" s="3250"/>
      <c r="X4" s="1811"/>
      <c r="Y4" s="3265" t="s">
        <v>2640</v>
      </c>
      <c r="Z4" s="3266"/>
      <c r="AA4" s="3252" t="s">
        <v>2636</v>
      </c>
      <c r="AB4" s="3253" t="s">
        <v>2637</v>
      </c>
      <c r="AC4" s="3252" t="s">
        <v>2638</v>
      </c>
    </row>
    <row r="5" spans="1:29" ht="15">
      <c r="A5" s="403"/>
      <c r="B5" s="404"/>
      <c r="C5" s="3273" t="s">
        <v>2531</v>
      </c>
      <c r="D5" s="3274"/>
      <c r="E5" s="3280" t="s">
        <v>2532</v>
      </c>
      <c r="F5" s="3281"/>
      <c r="G5" s="3273" t="s">
        <v>2533</v>
      </c>
      <c r="H5" s="3274"/>
      <c r="I5" s="3273" t="s">
        <v>2534</v>
      </c>
      <c r="J5" s="3274"/>
      <c r="K5" s="609"/>
      <c r="L5" s="1128"/>
      <c r="M5" s="1129"/>
      <c r="N5" s="1129"/>
      <c r="O5" s="1129"/>
      <c r="P5" s="3261"/>
      <c r="Q5" s="3262"/>
      <c r="R5" s="3267"/>
      <c r="S5" s="3268"/>
      <c r="T5" s="3267"/>
      <c r="U5" s="3268"/>
      <c r="V5" s="3250"/>
      <c r="W5" s="3250"/>
      <c r="X5" s="1811"/>
      <c r="Y5" s="3267"/>
      <c r="Z5" s="3268"/>
      <c r="AA5" s="3253"/>
      <c r="AB5" s="3253"/>
      <c r="AC5" s="3253"/>
    </row>
    <row r="6" spans="1:29" ht="15.75" thickBot="1">
      <c r="A6" s="405"/>
      <c r="B6" s="406"/>
      <c r="C6" s="3271" t="s">
        <v>2535</v>
      </c>
      <c r="D6" s="3272"/>
      <c r="E6" s="3278" t="s">
        <v>2535</v>
      </c>
      <c r="F6" s="3279"/>
      <c r="G6" s="3271" t="s">
        <v>2535</v>
      </c>
      <c r="H6" s="3272"/>
      <c r="I6" s="3271" t="s">
        <v>2535</v>
      </c>
      <c r="J6" s="3272"/>
      <c r="K6" s="609" t="s">
        <v>2536</v>
      </c>
      <c r="L6" s="1128"/>
      <c r="M6" s="1129"/>
      <c r="N6" s="1129"/>
      <c r="O6" s="1129"/>
      <c r="P6" s="3263"/>
      <c r="Q6" s="3264"/>
      <c r="R6" s="3267"/>
      <c r="S6" s="3268"/>
      <c r="T6" s="3269"/>
      <c r="U6" s="3270"/>
      <c r="V6" s="3250"/>
      <c r="W6" s="3250"/>
      <c r="X6" s="1811"/>
      <c r="Y6" s="3269"/>
      <c r="Z6" s="3270"/>
      <c r="AA6" s="3254"/>
      <c r="AB6" s="3254"/>
      <c r="AC6" s="3254"/>
    </row>
    <row r="7" spans="1:29" s="116" customFormat="1" ht="15.75" thickBot="1">
      <c r="A7" s="407" t="s">
        <v>2537</v>
      </c>
      <c r="B7" s="408"/>
      <c r="C7" s="409">
        <f>'数据-取费表'!B2</f>
        <v>43658</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75" t="s">
        <v>2538</v>
      </c>
      <c r="Q7" s="3277"/>
      <c r="R7" s="768" t="s">
        <v>17</v>
      </c>
      <c r="S7" s="769">
        <f t="shared" ref="S7:S15" si="0">F7</f>
        <v>0</v>
      </c>
      <c r="T7" s="768" t="s">
        <v>17</v>
      </c>
      <c r="U7" s="769">
        <f t="shared" ref="U7:U15" si="1">H7</f>
        <v>0</v>
      </c>
      <c r="V7" s="768" t="s">
        <v>17</v>
      </c>
      <c r="W7" s="769">
        <f t="shared" ref="W7:W15" si="2">J7</f>
        <v>0</v>
      </c>
      <c r="X7" s="770"/>
      <c r="Y7" s="3275" t="s">
        <v>2538</v>
      </c>
      <c r="Z7" s="3276"/>
      <c r="AA7" s="771" t="e">
        <f>D7/F7</f>
        <v>#DIV/0!</v>
      </c>
      <c r="AB7" s="771" t="e">
        <f>D7/H7</f>
        <v>#DIV/0!</v>
      </c>
      <c r="AC7" s="771" t="e">
        <f>D7/J7</f>
        <v>#DIV/0!</v>
      </c>
    </row>
    <row r="8" spans="1:29" s="116" customFormat="1" ht="15.75" thickBot="1">
      <c r="A8" s="407" t="s">
        <v>2539</v>
      </c>
      <c r="B8" s="408"/>
      <c r="C8" s="413" t="s">
        <v>2540</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75" t="s">
        <v>2541</v>
      </c>
      <c r="Q8" s="3276"/>
      <c r="R8" s="768" t="s">
        <v>17</v>
      </c>
      <c r="S8" s="769">
        <f t="shared" si="0"/>
        <v>0</v>
      </c>
      <c r="T8" s="768" t="s">
        <v>17</v>
      </c>
      <c r="U8" s="769">
        <f t="shared" si="1"/>
        <v>0</v>
      </c>
      <c r="V8" s="768" t="s">
        <v>17</v>
      </c>
      <c r="W8" s="769">
        <f t="shared" si="2"/>
        <v>0</v>
      </c>
      <c r="X8" s="770"/>
      <c r="Y8" s="3275" t="s">
        <v>2541</v>
      </c>
      <c r="Z8" s="3276"/>
      <c r="AA8" s="771" t="e">
        <f t="shared" ref="AA8:AA40" si="3">D8/F8</f>
        <v>#DIV/0!</v>
      </c>
      <c r="AB8" s="771" t="e">
        <f t="shared" ref="AB8:AB40" si="4">D8/H8</f>
        <v>#DIV/0!</v>
      </c>
      <c r="AC8" s="771" t="e">
        <f t="shared" ref="AC8:AC40" si="5">D8/J8</f>
        <v>#DIV/0!</v>
      </c>
    </row>
    <row r="9" spans="1:29" s="116" customFormat="1">
      <c r="A9" s="414" t="s">
        <v>2542</v>
      </c>
      <c r="B9" s="70" t="s">
        <v>2543</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36" t="s">
        <v>2544</v>
      </c>
      <c r="Q9" s="1793" t="str">
        <f t="shared" ref="Q9:Q15" si="6">B9</f>
        <v>用途</v>
      </c>
      <c r="R9" s="768" t="s">
        <v>17</v>
      </c>
      <c r="S9" s="769">
        <f t="shared" si="0"/>
        <v>100</v>
      </c>
      <c r="T9" s="768" t="s">
        <v>17</v>
      </c>
      <c r="U9" s="769">
        <f t="shared" si="1"/>
        <v>100</v>
      </c>
      <c r="V9" s="768" t="s">
        <v>17</v>
      </c>
      <c r="W9" s="769">
        <f t="shared" si="2"/>
        <v>100</v>
      </c>
      <c r="X9" s="770"/>
      <c r="Y9" s="3067" t="s">
        <v>2545</v>
      </c>
      <c r="Z9" s="54" t="str">
        <f t="shared" ref="Z9:Z15" si="7">Q9</f>
        <v>用途</v>
      </c>
      <c r="AA9" s="771">
        <f t="shared" si="3"/>
        <v>1</v>
      </c>
      <c r="AB9" s="771">
        <f t="shared" si="4"/>
        <v>1</v>
      </c>
      <c r="AC9" s="771">
        <f t="shared" si="5"/>
        <v>1</v>
      </c>
    </row>
    <row r="10" spans="1:29" s="426" customFormat="1" ht="27">
      <c r="A10" s="420"/>
      <c r="B10" s="421" t="s">
        <v>2546</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36"/>
      <c r="Q10" s="1793" t="str">
        <f t="shared" si="6"/>
        <v>土地使用年限（年）</v>
      </c>
      <c r="R10" s="768" t="s">
        <v>17</v>
      </c>
      <c r="S10" s="769">
        <f t="shared" si="0"/>
        <v>100</v>
      </c>
      <c r="T10" s="768" t="s">
        <v>17</v>
      </c>
      <c r="U10" s="769">
        <f t="shared" si="1"/>
        <v>100</v>
      </c>
      <c r="V10" s="768" t="s">
        <v>17</v>
      </c>
      <c r="W10" s="769">
        <f t="shared" si="2"/>
        <v>100</v>
      </c>
      <c r="X10" s="770"/>
      <c r="Y10" s="3067"/>
      <c r="Z10" s="54" t="str">
        <f t="shared" si="7"/>
        <v>土地使用年限（年）</v>
      </c>
      <c r="AA10" s="771">
        <f t="shared" si="3"/>
        <v>1</v>
      </c>
      <c r="AB10" s="771">
        <f t="shared" si="4"/>
        <v>1</v>
      </c>
      <c r="AC10" s="771">
        <f t="shared" si="5"/>
        <v>1</v>
      </c>
    </row>
    <row r="11" spans="1:29" ht="15">
      <c r="A11" s="427"/>
      <c r="B11" s="421" t="s">
        <v>2547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36"/>
      <c r="Q11" s="1793" t="str">
        <f t="shared" si="6"/>
        <v>容积率</v>
      </c>
      <c r="R11" s="768" t="s">
        <v>17</v>
      </c>
      <c r="S11" s="769" t="e">
        <f t="shared" si="0"/>
        <v>#N/A</v>
      </c>
      <c r="T11" s="768" t="s">
        <v>17</v>
      </c>
      <c r="U11" s="769" t="e">
        <f t="shared" si="1"/>
        <v>#N/A</v>
      </c>
      <c r="V11" s="768" t="s">
        <v>17</v>
      </c>
      <c r="W11" s="769" t="e">
        <f t="shared" si="2"/>
        <v>#N/A</v>
      </c>
      <c r="X11" s="770"/>
      <c r="Y11" s="3067"/>
      <c r="Z11" s="54" t="str">
        <f t="shared" si="7"/>
        <v>容积率</v>
      </c>
      <c r="AA11" s="771" t="e">
        <f t="shared" si="3"/>
        <v>#N/A</v>
      </c>
      <c r="AB11" s="771" t="e">
        <f t="shared" si="4"/>
        <v>#N/A</v>
      </c>
      <c r="AC11" s="771" t="e">
        <f t="shared" si="5"/>
        <v>#N/A</v>
      </c>
    </row>
    <row r="12" spans="1:29" s="116" customFormat="1" ht="15">
      <c r="A12" s="430"/>
      <c r="B12" s="2598">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236"/>
      <c r="Q12" s="1793">
        <f t="shared" si="6"/>
        <v>111</v>
      </c>
      <c r="R12" s="768" t="s">
        <v>17</v>
      </c>
      <c r="S12" s="769">
        <f t="shared" si="0"/>
        <v>100</v>
      </c>
      <c r="T12" s="768" t="s">
        <v>17</v>
      </c>
      <c r="U12" s="769">
        <f t="shared" si="1"/>
        <v>100</v>
      </c>
      <c r="V12" s="768" t="s">
        <v>17</v>
      </c>
      <c r="W12" s="769">
        <f t="shared" si="2"/>
        <v>100</v>
      </c>
      <c r="X12" s="770"/>
      <c r="Y12" s="3067"/>
      <c r="Z12" s="54">
        <f t="shared" si="7"/>
        <v>111</v>
      </c>
      <c r="AA12" s="771">
        <f>D12/F12</f>
        <v>1</v>
      </c>
      <c r="AB12" s="771">
        <f>D12/H12</f>
        <v>1</v>
      </c>
      <c r="AC12" s="771">
        <f>D12/J12</f>
        <v>1</v>
      </c>
    </row>
    <row r="13" spans="1:29" ht="15">
      <c r="A13" s="427"/>
      <c r="B13" s="2598">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236"/>
      <c r="Q13" s="1793">
        <f t="shared" si="6"/>
        <v>111</v>
      </c>
      <c r="R13" s="768" t="s">
        <v>17</v>
      </c>
      <c r="S13" s="769">
        <f t="shared" si="0"/>
        <v>100</v>
      </c>
      <c r="T13" s="768" t="s">
        <v>17</v>
      </c>
      <c r="U13" s="769">
        <f t="shared" si="1"/>
        <v>100</v>
      </c>
      <c r="V13" s="768" t="s">
        <v>17</v>
      </c>
      <c r="W13" s="769">
        <f t="shared" si="2"/>
        <v>100</v>
      </c>
      <c r="X13" s="770"/>
      <c r="Y13" s="3067"/>
      <c r="Z13" s="54">
        <f t="shared" si="7"/>
        <v>111</v>
      </c>
      <c r="AA13" s="771">
        <f t="shared" si="3"/>
        <v>1</v>
      </c>
      <c r="AB13" s="771">
        <f t="shared" si="4"/>
        <v>1</v>
      </c>
      <c r="AC13" s="771">
        <f t="shared" si="5"/>
        <v>1</v>
      </c>
    </row>
    <row r="14" spans="1:29" ht="15.75" thickBot="1">
      <c r="A14" s="435"/>
      <c r="B14" s="2600">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236"/>
      <c r="Q14" s="1793">
        <f t="shared" si="6"/>
        <v>111</v>
      </c>
      <c r="R14" s="768" t="s">
        <v>17</v>
      </c>
      <c r="S14" s="769">
        <f t="shared" si="0"/>
        <v>100</v>
      </c>
      <c r="T14" s="768" t="s">
        <v>17</v>
      </c>
      <c r="U14" s="769">
        <f t="shared" si="1"/>
        <v>100</v>
      </c>
      <c r="V14" s="768" t="s">
        <v>17</v>
      </c>
      <c r="W14" s="769">
        <f t="shared" si="2"/>
        <v>100</v>
      </c>
      <c r="X14" s="770"/>
      <c r="Y14" s="3067"/>
      <c r="Z14" s="54">
        <f t="shared" si="7"/>
        <v>111</v>
      </c>
      <c r="AA14" s="771">
        <f t="shared" si="3"/>
        <v>1</v>
      </c>
      <c r="AB14" s="771">
        <f t="shared" si="4"/>
        <v>1</v>
      </c>
      <c r="AC14" s="771">
        <f t="shared" si="5"/>
        <v>1</v>
      </c>
    </row>
    <row r="15" spans="1:29" ht="57">
      <c r="A15" s="439" t="s">
        <v>2548</v>
      </c>
      <c r="B15" s="68" t="s">
        <v>2692</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43" t="s">
        <v>2549</v>
      </c>
      <c r="Q15" s="1808" t="str">
        <f t="shared" si="6"/>
        <v>产业集聚程度</v>
      </c>
      <c r="R15" s="772" t="s">
        <v>17</v>
      </c>
      <c r="S15" s="773">
        <f t="shared" si="0"/>
        <v>100</v>
      </c>
      <c r="T15" s="772" t="s">
        <v>17</v>
      </c>
      <c r="U15" s="773">
        <f t="shared" si="1"/>
        <v>100</v>
      </c>
      <c r="V15" s="772" t="s">
        <v>17</v>
      </c>
      <c r="W15" s="773">
        <f t="shared" si="2"/>
        <v>100</v>
      </c>
      <c r="X15" s="1811"/>
      <c r="Y15" s="3243" t="s">
        <v>2549</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44"/>
      <c r="Q16" s="1808"/>
      <c r="R16" s="772"/>
      <c r="S16" s="773"/>
      <c r="T16" s="772"/>
      <c r="U16" s="773"/>
      <c r="V16" s="772"/>
      <c r="W16" s="773"/>
      <c r="X16" s="1811"/>
      <c r="Y16" s="3244"/>
      <c r="Z16" s="1812"/>
      <c r="AA16" s="1809">
        <v>1</v>
      </c>
      <c r="AB16" s="1809">
        <v>1</v>
      </c>
      <c r="AC16" s="1809">
        <v>1</v>
      </c>
    </row>
    <row r="17" spans="1:29" ht="85.5">
      <c r="A17" s="427"/>
      <c r="B17" s="450" t="s">
        <v>2086</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44"/>
      <c r="Q17" s="1808" t="str">
        <f>B17</f>
        <v>交通便捷度</v>
      </c>
      <c r="R17" s="772" t="s">
        <v>17</v>
      </c>
      <c r="S17" s="773">
        <f>F17</f>
        <v>100</v>
      </c>
      <c r="T17" s="772" t="s">
        <v>17</v>
      </c>
      <c r="U17" s="773">
        <f>H17</f>
        <v>100</v>
      </c>
      <c r="V17" s="772" t="s">
        <v>17</v>
      </c>
      <c r="W17" s="773">
        <f>J17</f>
        <v>100</v>
      </c>
      <c r="X17" s="1811"/>
      <c r="Y17" s="3244"/>
      <c r="Z17" s="1812" t="str">
        <f>Q17</f>
        <v>交通便捷度</v>
      </c>
      <c r="AA17" s="1809">
        <f t="shared" si="3"/>
        <v>1</v>
      </c>
      <c r="AB17" s="1809">
        <f t="shared" si="4"/>
        <v>1</v>
      </c>
      <c r="AC17" s="1809">
        <f t="shared" si="5"/>
        <v>1</v>
      </c>
    </row>
    <row r="18" spans="1:29" ht="15">
      <c r="A18" s="427"/>
      <c r="B18" s="455"/>
      <c r="C18" s="2606"/>
      <c r="D18" s="449"/>
      <c r="E18" s="2608"/>
      <c r="F18" s="452"/>
      <c r="G18" s="2607"/>
      <c r="H18" s="447"/>
      <c r="I18" s="2608"/>
      <c r="J18" s="447"/>
      <c r="K18" s="614"/>
      <c r="L18" s="1138"/>
      <c r="M18" s="1129"/>
      <c r="N18" s="1129"/>
      <c r="O18" s="1137"/>
      <c r="P18" s="3244"/>
      <c r="Q18" s="1808"/>
      <c r="R18" s="772"/>
      <c r="S18" s="773"/>
      <c r="T18" s="772"/>
      <c r="U18" s="773"/>
      <c r="V18" s="772"/>
      <c r="W18" s="773"/>
      <c r="X18" s="1811"/>
      <c r="Y18" s="3244"/>
      <c r="Z18" s="1812"/>
      <c r="AA18" s="1809">
        <v>1</v>
      </c>
      <c r="AB18" s="1809">
        <v>1</v>
      </c>
      <c r="AC18" s="1809">
        <v>1</v>
      </c>
    </row>
    <row r="19" spans="1:29" ht="42.75">
      <c r="A19" s="427"/>
      <c r="B19" s="450" t="s">
        <v>2677</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44"/>
      <c r="Q19" s="1808" t="str">
        <f>B19</f>
        <v>公共配套设施</v>
      </c>
      <c r="R19" s="772" t="s">
        <v>17</v>
      </c>
      <c r="S19" s="773">
        <f>F19</f>
        <v>100</v>
      </c>
      <c r="T19" s="772" t="s">
        <v>17</v>
      </c>
      <c r="U19" s="773">
        <f>H19</f>
        <v>100</v>
      </c>
      <c r="V19" s="772" t="s">
        <v>17</v>
      </c>
      <c r="W19" s="773">
        <f>J19</f>
        <v>100</v>
      </c>
      <c r="X19" s="1811"/>
      <c r="Y19" s="3244"/>
      <c r="Z19" s="1812" t="str">
        <f>Q19</f>
        <v>公共配套设施</v>
      </c>
      <c r="AA19" s="1809">
        <f t="shared" si="3"/>
        <v>1</v>
      </c>
      <c r="AB19" s="1809">
        <f t="shared" si="4"/>
        <v>1</v>
      </c>
      <c r="AC19" s="1809">
        <f t="shared" si="5"/>
        <v>1</v>
      </c>
    </row>
    <row r="20" spans="1:29" ht="15">
      <c r="A20" s="427"/>
      <c r="B20" s="455"/>
      <c r="C20" s="446"/>
      <c r="D20" s="447"/>
      <c r="E20" s="2603"/>
      <c r="F20" s="448"/>
      <c r="G20" s="2602"/>
      <c r="H20" s="447"/>
      <c r="I20" s="2603"/>
      <c r="J20" s="447"/>
      <c r="K20" s="614"/>
      <c r="L20" s="1138"/>
      <c r="M20" s="1129"/>
      <c r="N20" s="1129"/>
      <c r="O20" s="1137"/>
      <c r="P20" s="3244"/>
      <c r="Q20" s="1808"/>
      <c r="R20" s="772"/>
      <c r="S20" s="773"/>
      <c r="T20" s="772"/>
      <c r="U20" s="773"/>
      <c r="V20" s="772"/>
      <c r="W20" s="773"/>
      <c r="X20" s="1811"/>
      <c r="Y20" s="3244"/>
      <c r="Z20" s="1812"/>
      <c r="AA20" s="1809">
        <v>1</v>
      </c>
      <c r="AB20" s="1809">
        <v>1</v>
      </c>
      <c r="AC20" s="1809">
        <v>1</v>
      </c>
    </row>
    <row r="21" spans="1:29" ht="28.5">
      <c r="A21" s="427"/>
      <c r="B21" s="1382" t="s">
        <v>2678</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44"/>
      <c r="Q21" s="1808" t="str">
        <f>B21</f>
        <v>基础设施水平</v>
      </c>
      <c r="R21" s="772" t="s">
        <v>17</v>
      </c>
      <c r="S21" s="773">
        <f>F21</f>
        <v>100</v>
      </c>
      <c r="T21" s="772" t="s">
        <v>17</v>
      </c>
      <c r="U21" s="773">
        <f>H21</f>
        <v>100</v>
      </c>
      <c r="V21" s="772" t="s">
        <v>17</v>
      </c>
      <c r="W21" s="773">
        <f>J21</f>
        <v>100</v>
      </c>
      <c r="X21" s="1811"/>
      <c r="Y21" s="3244"/>
      <c r="Z21" s="1812" t="str">
        <f>Q21</f>
        <v>基础设施水平</v>
      </c>
      <c r="AA21" s="1809">
        <f t="shared" ref="AA21" si="8">D21/F21</f>
        <v>1</v>
      </c>
      <c r="AB21" s="1809">
        <f t="shared" ref="AB21" si="9">D21/H21</f>
        <v>1</v>
      </c>
      <c r="AC21" s="1809">
        <f t="shared" ref="AC21" si="10">D21/J21</f>
        <v>1</v>
      </c>
    </row>
    <row r="22" spans="1:29" ht="15">
      <c r="A22" s="427"/>
      <c r="B22" s="1382"/>
      <c r="C22" s="2606"/>
      <c r="D22" s="447"/>
      <c r="E22" s="446"/>
      <c r="F22" s="448"/>
      <c r="G22" s="446"/>
      <c r="H22" s="447"/>
      <c r="I22" s="446"/>
      <c r="J22" s="447"/>
      <c r="K22" s="1381"/>
      <c r="L22" s="1138"/>
      <c r="M22" s="1129"/>
      <c r="N22" s="1129"/>
      <c r="O22" s="1137"/>
      <c r="P22" s="3244"/>
      <c r="Q22" s="1808"/>
      <c r="R22" s="772"/>
      <c r="S22" s="773"/>
      <c r="T22" s="772"/>
      <c r="U22" s="773"/>
      <c r="V22" s="772"/>
      <c r="W22" s="773"/>
      <c r="X22" s="1811"/>
      <c r="Y22" s="3244"/>
      <c r="Z22" s="1812"/>
      <c r="AA22" s="1809">
        <v>1</v>
      </c>
      <c r="AB22" s="1809">
        <v>1</v>
      </c>
      <c r="AC22" s="1809">
        <v>1</v>
      </c>
    </row>
    <row r="23" spans="1:29" ht="71.25">
      <c r="A23" s="427"/>
      <c r="B23" s="450" t="s">
        <v>2679</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44"/>
      <c r="Q23" s="1808" t="str">
        <f>B23</f>
        <v>环境质量</v>
      </c>
      <c r="R23" s="772" t="s">
        <v>17</v>
      </c>
      <c r="S23" s="773">
        <f>F23</f>
        <v>100</v>
      </c>
      <c r="T23" s="772" t="s">
        <v>17</v>
      </c>
      <c r="U23" s="773">
        <f>H23</f>
        <v>100</v>
      </c>
      <c r="V23" s="772" t="s">
        <v>17</v>
      </c>
      <c r="W23" s="773">
        <f>J23</f>
        <v>100</v>
      </c>
      <c r="X23" s="1811"/>
      <c r="Y23" s="3244"/>
      <c r="Z23" s="1812" t="str">
        <f>Q23</f>
        <v>环境质量</v>
      </c>
      <c r="AA23" s="1809">
        <f t="shared" si="3"/>
        <v>1</v>
      </c>
      <c r="AB23" s="1809">
        <f t="shared" si="4"/>
        <v>1</v>
      </c>
      <c r="AC23" s="1809">
        <f t="shared" si="5"/>
        <v>1</v>
      </c>
    </row>
    <row r="24" spans="1:29" ht="15">
      <c r="A24" s="427"/>
      <c r="B24" s="1382"/>
      <c r="C24" s="446"/>
      <c r="D24" s="447"/>
      <c r="E24" s="2603"/>
      <c r="F24" s="448"/>
      <c r="G24" s="2602"/>
      <c r="H24" s="447"/>
      <c r="I24" s="2603"/>
      <c r="J24" s="447"/>
      <c r="K24" s="614"/>
      <c r="L24" s="1138"/>
      <c r="M24" s="1129"/>
      <c r="N24" s="1129"/>
      <c r="O24" s="1137"/>
      <c r="P24" s="3244"/>
      <c r="Q24" s="1808"/>
      <c r="R24" s="772"/>
      <c r="S24" s="773"/>
      <c r="T24" s="772"/>
      <c r="U24" s="773"/>
      <c r="V24" s="772"/>
      <c r="W24" s="773"/>
      <c r="X24" s="1811"/>
      <c r="Y24" s="3244"/>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44"/>
      <c r="Q25" s="1808">
        <f>B25</f>
        <v>111</v>
      </c>
      <c r="R25" s="772" t="s">
        <v>17</v>
      </c>
      <c r="S25" s="773">
        <f>F25</f>
        <v>100</v>
      </c>
      <c r="T25" s="772" t="s">
        <v>17</v>
      </c>
      <c r="U25" s="773">
        <f>H25</f>
        <v>100</v>
      </c>
      <c r="V25" s="772" t="s">
        <v>17</v>
      </c>
      <c r="W25" s="773">
        <f>J25</f>
        <v>100</v>
      </c>
      <c r="X25" s="1811"/>
      <c r="Y25" s="3244"/>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44"/>
      <c r="Q26" s="1808">
        <f t="shared" ref="Q26:Q40" si="11">B26</f>
        <v>111</v>
      </c>
      <c r="R26" s="772" t="s">
        <v>17</v>
      </c>
      <c r="S26" s="773">
        <f>F26</f>
        <v>100</v>
      </c>
      <c r="T26" s="772" t="s">
        <v>17</v>
      </c>
      <c r="U26" s="773">
        <f>H26</f>
        <v>100</v>
      </c>
      <c r="V26" s="772" t="s">
        <v>17</v>
      </c>
      <c r="W26" s="773">
        <f>J26</f>
        <v>100</v>
      </c>
      <c r="X26" s="1811"/>
      <c r="Y26" s="3244"/>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44"/>
      <c r="Q27" s="1793">
        <f t="shared" si="11"/>
        <v>111</v>
      </c>
      <c r="R27" s="768" t="s">
        <v>17</v>
      </c>
      <c r="S27" s="769">
        <f>F27</f>
        <v>100</v>
      </c>
      <c r="T27" s="768" t="s">
        <v>17</v>
      </c>
      <c r="U27" s="769">
        <f>H27</f>
        <v>100</v>
      </c>
      <c r="V27" s="768" t="s">
        <v>17</v>
      </c>
      <c r="W27" s="769">
        <f>J27</f>
        <v>100</v>
      </c>
      <c r="X27" s="770"/>
      <c r="Y27" s="3244"/>
      <c r="Z27" s="54">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44"/>
      <c r="Q28" s="1808">
        <f t="shared" si="11"/>
        <v>111</v>
      </c>
      <c r="R28" s="772" t="s">
        <v>17</v>
      </c>
      <c r="S28" s="773">
        <f t="shared" ref="S28:S40" si="12">F28</f>
        <v>100</v>
      </c>
      <c r="T28" s="772" t="s">
        <v>17</v>
      </c>
      <c r="U28" s="773">
        <f t="shared" ref="U28:U40" si="13">H28</f>
        <v>100</v>
      </c>
      <c r="V28" s="772" t="s">
        <v>17</v>
      </c>
      <c r="W28" s="773">
        <f t="shared" ref="W28:W40" si="14">J28</f>
        <v>100</v>
      </c>
      <c r="X28" s="1811"/>
      <c r="Y28" s="3244"/>
      <c r="Z28" s="1812">
        <f t="shared" ref="Z28:Z40" si="15">Q28</f>
        <v>111</v>
      </c>
      <c r="AA28" s="1809">
        <f t="shared" si="3"/>
        <v>1</v>
      </c>
      <c r="AB28" s="1809">
        <f t="shared" si="4"/>
        <v>1</v>
      </c>
      <c r="AC28" s="1809">
        <f t="shared" si="5"/>
        <v>1</v>
      </c>
    </row>
    <row r="29" spans="1:29" ht="28.5">
      <c r="A29" s="465" t="s">
        <v>2552</v>
      </c>
      <c r="B29" s="70" t="s">
        <v>2682</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298" t="s">
        <v>2554</v>
      </c>
      <c r="Q29" s="1808" t="str">
        <f t="shared" si="11"/>
        <v>建筑类型</v>
      </c>
      <c r="R29" s="772" t="s">
        <v>17</v>
      </c>
      <c r="S29" s="773">
        <f t="shared" si="12"/>
        <v>100</v>
      </c>
      <c r="T29" s="772" t="s">
        <v>17</v>
      </c>
      <c r="U29" s="773">
        <f t="shared" si="13"/>
        <v>100</v>
      </c>
      <c r="V29" s="772" t="s">
        <v>17</v>
      </c>
      <c r="W29" s="773">
        <f t="shared" si="14"/>
        <v>100</v>
      </c>
      <c r="X29" s="1811"/>
      <c r="Y29" s="3248" t="s">
        <v>2554</v>
      </c>
      <c r="Z29" s="1812" t="str">
        <f t="shared" si="15"/>
        <v>建筑类型</v>
      </c>
      <c r="AA29" s="1809">
        <f t="shared" si="3"/>
        <v>1</v>
      </c>
      <c r="AB29" s="1809">
        <f t="shared" si="4"/>
        <v>1</v>
      </c>
      <c r="AC29" s="1809">
        <f t="shared" si="5"/>
        <v>1</v>
      </c>
    </row>
    <row r="30" spans="1:29" s="470" customFormat="1" ht="15">
      <c r="A30" s="467"/>
      <c r="B30" s="421" t="s">
        <v>2555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48"/>
      <c r="Q30" s="774" t="str">
        <f t="shared" si="11"/>
        <v>项目建筑规模</v>
      </c>
      <c r="R30" s="775" t="s">
        <v>17</v>
      </c>
      <c r="S30" s="776" t="e">
        <f t="shared" si="12"/>
        <v>#N/A</v>
      </c>
      <c r="T30" s="775" t="s">
        <v>17</v>
      </c>
      <c r="U30" s="776" t="e">
        <f t="shared" si="13"/>
        <v>#N/A</v>
      </c>
      <c r="V30" s="775" t="s">
        <v>17</v>
      </c>
      <c r="W30" s="776" t="e">
        <f t="shared" si="14"/>
        <v>#N/A</v>
      </c>
      <c r="X30" s="777"/>
      <c r="Y30" s="3248"/>
      <c r="Z30" s="778" t="str">
        <f t="shared" si="15"/>
        <v>项目建筑规模</v>
      </c>
      <c r="AA30" s="1809" t="e">
        <f t="shared" si="3"/>
        <v>#N/A</v>
      </c>
      <c r="AB30" s="1809" t="e">
        <f t="shared" si="4"/>
        <v>#N/A</v>
      </c>
      <c r="AC30" s="1809" t="e">
        <f t="shared" si="5"/>
        <v>#N/A</v>
      </c>
    </row>
    <row r="31" spans="1:29" ht="15">
      <c r="A31" s="471"/>
      <c r="B31" s="421" t="s">
        <v>2556</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48"/>
      <c r="Q31" s="1808" t="str">
        <f t="shared" si="11"/>
        <v>建筑结构</v>
      </c>
      <c r="R31" s="772" t="s">
        <v>17</v>
      </c>
      <c r="S31" s="773">
        <f t="shared" si="12"/>
        <v>100</v>
      </c>
      <c r="T31" s="772" t="s">
        <v>17</v>
      </c>
      <c r="U31" s="773">
        <f t="shared" si="13"/>
        <v>100</v>
      </c>
      <c r="V31" s="772" t="s">
        <v>17</v>
      </c>
      <c r="W31" s="773">
        <f t="shared" si="14"/>
        <v>100</v>
      </c>
      <c r="X31" s="1811"/>
      <c r="Y31" s="3248"/>
      <c r="Z31" s="1812" t="str">
        <f t="shared" si="15"/>
        <v>建筑结构</v>
      </c>
      <c r="AA31" s="1809">
        <f t="shared" si="3"/>
        <v>1</v>
      </c>
      <c r="AB31" s="1809">
        <f t="shared" si="4"/>
        <v>1</v>
      </c>
      <c r="AC31" s="1809">
        <f t="shared" si="5"/>
        <v>1</v>
      </c>
    </row>
    <row r="32" spans="1:29" ht="15">
      <c r="A32" s="471"/>
      <c r="B32" s="421" t="s">
        <v>2650</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48"/>
      <c r="Q32" s="1808" t="str">
        <f t="shared" si="11"/>
        <v>公共部分装修</v>
      </c>
      <c r="R32" s="772" t="s">
        <v>17</v>
      </c>
      <c r="S32" s="773">
        <f t="shared" si="12"/>
        <v>100</v>
      </c>
      <c r="T32" s="772" t="s">
        <v>17</v>
      </c>
      <c r="U32" s="773">
        <f t="shared" si="13"/>
        <v>100</v>
      </c>
      <c r="V32" s="772" t="s">
        <v>17</v>
      </c>
      <c r="W32" s="773">
        <f t="shared" si="14"/>
        <v>100</v>
      </c>
      <c r="X32" s="1811"/>
      <c r="Y32" s="3248"/>
      <c r="Z32" s="1812" t="str">
        <f t="shared" si="15"/>
        <v>公共部分装修</v>
      </c>
      <c r="AA32" s="1809">
        <f t="shared" si="3"/>
        <v>1</v>
      </c>
      <c r="AB32" s="1809">
        <f t="shared" si="4"/>
        <v>1</v>
      </c>
      <c r="AC32" s="1809">
        <f t="shared" si="5"/>
        <v>1</v>
      </c>
    </row>
    <row r="33" spans="1:29" ht="15">
      <c r="A33" s="471"/>
      <c r="B33" s="421" t="s">
        <v>2651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48"/>
      <c r="Q33" s="1808" t="str">
        <f t="shared" si="11"/>
        <v>成新度</v>
      </c>
      <c r="R33" s="772" t="s">
        <v>17</v>
      </c>
      <c r="S33" s="773" t="e">
        <f t="shared" si="12"/>
        <v>#N/A</v>
      </c>
      <c r="T33" s="772" t="s">
        <v>17</v>
      </c>
      <c r="U33" s="773" t="e">
        <f t="shared" si="13"/>
        <v>#N/A</v>
      </c>
      <c r="V33" s="772" t="s">
        <v>17</v>
      </c>
      <c r="W33" s="773" t="e">
        <f t="shared" si="14"/>
        <v>#N/A</v>
      </c>
      <c r="X33" s="1811"/>
      <c r="Y33" s="3248"/>
      <c r="Z33" s="1812" t="str">
        <f t="shared" si="15"/>
        <v>成新度</v>
      </c>
      <c r="AA33" s="1809" t="e">
        <f t="shared" si="3"/>
        <v>#N/A</v>
      </c>
      <c r="AB33" s="1809" t="e">
        <f t="shared" si="4"/>
        <v>#N/A</v>
      </c>
      <c r="AC33" s="1809" t="e">
        <f t="shared" si="5"/>
        <v>#N/A</v>
      </c>
    </row>
    <row r="34" spans="1:29" s="116" customFormat="1" ht="15">
      <c r="A34" s="472"/>
      <c r="B34" s="421" t="s">
        <v>2684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48"/>
      <c r="Q34" s="1793" t="str">
        <f t="shared" si="11"/>
        <v>物业管理</v>
      </c>
      <c r="R34" s="768" t="s">
        <v>17</v>
      </c>
      <c r="S34" s="769">
        <f t="shared" si="12"/>
        <v>100</v>
      </c>
      <c r="T34" s="768" t="s">
        <v>17</v>
      </c>
      <c r="U34" s="769">
        <f t="shared" si="13"/>
        <v>100</v>
      </c>
      <c r="V34" s="768" t="s">
        <v>17</v>
      </c>
      <c r="W34" s="769">
        <f t="shared" si="14"/>
        <v>100</v>
      </c>
      <c r="X34" s="770"/>
      <c r="Y34" s="3248"/>
      <c r="Z34" s="54" t="str">
        <f t="shared" si="15"/>
        <v>物业管理</v>
      </c>
      <c r="AA34" s="771">
        <f t="shared" si="3"/>
        <v>1</v>
      </c>
      <c r="AB34" s="771">
        <f t="shared" si="4"/>
        <v>1</v>
      </c>
      <c r="AC34" s="771">
        <f t="shared" si="5"/>
        <v>1</v>
      </c>
    </row>
    <row r="35" spans="1:29" ht="15">
      <c r="A35" s="471"/>
      <c r="B35" s="421" t="s">
        <v>2652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48" t="s">
        <v>2554</v>
      </c>
      <c r="Q35" s="1808" t="str">
        <f t="shared" si="11"/>
        <v>市政基础设施</v>
      </c>
      <c r="R35" s="772" t="s">
        <v>17</v>
      </c>
      <c r="S35" s="773">
        <f t="shared" si="12"/>
        <v>100</v>
      </c>
      <c r="T35" s="772" t="s">
        <v>17</v>
      </c>
      <c r="U35" s="773">
        <f t="shared" si="13"/>
        <v>100</v>
      </c>
      <c r="V35" s="772" t="s">
        <v>17</v>
      </c>
      <c r="W35" s="773">
        <f t="shared" si="14"/>
        <v>100</v>
      </c>
      <c r="X35" s="1811"/>
      <c r="Y35" s="3248" t="s">
        <v>2554</v>
      </c>
      <c r="Z35" s="1812" t="str">
        <f t="shared" si="15"/>
        <v>市政基础设施</v>
      </c>
      <c r="AA35" s="1809">
        <f t="shared" si="3"/>
        <v>1</v>
      </c>
      <c r="AB35" s="1809">
        <f t="shared" si="4"/>
        <v>1</v>
      </c>
      <c r="AC35" s="1809">
        <f t="shared" si="5"/>
        <v>1</v>
      </c>
    </row>
    <row r="36" spans="1:29" ht="15">
      <c r="A36" s="471"/>
      <c r="B36" s="421" t="s">
        <v>2657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48"/>
      <c r="Q36" s="1808" t="str">
        <f t="shared" si="11"/>
        <v>内部装修</v>
      </c>
      <c r="R36" s="772" t="s">
        <v>17</v>
      </c>
      <c r="S36" s="773">
        <f t="shared" si="12"/>
        <v>100</v>
      </c>
      <c r="T36" s="772" t="s">
        <v>17</v>
      </c>
      <c r="U36" s="773">
        <f t="shared" si="13"/>
        <v>100</v>
      </c>
      <c r="V36" s="772" t="s">
        <v>17</v>
      </c>
      <c r="W36" s="773">
        <f t="shared" si="14"/>
        <v>100</v>
      </c>
      <c r="X36" s="1811"/>
      <c r="Y36" s="3248"/>
      <c r="Z36" s="1812" t="str">
        <f t="shared" si="15"/>
        <v>内部装修</v>
      </c>
      <c r="AA36" s="1809">
        <f t="shared" si="3"/>
        <v>1</v>
      </c>
      <c r="AB36" s="1809">
        <f t="shared" si="4"/>
        <v>1</v>
      </c>
      <c r="AC36" s="1809">
        <f t="shared" si="5"/>
        <v>1</v>
      </c>
    </row>
    <row r="37" spans="1:29" ht="15">
      <c r="A37" s="471"/>
      <c r="B37" s="421" t="s">
        <v>2693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48"/>
      <c r="Q37" s="1808" t="str">
        <f t="shared" si="11"/>
        <v>内部装修状况</v>
      </c>
      <c r="R37" s="772" t="s">
        <v>17</v>
      </c>
      <c r="S37" s="773">
        <f t="shared" si="12"/>
        <v>100</v>
      </c>
      <c r="T37" s="772" t="s">
        <v>17</v>
      </c>
      <c r="U37" s="773">
        <f t="shared" si="13"/>
        <v>100</v>
      </c>
      <c r="V37" s="772" t="s">
        <v>17</v>
      </c>
      <c r="W37" s="773">
        <f t="shared" si="14"/>
        <v>100</v>
      </c>
      <c r="X37" s="1811"/>
      <c r="Y37" s="3248"/>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48"/>
      <c r="Q38" s="774">
        <f t="shared" si="11"/>
        <v>111</v>
      </c>
      <c r="R38" s="775" t="s">
        <v>17</v>
      </c>
      <c r="S38" s="776">
        <f t="shared" si="12"/>
        <v>100</v>
      </c>
      <c r="T38" s="775" t="s">
        <v>17</v>
      </c>
      <c r="U38" s="776">
        <f t="shared" si="13"/>
        <v>100</v>
      </c>
      <c r="V38" s="775" t="s">
        <v>17</v>
      </c>
      <c r="W38" s="776">
        <f t="shared" si="14"/>
        <v>100</v>
      </c>
      <c r="X38" s="777"/>
      <c r="Y38" s="3248"/>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48"/>
      <c r="Q39" s="1808">
        <f t="shared" si="11"/>
        <v>111</v>
      </c>
      <c r="R39" s="772" t="s">
        <v>17</v>
      </c>
      <c r="S39" s="773">
        <f t="shared" si="12"/>
        <v>100</v>
      </c>
      <c r="T39" s="772" t="s">
        <v>17</v>
      </c>
      <c r="U39" s="773">
        <f t="shared" si="13"/>
        <v>100</v>
      </c>
      <c r="V39" s="772" t="s">
        <v>17</v>
      </c>
      <c r="W39" s="773">
        <f t="shared" si="14"/>
        <v>100</v>
      </c>
      <c r="X39" s="1811"/>
      <c r="Y39" s="3248"/>
      <c r="Z39" s="1812">
        <f t="shared" si="15"/>
        <v>111</v>
      </c>
      <c r="AA39" s="1809">
        <f t="shared" si="3"/>
        <v>1</v>
      </c>
      <c r="AB39" s="1809">
        <f t="shared" si="4"/>
        <v>1</v>
      </c>
      <c r="AC39" s="1809">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49"/>
      <c r="Q40" s="1808">
        <f t="shared" si="11"/>
        <v>111</v>
      </c>
      <c r="R40" s="772" t="s">
        <v>17</v>
      </c>
      <c r="S40" s="773">
        <f t="shared" si="12"/>
        <v>100</v>
      </c>
      <c r="T40" s="772" t="s">
        <v>17</v>
      </c>
      <c r="U40" s="773">
        <f t="shared" si="13"/>
        <v>100</v>
      </c>
      <c r="V40" s="772" t="s">
        <v>17</v>
      </c>
      <c r="W40" s="773">
        <f t="shared" si="14"/>
        <v>100</v>
      </c>
      <c r="X40" s="1811"/>
      <c r="Y40" s="3249"/>
      <c r="Z40" s="1812">
        <f t="shared" si="15"/>
        <v>111</v>
      </c>
      <c r="AA40" s="1809">
        <f t="shared" si="3"/>
        <v>1</v>
      </c>
      <c r="AB40" s="1809">
        <f t="shared" si="4"/>
        <v>1</v>
      </c>
      <c r="AC40" s="1809">
        <f t="shared" si="5"/>
        <v>1</v>
      </c>
    </row>
    <row r="41" spans="1:29" ht="15">
      <c r="A41" s="478" t="s">
        <v>2566</v>
      </c>
      <c r="B41" s="479"/>
      <c r="C41" s="1405" t="s">
        <v>1</v>
      </c>
      <c r="D41" s="1406"/>
      <c r="E41" s="1407"/>
      <c r="F41" s="1408"/>
      <c r="G41" s="1409"/>
      <c r="H41" s="1410"/>
      <c r="I41" s="1407"/>
      <c r="J41" s="1410"/>
      <c r="K41" s="781"/>
      <c r="L41" s="1141"/>
      <c r="M41" s="1142"/>
      <c r="N41" s="1129"/>
      <c r="O41" s="1142"/>
      <c r="P41" s="3236" t="str">
        <f>A41</f>
        <v>成交单价（元/平方米）</v>
      </c>
      <c r="Q41" s="3236"/>
      <c r="R41" s="3237">
        <f>E41</f>
        <v>0</v>
      </c>
      <c r="S41" s="3237"/>
      <c r="T41" s="3237">
        <f>G41</f>
        <v>0</v>
      </c>
      <c r="U41" s="3237"/>
      <c r="V41" s="3237">
        <f>I41</f>
        <v>0</v>
      </c>
      <c r="W41" s="3237"/>
      <c r="X41" s="757"/>
      <c r="Y41" s="779"/>
      <c r="Z41" s="757"/>
      <c r="AA41" s="757"/>
      <c r="AB41" s="757"/>
      <c r="AC41" s="757"/>
    </row>
    <row r="42" spans="1:29" ht="15.75" thickBot="1">
      <c r="A42" s="485" t="s">
        <v>2658</v>
      </c>
      <c r="B42" s="486"/>
      <c r="C42" s="1411" t="e">
        <f>R43</f>
        <v>#DIV/0!</v>
      </c>
      <c r="D42" s="1412"/>
      <c r="E42" s="1413" t="e">
        <f>R42</f>
        <v>#DIV/0!</v>
      </c>
      <c r="F42" s="1413"/>
      <c r="G42" s="1411" t="e">
        <f>T42</f>
        <v>#DIV/0!</v>
      </c>
      <c r="H42" s="1412"/>
      <c r="I42" s="1413" t="e">
        <f>V42</f>
        <v>#DIV/0!</v>
      </c>
      <c r="J42" s="1412"/>
      <c r="K42" s="782"/>
      <c r="L42" s="1141"/>
      <c r="M42" s="1142"/>
      <c r="N42" s="1129"/>
      <c r="O42" s="1142"/>
      <c r="P42" s="3236" t="str">
        <f>A42</f>
        <v>比较价值（元/平方米）</v>
      </c>
      <c r="Q42" s="3236"/>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7"/>
      <c r="Y42" s="757"/>
      <c r="Z42" s="757"/>
      <c r="AA42" s="757"/>
      <c r="AB42" s="757"/>
      <c r="AC42" s="757"/>
    </row>
    <row r="43" spans="1:29" ht="15.75" thickBot="1">
      <c r="A43" s="491" t="s">
        <v>2659</v>
      </c>
      <c r="B43" s="492"/>
      <c r="C43" s="1415" t="e">
        <f>R43</f>
        <v>#DIV/0!</v>
      </c>
      <c r="D43" s="1415"/>
      <c r="E43" s="1415"/>
      <c r="F43" s="1415"/>
      <c r="G43" s="1415"/>
      <c r="H43" s="1415"/>
      <c r="I43" s="1415"/>
      <c r="J43" s="1415"/>
      <c r="K43" s="783"/>
      <c r="L43" s="1141"/>
      <c r="M43" s="1142"/>
      <c r="N43" s="1142"/>
      <c r="O43" s="1142"/>
      <c r="P43" s="3238" t="str">
        <f>A43</f>
        <v>估价对象XX用房的比较价值（楼面单价，元/平方米）</v>
      </c>
      <c r="Q43" s="3239"/>
      <c r="R43" s="3240" t="e">
        <f>IF(F1="售价",ROUND(AVERAGE(R42:V42),0),ROUND(AVERAGE(R42:V42),1))</f>
        <v>#DIV/0!</v>
      </c>
      <c r="S43" s="3240"/>
      <c r="T43" s="3240"/>
      <c r="U43" s="3240"/>
      <c r="V43" s="3240"/>
      <c r="W43" s="3240"/>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2663</v>
      </c>
      <c r="B51" s="757"/>
      <c r="C51" s="762"/>
      <c r="D51" s="762"/>
      <c r="E51" s="762"/>
      <c r="F51" s="763"/>
      <c r="G51" s="763"/>
      <c r="H51" s="762"/>
      <c r="I51" s="762"/>
      <c r="J51" s="762"/>
      <c r="K51" s="1158"/>
      <c r="L51" s="1159"/>
      <c r="M51" s="1157"/>
      <c r="N51" s="1157"/>
      <c r="O51" s="1157"/>
      <c r="P51" s="502"/>
      <c r="Q51" s="503"/>
    </row>
    <row r="52" spans="1:17" s="507" customFormat="1" ht="15">
      <c r="A52" s="504" t="s">
        <v>2537</v>
      </c>
      <c r="B52" s="505"/>
      <c r="C52" s="1572" t="str">
        <f>YEAR(C7)&amp;"-"&amp;MONTH(C7)</f>
        <v>2019-7</v>
      </c>
      <c r="D52" s="1573">
        <f>EDATE(C52,-1)</f>
        <v>43617</v>
      </c>
      <c r="E52" s="1573">
        <f t="shared" ref="E52:O52" si="16">EDATE(D52,-1)</f>
        <v>43586</v>
      </c>
      <c r="F52" s="1573">
        <f t="shared" si="16"/>
        <v>43556</v>
      </c>
      <c r="G52" s="1573">
        <f t="shared" si="16"/>
        <v>43525</v>
      </c>
      <c r="H52" s="1573">
        <f t="shared" si="16"/>
        <v>43497</v>
      </c>
      <c r="I52" s="1573">
        <f t="shared" si="16"/>
        <v>43466</v>
      </c>
      <c r="J52" s="1573">
        <f t="shared" si="16"/>
        <v>43435</v>
      </c>
      <c r="K52" s="1573">
        <f t="shared" si="16"/>
        <v>43405</v>
      </c>
      <c r="L52" s="1573">
        <f t="shared" si="16"/>
        <v>43374</v>
      </c>
      <c r="M52" s="1573">
        <f t="shared" si="16"/>
        <v>43344</v>
      </c>
      <c r="N52" s="1573">
        <f t="shared" si="16"/>
        <v>43313</v>
      </c>
      <c r="O52" s="1573">
        <f t="shared" si="16"/>
        <v>43282</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2574</v>
      </c>
      <c r="B54" s="515"/>
      <c r="C54" s="516"/>
      <c r="D54" s="517"/>
      <c r="E54" s="517"/>
      <c r="F54" s="517"/>
      <c r="G54" s="517"/>
      <c r="H54" s="517"/>
      <c r="I54" s="517"/>
      <c r="J54" s="517"/>
      <c r="K54" s="517"/>
      <c r="L54" s="517"/>
      <c r="M54" s="518"/>
      <c r="N54" s="517"/>
      <c r="O54" s="519"/>
      <c r="P54" s="503"/>
      <c r="Q54" s="503"/>
    </row>
    <row r="55" spans="1:17" s="116" customFormat="1" ht="15">
      <c r="A55" s="520" t="s">
        <v>2539</v>
      </c>
      <c r="B55" s="509"/>
      <c r="C55" s="521" t="s">
        <v>2641</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2577</v>
      </c>
      <c r="B57" s="527" t="s">
        <v>2543</v>
      </c>
      <c r="C57" s="528">
        <f>C9</f>
        <v>0</v>
      </c>
      <c r="D57" s="529"/>
      <c r="E57" s="529"/>
      <c r="F57" s="529"/>
      <c r="G57" s="529"/>
      <c r="H57" s="529"/>
      <c r="I57" s="529"/>
      <c r="J57" s="529"/>
      <c r="K57" s="530"/>
      <c r="L57" s="531"/>
      <c r="M57" s="532"/>
      <c r="N57" s="1150"/>
      <c r="O57" s="1150"/>
      <c r="P57" s="44"/>
      <c r="Q57" s="503"/>
    </row>
    <row r="58" spans="1:17" ht="15.75" thickBot="1">
      <c r="A58" s="533"/>
      <c r="B58" s="534"/>
      <c r="C58" s="535">
        <v>100</v>
      </c>
      <c r="D58" s="535"/>
      <c r="E58" s="535"/>
      <c r="F58" s="535"/>
      <c r="G58" s="535"/>
      <c r="H58" s="535"/>
      <c r="I58" s="535"/>
      <c r="J58" s="535"/>
      <c r="K58" s="535"/>
      <c r="L58" s="535"/>
      <c r="M58" s="536"/>
      <c r="N58" s="1151"/>
      <c r="O58" s="1151"/>
      <c r="P58" s="44"/>
      <c r="Q58" s="503"/>
    </row>
    <row r="59" spans="1:17" ht="27.75" thickTop="1">
      <c r="A59" s="533"/>
      <c r="B59" s="537" t="s">
        <v>2546</v>
      </c>
      <c r="C59" s="538" t="s">
        <v>2578</v>
      </c>
      <c r="D59" s="538" t="s">
        <v>2579</v>
      </c>
      <c r="E59" s="538" t="s">
        <v>2580</v>
      </c>
      <c r="F59" s="538" t="s">
        <v>2581</v>
      </c>
      <c r="G59" s="538" t="s">
        <v>2582</v>
      </c>
      <c r="H59" s="538" t="s">
        <v>2583</v>
      </c>
      <c r="I59" s="538" t="s">
        <v>2584</v>
      </c>
      <c r="J59" s="538"/>
      <c r="K59" s="539"/>
      <c r="L59" s="540"/>
      <c r="M59" s="541"/>
      <c r="N59" s="1150"/>
      <c r="O59" s="1150"/>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75" thickTop="1">
      <c r="A61" s="533"/>
      <c r="B61" s="545" t="s">
        <v>2547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ht="15">
      <c r="A62" s="533"/>
      <c r="B62" s="547"/>
      <c r="C62" s="548"/>
      <c r="D62" s="548"/>
      <c r="E62" s="548"/>
      <c r="F62" s="548"/>
      <c r="G62" s="548"/>
      <c r="H62" s="548"/>
      <c r="I62" s="548"/>
      <c r="J62" s="548"/>
      <c r="K62" s="549"/>
      <c r="L62" s="550"/>
      <c r="M62" s="551"/>
      <c r="N62" s="1150"/>
      <c r="O62" s="1150"/>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2548</v>
      </c>
      <c r="B70" s="527" t="s">
        <v>2694</v>
      </c>
      <c r="C70" s="572" t="s">
        <v>2586</v>
      </c>
      <c r="D70" s="572" t="s">
        <v>2587</v>
      </c>
      <c r="E70" s="572" t="s">
        <v>2588</v>
      </c>
      <c r="F70" s="572" t="s">
        <v>2589</v>
      </c>
      <c r="G70" s="572" t="s">
        <v>2590</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75" thickTop="1">
      <c r="A72" s="533"/>
      <c r="B72" s="537" t="s">
        <v>2591</v>
      </c>
      <c r="C72" s="577" t="s">
        <v>2586</v>
      </c>
      <c r="D72" s="577" t="s">
        <v>2587</v>
      </c>
      <c r="E72" s="577" t="s">
        <v>2588</v>
      </c>
      <c r="F72" s="577" t="s">
        <v>2589</v>
      </c>
      <c r="G72" s="577" t="s">
        <v>2590</v>
      </c>
      <c r="H72" s="538"/>
      <c r="I72" s="538"/>
      <c r="J72" s="538"/>
      <c r="K72" s="539"/>
      <c r="L72" s="540"/>
      <c r="M72" s="541"/>
      <c r="N72" s="1150"/>
      <c r="O72" s="1150"/>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75" thickTop="1">
      <c r="A74" s="533"/>
      <c r="B74" s="537" t="s">
        <v>2592</v>
      </c>
      <c r="C74" s="577" t="s">
        <v>2586</v>
      </c>
      <c r="D74" s="577" t="s">
        <v>2587</v>
      </c>
      <c r="E74" s="577" t="s">
        <v>2588</v>
      </c>
      <c r="F74" s="577" t="s">
        <v>2589</v>
      </c>
      <c r="G74" s="577" t="s">
        <v>2590</v>
      </c>
      <c r="H74" s="538"/>
      <c r="I74" s="538"/>
      <c r="J74" s="538"/>
      <c r="K74" s="539"/>
      <c r="L74" s="540"/>
      <c r="M74" s="541"/>
      <c r="N74" s="1150"/>
      <c r="O74" s="1150"/>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75" thickTop="1">
      <c r="A76" s="533"/>
      <c r="B76" s="545" t="s">
        <v>2678</v>
      </c>
      <c r="C76" s="659" t="s">
        <v>2664</v>
      </c>
      <c r="D76" s="659" t="s">
        <v>2665</v>
      </c>
      <c r="E76" s="659" t="s">
        <v>2666</v>
      </c>
      <c r="F76" s="659" t="s">
        <v>2667</v>
      </c>
      <c r="G76" s="659" t="s">
        <v>2668</v>
      </c>
      <c r="H76" s="538"/>
      <c r="I76" s="538"/>
      <c r="J76" s="538"/>
      <c r="K76" s="538"/>
      <c r="L76" s="538"/>
      <c r="M76" s="1380"/>
      <c r="N76" s="1151"/>
      <c r="O76" s="1151"/>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4"/>
      <c r="Q77" s="503"/>
    </row>
    <row r="78" spans="1:17" ht="15.75" thickTop="1">
      <c r="A78" s="533"/>
      <c r="B78" s="537" t="s">
        <v>2687</v>
      </c>
      <c r="C78" s="577" t="s">
        <v>2586</v>
      </c>
      <c r="D78" s="577" t="s">
        <v>2587</v>
      </c>
      <c r="E78" s="577" t="s">
        <v>2588</v>
      </c>
      <c r="F78" s="577" t="s">
        <v>2589</v>
      </c>
      <c r="G78" s="577" t="s">
        <v>2590</v>
      </c>
      <c r="H78" s="538"/>
      <c r="I78" s="538"/>
      <c r="J78" s="538"/>
      <c r="K78" s="539"/>
      <c r="L78" s="540"/>
      <c r="M78" s="541"/>
      <c r="N78" s="1150"/>
      <c r="O78" s="1150"/>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5.75" thickTop="1">
      <c r="A80" s="578"/>
      <c r="B80" s="537">
        <f>B25</f>
        <v>111</v>
      </c>
      <c r="C80" s="553"/>
      <c r="D80" s="553"/>
      <c r="E80" s="553"/>
      <c r="F80" s="553"/>
      <c r="G80" s="553"/>
      <c r="H80" s="553"/>
      <c r="I80" s="553"/>
      <c r="J80" s="553"/>
      <c r="K80" s="553"/>
      <c r="L80" s="579"/>
      <c r="M80" s="580"/>
      <c r="N80" s="1149"/>
      <c r="O80" s="1149"/>
      <c r="P80" s="44"/>
      <c r="Q80" s="503"/>
    </row>
    <row r="81" spans="1:17" s="116" customFormat="1" ht="15.75" thickBot="1">
      <c r="A81" s="578"/>
      <c r="B81" s="542"/>
      <c r="C81" s="559"/>
      <c r="D81" s="535"/>
      <c r="E81" s="535"/>
      <c r="F81" s="535"/>
      <c r="G81" s="535"/>
      <c r="H81" s="535"/>
      <c r="I81" s="535"/>
      <c r="J81" s="535"/>
      <c r="K81" s="535"/>
      <c r="L81" s="535"/>
      <c r="M81" s="536"/>
      <c r="N81" s="1151"/>
      <c r="O81" s="1151"/>
      <c r="P81" s="44"/>
      <c r="Q81" s="503"/>
    </row>
    <row r="82" spans="1:17" s="116" customFormat="1" ht="15.75" thickTop="1">
      <c r="A82" s="578"/>
      <c r="B82" s="537">
        <f>B26</f>
        <v>111</v>
      </c>
      <c r="C82" s="553"/>
      <c r="D82" s="553"/>
      <c r="E82" s="553"/>
      <c r="F82" s="553"/>
      <c r="G82" s="553"/>
      <c r="H82" s="553"/>
      <c r="I82" s="553"/>
      <c r="J82" s="553"/>
      <c r="K82" s="553"/>
      <c r="L82" s="579"/>
      <c r="M82" s="580"/>
      <c r="N82" s="1149"/>
      <c r="O82" s="1149"/>
      <c r="P82" s="44"/>
      <c r="Q82" s="503"/>
    </row>
    <row r="83" spans="1:17" s="116" customFormat="1" ht="15.75" thickBot="1">
      <c r="A83" s="578"/>
      <c r="B83" s="542"/>
      <c r="C83" s="559"/>
      <c r="D83" s="535"/>
      <c r="E83" s="535"/>
      <c r="F83" s="535"/>
      <c r="G83" s="535"/>
      <c r="H83" s="535"/>
      <c r="I83" s="535"/>
      <c r="J83" s="535"/>
      <c r="K83" s="535"/>
      <c r="L83" s="535"/>
      <c r="M83" s="536"/>
      <c r="N83" s="1151"/>
      <c r="O83" s="1151"/>
      <c r="P83" s="44"/>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4"/>
      <c r="Q86" s="503"/>
    </row>
    <row r="87" spans="1:17" ht="15.75" thickBot="1">
      <c r="A87" s="2632"/>
      <c r="B87" s="568"/>
      <c r="C87" s="569"/>
      <c r="D87" s="569"/>
      <c r="E87" s="569"/>
      <c r="F87" s="569"/>
      <c r="G87" s="590"/>
      <c r="H87" s="590"/>
      <c r="I87" s="590"/>
      <c r="J87" s="590"/>
      <c r="K87" s="590"/>
      <c r="L87" s="590"/>
      <c r="M87" s="591"/>
      <c r="N87" s="1151"/>
      <c r="O87" s="1151"/>
      <c r="P87" s="44"/>
      <c r="Q87" s="503"/>
    </row>
    <row r="88" spans="1:17">
      <c r="A88" s="526" t="s">
        <v>2552</v>
      </c>
      <c r="B88" s="527" t="s">
        <v>2601</v>
      </c>
      <c r="C88" s="529"/>
      <c r="D88" s="529"/>
      <c r="E88" s="529"/>
      <c r="F88" s="529"/>
      <c r="G88" s="529"/>
      <c r="H88" s="529"/>
      <c r="I88" s="529"/>
      <c r="J88" s="529"/>
      <c r="K88" s="530"/>
      <c r="L88" s="531"/>
      <c r="M88" s="532"/>
      <c r="N88" s="1150"/>
      <c r="O88" s="1150"/>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75" thickTop="1">
      <c r="A90" s="533"/>
      <c r="B90" s="537" t="s">
        <v>2602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2603</v>
      </c>
      <c r="C93" s="553"/>
      <c r="D93" s="553"/>
      <c r="E93" s="582"/>
      <c r="F93" s="582"/>
      <c r="G93" s="582"/>
      <c r="H93" s="582"/>
      <c r="I93" s="582"/>
      <c r="J93" s="582"/>
      <c r="K93" s="583"/>
      <c r="L93" s="584"/>
      <c r="M93" s="585"/>
      <c r="N93" s="1150"/>
      <c r="O93" s="1150"/>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2605</v>
      </c>
      <c r="C95" s="553"/>
      <c r="D95" s="553"/>
      <c r="E95" s="553"/>
      <c r="F95" s="582"/>
      <c r="G95" s="582"/>
      <c r="H95" s="582"/>
      <c r="I95" s="582"/>
      <c r="J95" s="582"/>
      <c r="K95" s="583"/>
      <c r="L95" s="584"/>
      <c r="M95" s="585"/>
      <c r="N95" s="1150"/>
      <c r="O95" s="1150"/>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1987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2"/>
      <c r="J98" s="622"/>
      <c r="K98" s="623"/>
      <c r="L98" s="624"/>
      <c r="M98" s="625"/>
      <c r="N98" s="1150"/>
      <c r="O98" s="1150"/>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2606</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2607</v>
      </c>
      <c r="C102" s="553"/>
      <c r="D102" s="553"/>
      <c r="E102" s="553"/>
      <c r="F102" s="553"/>
      <c r="G102" s="553"/>
      <c r="H102" s="582"/>
      <c r="I102" s="582"/>
      <c r="J102" s="582"/>
      <c r="K102" s="583"/>
      <c r="L102" s="584"/>
      <c r="M102" s="585"/>
      <c r="N102" s="1150"/>
      <c r="O102" s="1150"/>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2609</v>
      </c>
      <c r="C104" s="553"/>
      <c r="D104" s="553"/>
      <c r="E104" s="553"/>
      <c r="F104" s="553"/>
      <c r="G104" s="553"/>
      <c r="H104" s="582"/>
      <c r="I104" s="582"/>
      <c r="J104" s="582"/>
      <c r="K104" s="583"/>
      <c r="L104" s="584"/>
      <c r="M104" s="585"/>
      <c r="N104" s="1150"/>
      <c r="O104" s="1150"/>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15" thickTop="1">
      <c r="A106" s="598"/>
      <c r="B106" s="635" t="s">
        <v>2695</v>
      </c>
      <c r="C106" s="577" t="s">
        <v>2586</v>
      </c>
      <c r="D106" s="577" t="s">
        <v>2587</v>
      </c>
      <c r="E106" s="577" t="s">
        <v>2588</v>
      </c>
      <c r="F106" s="577" t="s">
        <v>2589</v>
      </c>
      <c r="G106" s="577" t="s">
        <v>2590</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4"/>
      <c r="Q110" s="503"/>
    </row>
    <row r="111" spans="1:17" ht="15.75" thickBot="1">
      <c r="A111" s="533"/>
      <c r="B111" s="542"/>
      <c r="C111" s="559"/>
      <c r="D111" s="535"/>
      <c r="E111" s="535"/>
      <c r="F111" s="535"/>
      <c r="G111" s="559"/>
      <c r="H111" s="561"/>
      <c r="I111" s="561"/>
      <c r="J111" s="561"/>
      <c r="K111" s="561"/>
      <c r="L111" s="561"/>
      <c r="M111" s="562"/>
      <c r="N111" s="1151"/>
      <c r="O111" s="1151"/>
      <c r="P111" s="44"/>
      <c r="Q111" s="503"/>
    </row>
    <row r="112" spans="1:17" ht="15" thickTop="1">
      <c r="A112" s="598"/>
      <c r="B112" s="545">
        <f>B40</f>
        <v>111</v>
      </c>
      <c r="C112" s="522"/>
      <c r="D112" s="522"/>
      <c r="E112" s="522"/>
      <c r="F112" s="522"/>
      <c r="G112" s="586"/>
      <c r="H112" s="586"/>
      <c r="I112" s="586"/>
      <c r="J112" s="586"/>
      <c r="K112" s="522"/>
      <c r="L112" s="523"/>
      <c r="M112" s="589"/>
      <c r="N112" s="1150"/>
      <c r="O112" s="1150"/>
      <c r="P112" s="44"/>
      <c r="Q112" s="503"/>
    </row>
    <row r="113" spans="1:17" ht="15.75" thickBot="1">
      <c r="A113" s="2632"/>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1" priority="16" stopIfTrue="1" operator="containsText" text="超过">
      <formula>NOT(ISERROR(SEARCH("超过",F46)))</formula>
    </cfRule>
  </conditionalFormatting>
  <conditionalFormatting sqref="H48">
    <cfRule type="containsText" dxfId="130" priority="15" stopIfTrue="1" operator="containsText" text="超过">
      <formula>NOT(ISERROR(SEARCH("超过",H48)))</formula>
    </cfRule>
  </conditionalFormatting>
  <conditionalFormatting sqref="F48">
    <cfRule type="containsText" dxfId="129" priority="14" stopIfTrue="1" operator="containsText" text="超过">
      <formula>NOT(ISERROR(SEARCH("超过",F48)))</formula>
    </cfRule>
  </conditionalFormatting>
  <conditionalFormatting sqref="F47 H47">
    <cfRule type="containsText" dxfId="128" priority="13" stopIfTrue="1" operator="containsText" text="超过">
      <formula>NOT(ISERROR(SEARCH("超过",F47)))</formula>
    </cfRule>
  </conditionalFormatting>
  <conditionalFormatting sqref="E46">
    <cfRule type="expression" dxfId="127" priority="12" stopIfTrue="1">
      <formula>$F$46="超过30%"</formula>
    </cfRule>
  </conditionalFormatting>
  <conditionalFormatting sqref="E47">
    <cfRule type="expression" dxfId="126" priority="11" stopIfTrue="1">
      <formula>$F$47="超过20%"</formula>
    </cfRule>
  </conditionalFormatting>
  <conditionalFormatting sqref="E48">
    <cfRule type="expression" dxfId="125" priority="10" stopIfTrue="1">
      <formula>$F$48="超过30%"</formula>
    </cfRule>
  </conditionalFormatting>
  <conditionalFormatting sqref="G48">
    <cfRule type="expression" dxfId="124" priority="9" stopIfTrue="1">
      <formula>$H$48="超过30%"</formula>
    </cfRule>
  </conditionalFormatting>
  <conditionalFormatting sqref="G46">
    <cfRule type="expression" dxfId="123" priority="8" stopIfTrue="1">
      <formula>$H$46="超过30%"</formula>
    </cfRule>
  </conditionalFormatting>
  <conditionalFormatting sqref="G47">
    <cfRule type="expression" dxfId="122" priority="7" stopIfTrue="1">
      <formula>$H$47="超过20%"</formula>
    </cfRule>
  </conditionalFormatting>
  <conditionalFormatting sqref="J46">
    <cfRule type="containsText" dxfId="121" priority="6" stopIfTrue="1" operator="containsText" text="超过">
      <formula>NOT(ISERROR(SEARCH("超过",J46)))</formula>
    </cfRule>
  </conditionalFormatting>
  <conditionalFormatting sqref="J48">
    <cfRule type="containsText" dxfId="120" priority="5" stopIfTrue="1" operator="containsText" text="超过">
      <formula>NOT(ISERROR(SEARCH("超过",J48)))</formula>
    </cfRule>
  </conditionalFormatting>
  <conditionalFormatting sqref="J47">
    <cfRule type="containsText" dxfId="119" priority="4" stopIfTrue="1" operator="containsText" text="超过">
      <formula>NOT(ISERROR(SEARCH("超过",J47)))</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2696</v>
      </c>
      <c r="B1" s="1617"/>
      <c r="C1" s="1618" t="s">
        <v>2519</v>
      </c>
      <c r="D1" s="1619"/>
      <c r="E1" s="1620"/>
      <c r="F1" s="2582"/>
      <c r="G1" s="1621" t="s">
        <v>2632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2316</v>
      </c>
      <c r="B2" s="1416" t="e">
        <f ca="1">IF(C2="——",IF(B37="元/平方米",ROUND(C39*D3/10000,0),ROUND(F3*C39/10000,0)),IF(B37="元/平方米",ROUND(C39*D3/10000,0),ROUND(F3*C39/10000,0))-D2)</f>
        <v>#DIV/0!</v>
      </c>
      <c r="C2" s="2584"/>
      <c r="D2" s="1122" t="e">
        <f ca="1">SUMIF(INDIRECT("'"&amp;F2&amp;"'"&amp;"!A:A"),"承租人权益价值",INDIRECT("'"&amp;F2&amp;"'"&amp;"!c:c"))</f>
        <v>#REF!</v>
      </c>
      <c r="E2" s="2585" t="s">
        <v>2317</v>
      </c>
      <c r="F2" s="2586"/>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2318</v>
      </c>
      <c r="B3" s="608" t="e">
        <f ca="1">IF(AND(C2="——",B37="元/平方米"),C39,ROUND(B2*10000/D3,0))</f>
        <v>#DIV/0!</v>
      </c>
      <c r="C3" s="399" t="s">
        <v>2633</v>
      </c>
      <c r="D3" s="398">
        <f>SUMIF('数据-汇总表'!$C19:$C33,D1,'数据-汇总表'!$E19:$E33)</f>
        <v>0</v>
      </c>
      <c r="E3" s="399" t="s">
        <v>2697</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2634</v>
      </c>
      <c r="B4" s="401"/>
      <c r="C4" s="3255" t="s">
        <v>2635</v>
      </c>
      <c r="D4" s="3256"/>
      <c r="E4" s="3257" t="s">
        <v>2636</v>
      </c>
      <c r="F4" s="3258"/>
      <c r="G4" s="3255" t="s">
        <v>2637</v>
      </c>
      <c r="H4" s="3256"/>
      <c r="I4" s="3255" t="s">
        <v>2638</v>
      </c>
      <c r="J4" s="3256"/>
      <c r="K4" s="609" t="s">
        <v>2639</v>
      </c>
      <c r="L4" s="1128"/>
      <c r="M4" s="1129"/>
      <c r="N4" s="1129"/>
      <c r="O4" s="1129"/>
      <c r="P4" s="3259" t="s">
        <v>2640</v>
      </c>
      <c r="Q4" s="3260"/>
      <c r="R4" s="3265" t="s">
        <v>2636</v>
      </c>
      <c r="S4" s="3266"/>
      <c r="T4" s="3265" t="s">
        <v>2637</v>
      </c>
      <c r="U4" s="3266"/>
      <c r="V4" s="3250" t="s">
        <v>2638</v>
      </c>
      <c r="W4" s="3250"/>
      <c r="X4" s="1811"/>
      <c r="Y4" s="3265" t="s">
        <v>2640</v>
      </c>
      <c r="Z4" s="3266"/>
      <c r="AA4" s="3252" t="s">
        <v>2636</v>
      </c>
      <c r="AB4" s="3253" t="s">
        <v>2637</v>
      </c>
      <c r="AC4" s="3252" t="s">
        <v>2638</v>
      </c>
    </row>
    <row r="5" spans="1:29" ht="15">
      <c r="A5" s="403"/>
      <c r="B5" s="404"/>
      <c r="C5" s="3273" t="s">
        <v>2531</v>
      </c>
      <c r="D5" s="3274"/>
      <c r="E5" s="3280" t="s">
        <v>2532</v>
      </c>
      <c r="F5" s="3281"/>
      <c r="G5" s="3273" t="s">
        <v>2533</v>
      </c>
      <c r="H5" s="3274"/>
      <c r="I5" s="3273" t="s">
        <v>2534</v>
      </c>
      <c r="J5" s="3274"/>
      <c r="K5" s="609"/>
      <c r="L5" s="1128"/>
      <c r="M5" s="1129"/>
      <c r="N5" s="1129"/>
      <c r="O5" s="1129"/>
      <c r="P5" s="3261"/>
      <c r="Q5" s="3262"/>
      <c r="R5" s="3267"/>
      <c r="S5" s="3268"/>
      <c r="T5" s="3267"/>
      <c r="U5" s="3268"/>
      <c r="V5" s="3250"/>
      <c r="W5" s="3250"/>
      <c r="X5" s="1811"/>
      <c r="Y5" s="3267"/>
      <c r="Z5" s="3268"/>
      <c r="AA5" s="3253"/>
      <c r="AB5" s="3253"/>
      <c r="AC5" s="3253"/>
    </row>
    <row r="6" spans="1:29" ht="15.75" thickBot="1">
      <c r="A6" s="405"/>
      <c r="B6" s="406"/>
      <c r="C6" s="3271" t="s">
        <v>2535</v>
      </c>
      <c r="D6" s="3272"/>
      <c r="E6" s="3278" t="s">
        <v>2535</v>
      </c>
      <c r="F6" s="3279"/>
      <c r="G6" s="3271" t="s">
        <v>2535</v>
      </c>
      <c r="H6" s="3272"/>
      <c r="I6" s="3271" t="s">
        <v>2535</v>
      </c>
      <c r="J6" s="3272"/>
      <c r="K6" s="609" t="s">
        <v>2536</v>
      </c>
      <c r="L6" s="1128"/>
      <c r="M6" s="1129"/>
      <c r="N6" s="1129"/>
      <c r="O6" s="1129"/>
      <c r="P6" s="3263"/>
      <c r="Q6" s="3264"/>
      <c r="R6" s="3267"/>
      <c r="S6" s="3268"/>
      <c r="T6" s="3269"/>
      <c r="U6" s="3270"/>
      <c r="V6" s="3250"/>
      <c r="W6" s="3250"/>
      <c r="X6" s="1811"/>
      <c r="Y6" s="3269"/>
      <c r="Z6" s="3270"/>
      <c r="AA6" s="3254"/>
      <c r="AB6" s="3254"/>
      <c r="AC6" s="3254"/>
    </row>
    <row r="7" spans="1:29" s="116" customFormat="1" ht="15.75" thickBot="1">
      <c r="A7" s="407" t="s">
        <v>2537</v>
      </c>
      <c r="B7" s="408"/>
      <c r="C7" s="409">
        <f>'数据-取费表'!B2</f>
        <v>43658</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75" t="s">
        <v>2538</v>
      </c>
      <c r="Q7" s="3277"/>
      <c r="R7" s="768" t="s">
        <v>17</v>
      </c>
      <c r="S7" s="769">
        <f t="shared" ref="S7:S14" si="0">F7</f>
        <v>0</v>
      </c>
      <c r="T7" s="768" t="s">
        <v>17</v>
      </c>
      <c r="U7" s="769">
        <f t="shared" ref="U7:U14" si="1">H7</f>
        <v>0</v>
      </c>
      <c r="V7" s="768" t="s">
        <v>17</v>
      </c>
      <c r="W7" s="769">
        <f t="shared" ref="W7:W14" si="2">J7</f>
        <v>0</v>
      </c>
      <c r="X7" s="770"/>
      <c r="Y7" s="3275" t="s">
        <v>2538</v>
      </c>
      <c r="Z7" s="3276"/>
      <c r="AA7" s="771" t="e">
        <f>D7/F7</f>
        <v>#DIV/0!</v>
      </c>
      <c r="AB7" s="771" t="e">
        <f>D7/H7</f>
        <v>#DIV/0!</v>
      </c>
      <c r="AC7" s="771" t="e">
        <f>D7/J7</f>
        <v>#DIV/0!</v>
      </c>
    </row>
    <row r="8" spans="1:29" s="116" customFormat="1" ht="15.75" thickBot="1">
      <c r="A8" s="407" t="s">
        <v>2539</v>
      </c>
      <c r="B8" s="408"/>
      <c r="C8" s="413" t="s">
        <v>2641</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75" t="s">
        <v>2541</v>
      </c>
      <c r="Q8" s="3276"/>
      <c r="R8" s="768" t="s">
        <v>17</v>
      </c>
      <c r="S8" s="769">
        <f t="shared" si="0"/>
        <v>0</v>
      </c>
      <c r="T8" s="768" t="s">
        <v>17</v>
      </c>
      <c r="U8" s="769">
        <f t="shared" si="1"/>
        <v>0</v>
      </c>
      <c r="V8" s="768" t="s">
        <v>17</v>
      </c>
      <c r="W8" s="769">
        <f t="shared" si="2"/>
        <v>0</v>
      </c>
      <c r="X8" s="770"/>
      <c r="Y8" s="3275" t="s">
        <v>2541</v>
      </c>
      <c r="Z8" s="3276"/>
      <c r="AA8" s="771" t="e">
        <f t="shared" ref="AA8:AA36" si="3">D8/F8</f>
        <v>#DIV/0!</v>
      </c>
      <c r="AB8" s="771" t="e">
        <f t="shared" ref="AB8:AB36" si="4">D8/H8</f>
        <v>#DIV/0!</v>
      </c>
      <c r="AC8" s="771" t="e">
        <f t="shared" ref="AC8:AC36" si="5">D8/J8</f>
        <v>#DIV/0!</v>
      </c>
    </row>
    <row r="9" spans="1:29" s="116" customFormat="1">
      <c r="A9" s="67" t="s">
        <v>2542</v>
      </c>
      <c r="B9" s="639" t="s">
        <v>2543</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36" t="s">
        <v>2544</v>
      </c>
      <c r="Q9" s="1793" t="str">
        <f t="shared" ref="Q9:Q14" si="6">B9</f>
        <v>用途</v>
      </c>
      <c r="R9" s="768" t="s">
        <v>17</v>
      </c>
      <c r="S9" s="769">
        <f t="shared" si="0"/>
        <v>100</v>
      </c>
      <c r="T9" s="768" t="s">
        <v>17</v>
      </c>
      <c r="U9" s="769">
        <f t="shared" si="1"/>
        <v>100</v>
      </c>
      <c r="V9" s="768" t="s">
        <v>17</v>
      </c>
      <c r="W9" s="769">
        <f t="shared" si="2"/>
        <v>100</v>
      </c>
      <c r="X9" s="770"/>
      <c r="Y9" s="3067" t="s">
        <v>2545</v>
      </c>
      <c r="Z9" s="54" t="str">
        <f t="shared" ref="Z9:Z14" si="7">Q9</f>
        <v>用途</v>
      </c>
      <c r="AA9" s="771">
        <f t="shared" si="3"/>
        <v>1</v>
      </c>
      <c r="AB9" s="771">
        <f t="shared" si="4"/>
        <v>1</v>
      </c>
      <c r="AC9" s="771">
        <f t="shared" si="5"/>
        <v>1</v>
      </c>
    </row>
    <row r="10" spans="1:29" s="426" customFormat="1" ht="27">
      <c r="A10" s="640"/>
      <c r="B10" s="641" t="s">
        <v>2546</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36"/>
      <c r="Q10" s="1793" t="str">
        <f t="shared" si="6"/>
        <v>土地使用年限（年）</v>
      </c>
      <c r="R10" s="768" t="s">
        <v>17</v>
      </c>
      <c r="S10" s="769">
        <f t="shared" si="0"/>
        <v>100</v>
      </c>
      <c r="T10" s="768" t="s">
        <v>17</v>
      </c>
      <c r="U10" s="769">
        <f t="shared" si="1"/>
        <v>100</v>
      </c>
      <c r="V10" s="768" t="s">
        <v>17</v>
      </c>
      <c r="W10" s="769">
        <f t="shared" si="2"/>
        <v>100</v>
      </c>
      <c r="X10" s="770"/>
      <c r="Y10" s="3067"/>
      <c r="Z10" s="54"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36"/>
      <c r="Q11" s="1793">
        <f t="shared" si="6"/>
        <v>111</v>
      </c>
      <c r="R11" s="768" t="s">
        <v>17</v>
      </c>
      <c r="S11" s="769">
        <f t="shared" si="0"/>
        <v>100</v>
      </c>
      <c r="T11" s="768" t="s">
        <v>17</v>
      </c>
      <c r="U11" s="769">
        <f t="shared" si="1"/>
        <v>100</v>
      </c>
      <c r="V11" s="768" t="s">
        <v>17</v>
      </c>
      <c r="W11" s="769">
        <f t="shared" si="2"/>
        <v>100</v>
      </c>
      <c r="X11" s="770"/>
      <c r="Y11" s="3067"/>
      <c r="Z11" s="54">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36"/>
      <c r="Q12" s="1793">
        <f t="shared" si="6"/>
        <v>111</v>
      </c>
      <c r="R12" s="768" t="s">
        <v>17</v>
      </c>
      <c r="S12" s="769">
        <f t="shared" si="0"/>
        <v>100</v>
      </c>
      <c r="T12" s="768" t="s">
        <v>17</v>
      </c>
      <c r="U12" s="769">
        <f t="shared" si="1"/>
        <v>100</v>
      </c>
      <c r="V12" s="768" t="s">
        <v>17</v>
      </c>
      <c r="W12" s="769">
        <f t="shared" si="2"/>
        <v>100</v>
      </c>
      <c r="X12" s="770"/>
      <c r="Y12" s="3067"/>
      <c r="Z12" s="54">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36"/>
      <c r="Q13" s="1793">
        <f t="shared" si="6"/>
        <v>111</v>
      </c>
      <c r="R13" s="768" t="s">
        <v>17</v>
      </c>
      <c r="S13" s="769">
        <f t="shared" si="0"/>
        <v>100</v>
      </c>
      <c r="T13" s="768" t="s">
        <v>17</v>
      </c>
      <c r="U13" s="769">
        <f t="shared" si="1"/>
        <v>100</v>
      </c>
      <c r="V13" s="768" t="s">
        <v>17</v>
      </c>
      <c r="W13" s="769">
        <f t="shared" si="2"/>
        <v>100</v>
      </c>
      <c r="X13" s="770"/>
      <c r="Y13" s="3067"/>
      <c r="Z13" s="54">
        <f t="shared" si="7"/>
        <v>111</v>
      </c>
      <c r="AA13" s="771">
        <f t="shared" si="3"/>
        <v>1</v>
      </c>
      <c r="AB13" s="771">
        <f t="shared" si="4"/>
        <v>1</v>
      </c>
      <c r="AC13" s="771">
        <f t="shared" si="5"/>
        <v>1</v>
      </c>
    </row>
    <row r="14" spans="1:29" ht="213.75">
      <c r="A14" s="400" t="s">
        <v>2548</v>
      </c>
      <c r="B14" s="628" t="s">
        <v>2698</v>
      </c>
      <c r="C14" s="2689" t="str">
        <f>IF(B1="工业",估价对象房地状况!G4,估价对象房地状况!C6)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43" t="s">
        <v>2549</v>
      </c>
      <c r="Q14" s="1808" t="str">
        <f t="shared" si="6"/>
        <v>交通便捷度</v>
      </c>
      <c r="R14" s="772" t="s">
        <v>17</v>
      </c>
      <c r="S14" s="773">
        <f t="shared" si="0"/>
        <v>100</v>
      </c>
      <c r="T14" s="772" t="s">
        <v>17</v>
      </c>
      <c r="U14" s="773">
        <f t="shared" si="1"/>
        <v>100</v>
      </c>
      <c r="V14" s="772" t="s">
        <v>17</v>
      </c>
      <c r="W14" s="773">
        <f t="shared" si="2"/>
        <v>100</v>
      </c>
      <c r="X14" s="1811"/>
      <c r="Y14" s="3243" t="s">
        <v>2549</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44"/>
      <c r="Q15" s="1808"/>
      <c r="R15" s="772"/>
      <c r="S15" s="773"/>
      <c r="T15" s="772"/>
      <c r="U15" s="773"/>
      <c r="V15" s="772"/>
      <c r="W15" s="773"/>
      <c r="X15" s="1811"/>
      <c r="Y15" s="3244"/>
      <c r="Z15" s="1812"/>
      <c r="AA15" s="1809">
        <v>1</v>
      </c>
      <c r="AB15" s="1809">
        <v>1</v>
      </c>
      <c r="AC15" s="1809">
        <v>1</v>
      </c>
    </row>
    <row r="16" spans="1:29" ht="114">
      <c r="A16" s="403"/>
      <c r="B16" s="630" t="s">
        <v>2677</v>
      </c>
      <c r="C16" s="2605" t="str">
        <f>IF(B1="工业",估价对象房地状况!G5,估价对象房地状况!C7)</f>
        <v>区域内有新中街幼儿园、西中街小学、东直门中学、北京中医药大学东直门医院、招商银行、华联超市等，公共服务设施较完善</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44"/>
      <c r="Q16" s="1808" t="str">
        <f>B16</f>
        <v>公共配套设施</v>
      </c>
      <c r="R16" s="772" t="s">
        <v>17</v>
      </c>
      <c r="S16" s="773">
        <f>F16</f>
        <v>100</v>
      </c>
      <c r="T16" s="772" t="s">
        <v>17</v>
      </c>
      <c r="U16" s="773">
        <f>H16</f>
        <v>100</v>
      </c>
      <c r="V16" s="772" t="s">
        <v>17</v>
      </c>
      <c r="W16" s="773">
        <f>J16</f>
        <v>100</v>
      </c>
      <c r="X16" s="1811"/>
      <c r="Y16" s="3244"/>
      <c r="Z16" s="1812" t="str">
        <f>Q16</f>
        <v>公共配套设施</v>
      </c>
      <c r="AA16" s="1809">
        <f t="shared" si="3"/>
        <v>1</v>
      </c>
      <c r="AB16" s="1809">
        <f t="shared" si="4"/>
        <v>1</v>
      </c>
      <c r="AC16" s="1809">
        <f t="shared" si="5"/>
        <v>1</v>
      </c>
    </row>
    <row r="17" spans="1:29" ht="15">
      <c r="A17" s="403"/>
      <c r="B17" s="631"/>
      <c r="C17" s="2606"/>
      <c r="D17" s="447"/>
      <c r="E17" s="446"/>
      <c r="F17" s="448"/>
      <c r="G17" s="446"/>
      <c r="H17" s="447"/>
      <c r="I17" s="446"/>
      <c r="J17" s="447"/>
      <c r="K17" s="614"/>
      <c r="L17" s="1138"/>
      <c r="M17" s="1129"/>
      <c r="N17" s="1129"/>
      <c r="O17" s="1129"/>
      <c r="P17" s="3244"/>
      <c r="Q17" s="1808"/>
      <c r="R17" s="772"/>
      <c r="S17" s="773"/>
      <c r="T17" s="772"/>
      <c r="U17" s="773"/>
      <c r="V17" s="772"/>
      <c r="W17" s="773"/>
      <c r="X17" s="1811"/>
      <c r="Y17" s="3244"/>
      <c r="Z17" s="1812"/>
      <c r="AA17" s="1809">
        <v>1</v>
      </c>
      <c r="AB17" s="1809">
        <v>1</v>
      </c>
      <c r="AC17" s="1809">
        <v>1</v>
      </c>
    </row>
    <row r="18" spans="1:29" ht="71.25">
      <c r="A18" s="403"/>
      <c r="B18" s="632" t="s">
        <v>2678</v>
      </c>
      <c r="C18" s="2605" t="str">
        <f>IF(B1="工业",估价对象房地状况!G6,估价对象房地状况!C8)</f>
        <v>估价对象所在区域红线内外七通，市政供暖，基础设施水平好。</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44"/>
      <c r="Q18" s="1808" t="str">
        <f>B18</f>
        <v>基础设施水平</v>
      </c>
      <c r="R18" s="772" t="s">
        <v>17</v>
      </c>
      <c r="S18" s="773">
        <f>F18</f>
        <v>100</v>
      </c>
      <c r="T18" s="772" t="s">
        <v>17</v>
      </c>
      <c r="U18" s="773">
        <f>H18</f>
        <v>100</v>
      </c>
      <c r="V18" s="772" t="s">
        <v>17</v>
      </c>
      <c r="W18" s="773">
        <f>J18</f>
        <v>100</v>
      </c>
      <c r="X18" s="1811"/>
      <c r="Y18" s="3244"/>
      <c r="Z18" s="1812" t="str">
        <f>Q18</f>
        <v>基础设施水平</v>
      </c>
      <c r="AA18" s="1809">
        <f t="shared" ref="AA18" si="8">D18/F18</f>
        <v>1</v>
      </c>
      <c r="AB18" s="1809">
        <f t="shared" ref="AB18" si="9">D18/H18</f>
        <v>1</v>
      </c>
      <c r="AC18" s="1809">
        <f t="shared" ref="AC18" si="10">D18/J18</f>
        <v>1</v>
      </c>
    </row>
    <row r="19" spans="1:29" ht="15">
      <c r="A19" s="403"/>
      <c r="B19" s="632"/>
      <c r="C19" s="2606"/>
      <c r="D19" s="449"/>
      <c r="E19" s="2606"/>
      <c r="F19" s="452"/>
      <c r="G19" s="2606"/>
      <c r="H19" s="447"/>
      <c r="I19" s="446"/>
      <c r="J19" s="447"/>
      <c r="K19" s="1381"/>
      <c r="L19" s="1138"/>
      <c r="M19" s="1129"/>
      <c r="N19" s="1129"/>
      <c r="O19" s="1129"/>
      <c r="P19" s="3244"/>
      <c r="Q19" s="1808"/>
      <c r="R19" s="772"/>
      <c r="S19" s="773"/>
      <c r="T19" s="772"/>
      <c r="U19" s="773"/>
      <c r="V19" s="772"/>
      <c r="W19" s="773"/>
      <c r="X19" s="1811"/>
      <c r="Y19" s="3244"/>
      <c r="Z19" s="1812"/>
      <c r="AA19" s="1809">
        <v>1</v>
      </c>
      <c r="AB19" s="1809">
        <v>1</v>
      </c>
      <c r="AC19" s="1809">
        <v>1</v>
      </c>
    </row>
    <row r="20" spans="1:29" ht="156.75">
      <c r="A20" s="403"/>
      <c r="B20" s="630" t="s">
        <v>2699</v>
      </c>
      <c r="C20" s="2605" t="str">
        <f>IF(B1="工业",估价对象房地状况!G7,估价对象房地状况!C9)</f>
        <v>区域内有新中街城市森林公园等，街道整洁，相邻路段无污染源，自然环境较好；区域内有保利剧院、中国医史博物馆等，人文环境较较好；综合评价环境状况较好。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44"/>
      <c r="Q20" s="1808" t="str">
        <f>B20</f>
        <v>自然及人文环境</v>
      </c>
      <c r="R20" s="772" t="s">
        <v>17</v>
      </c>
      <c r="S20" s="773">
        <f>F20</f>
        <v>100</v>
      </c>
      <c r="T20" s="772" t="s">
        <v>17</v>
      </c>
      <c r="U20" s="773">
        <f>H20</f>
        <v>100</v>
      </c>
      <c r="V20" s="772" t="s">
        <v>17</v>
      </c>
      <c r="W20" s="773">
        <f>J20</f>
        <v>100</v>
      </c>
      <c r="X20" s="1811"/>
      <c r="Y20" s="3244"/>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44"/>
      <c r="Q21" s="1808"/>
      <c r="R21" s="772"/>
      <c r="S21" s="773"/>
      <c r="T21" s="772"/>
      <c r="U21" s="773"/>
      <c r="V21" s="772"/>
      <c r="W21" s="773"/>
      <c r="X21" s="1811"/>
      <c r="Y21" s="3244"/>
      <c r="Z21" s="1812"/>
      <c r="AA21" s="1809">
        <v>1</v>
      </c>
      <c r="AB21" s="1809">
        <v>1</v>
      </c>
      <c r="AC21" s="1809">
        <v>1</v>
      </c>
    </row>
    <row r="22" spans="1:29" ht="15">
      <c r="A22" s="403"/>
      <c r="B22" s="630" t="s">
        <v>2700</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44"/>
      <c r="Q22" s="1808" t="str">
        <f>B22</f>
        <v>楼层</v>
      </c>
      <c r="R22" s="772" t="s">
        <v>17</v>
      </c>
      <c r="S22" s="773">
        <f>F22</f>
        <v>100</v>
      </c>
      <c r="T22" s="772" t="s">
        <v>17</v>
      </c>
      <c r="U22" s="773">
        <f>H22</f>
        <v>100</v>
      </c>
      <c r="V22" s="772" t="s">
        <v>17</v>
      </c>
      <c r="W22" s="773">
        <f>J22</f>
        <v>100</v>
      </c>
      <c r="X22" s="1811"/>
      <c r="Y22" s="3244"/>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44"/>
      <c r="Q23" s="1808">
        <f>B23</f>
        <v>111</v>
      </c>
      <c r="R23" s="772" t="s">
        <v>17</v>
      </c>
      <c r="S23" s="773">
        <f>F23</f>
        <v>100</v>
      </c>
      <c r="T23" s="772" t="s">
        <v>17</v>
      </c>
      <c r="U23" s="773">
        <f>H23</f>
        <v>100</v>
      </c>
      <c r="V23" s="772" t="s">
        <v>17</v>
      </c>
      <c r="W23" s="773">
        <f>J23</f>
        <v>100</v>
      </c>
      <c r="X23" s="1811"/>
      <c r="Y23" s="3244"/>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44"/>
      <c r="Q24" s="1808">
        <f t="shared" ref="Q24:Q36" si="11">B24</f>
        <v>111</v>
      </c>
      <c r="R24" s="772" t="s">
        <v>17</v>
      </c>
      <c r="S24" s="773">
        <f>F24</f>
        <v>100</v>
      </c>
      <c r="T24" s="772" t="s">
        <v>17</v>
      </c>
      <c r="U24" s="773">
        <f>H24</f>
        <v>100</v>
      </c>
      <c r="V24" s="772" t="s">
        <v>17</v>
      </c>
      <c r="W24" s="773">
        <f>J24</f>
        <v>100</v>
      </c>
      <c r="X24" s="1811"/>
      <c r="Y24" s="3244"/>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44"/>
      <c r="Q25" s="1793">
        <f t="shared" si="11"/>
        <v>111</v>
      </c>
      <c r="R25" s="768" t="s">
        <v>17</v>
      </c>
      <c r="S25" s="769">
        <f>F25</f>
        <v>100</v>
      </c>
      <c r="T25" s="768" t="s">
        <v>17</v>
      </c>
      <c r="U25" s="769">
        <f>H25</f>
        <v>100</v>
      </c>
      <c r="V25" s="768" t="s">
        <v>17</v>
      </c>
      <c r="W25" s="769">
        <f>J25</f>
        <v>100</v>
      </c>
      <c r="X25" s="770"/>
      <c r="Y25" s="3244"/>
      <c r="Z25" s="54">
        <f>Q25</f>
        <v>111</v>
      </c>
      <c r="AA25" s="1809">
        <f>D25/F25</f>
        <v>1</v>
      </c>
      <c r="AB25" s="1809">
        <f>D25/H25</f>
        <v>1</v>
      </c>
      <c r="AC25" s="1809">
        <f>D25/J25</f>
        <v>1</v>
      </c>
    </row>
    <row r="26" spans="1:29" ht="28.5">
      <c r="A26" s="651" t="s">
        <v>2552</v>
      </c>
      <c r="B26" s="69" t="s">
        <v>2701</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98" t="s">
        <v>2554</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48" t="s">
        <v>2554</v>
      </c>
      <c r="Z26" s="1812" t="str">
        <f t="shared" ref="Z26:Z36" si="15">Q26</f>
        <v>配套类型</v>
      </c>
      <c r="AA26" s="1809">
        <f t="shared" si="3"/>
        <v>1</v>
      </c>
      <c r="AB26" s="1809">
        <f t="shared" si="4"/>
        <v>1</v>
      </c>
      <c r="AC26" s="1809">
        <f t="shared" si="5"/>
        <v>1</v>
      </c>
    </row>
    <row r="27" spans="1:29" s="470" customFormat="1" ht="15">
      <c r="A27" s="652"/>
      <c r="B27" s="653" t="s">
        <v>2702</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48"/>
      <c r="Q27" s="774" t="str">
        <f t="shared" si="11"/>
        <v>项目停车位配比</v>
      </c>
      <c r="R27" s="775" t="s">
        <v>17</v>
      </c>
      <c r="S27" s="776">
        <f t="shared" si="12"/>
        <v>100</v>
      </c>
      <c r="T27" s="775" t="s">
        <v>17</v>
      </c>
      <c r="U27" s="776">
        <f t="shared" si="13"/>
        <v>100</v>
      </c>
      <c r="V27" s="775" t="s">
        <v>17</v>
      </c>
      <c r="W27" s="776">
        <f t="shared" si="14"/>
        <v>100</v>
      </c>
      <c r="X27" s="777"/>
      <c r="Y27" s="3248"/>
      <c r="Z27" s="778" t="str">
        <f t="shared" si="15"/>
        <v>项目停车位配比</v>
      </c>
      <c r="AA27" s="1809">
        <f t="shared" si="3"/>
        <v>1</v>
      </c>
      <c r="AB27" s="1809">
        <f t="shared" si="4"/>
        <v>1</v>
      </c>
      <c r="AC27" s="1809">
        <f t="shared" si="5"/>
        <v>1</v>
      </c>
    </row>
    <row r="28" spans="1:29" ht="15">
      <c r="A28" s="655"/>
      <c r="B28" s="653" t="s">
        <v>2703</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48"/>
      <c r="Q28" s="1808" t="str">
        <f t="shared" si="11"/>
        <v>公共部分装修</v>
      </c>
      <c r="R28" s="772" t="s">
        <v>17</v>
      </c>
      <c r="S28" s="773">
        <f t="shared" si="12"/>
        <v>100</v>
      </c>
      <c r="T28" s="772" t="s">
        <v>17</v>
      </c>
      <c r="U28" s="773">
        <f t="shared" si="13"/>
        <v>100</v>
      </c>
      <c r="V28" s="772" t="s">
        <v>17</v>
      </c>
      <c r="W28" s="773">
        <f t="shared" si="14"/>
        <v>100</v>
      </c>
      <c r="X28" s="1811"/>
      <c r="Y28" s="3248"/>
      <c r="Z28" s="1812" t="str">
        <f t="shared" si="15"/>
        <v>公共部分装修</v>
      </c>
      <c r="AA28" s="1809">
        <f t="shared" si="3"/>
        <v>1</v>
      </c>
      <c r="AB28" s="1809">
        <f t="shared" si="4"/>
        <v>1</v>
      </c>
      <c r="AC28" s="1809">
        <f t="shared" si="5"/>
        <v>1</v>
      </c>
    </row>
    <row r="29" spans="1:29" ht="15">
      <c r="A29" s="655"/>
      <c r="B29" s="653" t="s">
        <v>2704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48"/>
      <c r="Q29" s="1808" t="str">
        <f t="shared" si="11"/>
        <v>成新率</v>
      </c>
      <c r="R29" s="772" t="s">
        <v>17</v>
      </c>
      <c r="S29" s="773" t="e">
        <f t="shared" si="12"/>
        <v>#N/A</v>
      </c>
      <c r="T29" s="772" t="s">
        <v>17</v>
      </c>
      <c r="U29" s="773" t="e">
        <f t="shared" si="13"/>
        <v>#N/A</v>
      </c>
      <c r="V29" s="772" t="s">
        <v>17</v>
      </c>
      <c r="W29" s="773" t="e">
        <f t="shared" si="14"/>
        <v>#N/A</v>
      </c>
      <c r="X29" s="1811"/>
      <c r="Y29" s="3248"/>
      <c r="Z29" s="1812" t="str">
        <f t="shared" si="15"/>
        <v>成新率</v>
      </c>
      <c r="AA29" s="1809" t="e">
        <f t="shared" si="3"/>
        <v>#N/A</v>
      </c>
      <c r="AB29" s="1809" t="e">
        <f t="shared" si="4"/>
        <v>#N/A</v>
      </c>
      <c r="AC29" s="1809" t="e">
        <f t="shared" si="5"/>
        <v>#N/A</v>
      </c>
    </row>
    <row r="30" spans="1:29" ht="15">
      <c r="A30" s="655"/>
      <c r="B30" s="653" t="s">
        <v>2705</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48"/>
      <c r="Q30" s="1808" t="str">
        <f t="shared" si="11"/>
        <v>物业等级</v>
      </c>
      <c r="R30" s="772" t="s">
        <v>17</v>
      </c>
      <c r="S30" s="773">
        <f t="shared" si="12"/>
        <v>100</v>
      </c>
      <c r="T30" s="772" t="s">
        <v>17</v>
      </c>
      <c r="U30" s="773">
        <f t="shared" si="13"/>
        <v>100</v>
      </c>
      <c r="V30" s="772" t="s">
        <v>17</v>
      </c>
      <c r="W30" s="773">
        <f t="shared" si="14"/>
        <v>100</v>
      </c>
      <c r="X30" s="1811"/>
      <c r="Y30" s="3248"/>
      <c r="Z30" s="1812" t="str">
        <f t="shared" si="15"/>
        <v>物业等级</v>
      </c>
      <c r="AA30" s="1809">
        <f t="shared" si="3"/>
        <v>1</v>
      </c>
      <c r="AB30" s="1809">
        <f t="shared" si="4"/>
        <v>1</v>
      </c>
      <c r="AC30" s="1809">
        <f t="shared" si="5"/>
        <v>1</v>
      </c>
    </row>
    <row r="31" spans="1:29" s="116" customFormat="1" ht="15">
      <c r="A31" s="657"/>
      <c r="B31" s="653" t="s">
        <v>2706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48"/>
      <c r="Q31" s="1793" t="str">
        <f t="shared" si="11"/>
        <v>停车位面积</v>
      </c>
      <c r="R31" s="768" t="s">
        <v>17</v>
      </c>
      <c r="S31" s="769" t="e">
        <f t="shared" si="12"/>
        <v>#N/A</v>
      </c>
      <c r="T31" s="768" t="s">
        <v>17</v>
      </c>
      <c r="U31" s="769" t="e">
        <f t="shared" si="13"/>
        <v>#N/A</v>
      </c>
      <c r="V31" s="768" t="s">
        <v>17</v>
      </c>
      <c r="W31" s="769" t="e">
        <f t="shared" si="14"/>
        <v>#N/A</v>
      </c>
      <c r="X31" s="770"/>
      <c r="Y31" s="3248"/>
      <c r="Z31" s="54" t="str">
        <f t="shared" si="15"/>
        <v>停车位面积</v>
      </c>
      <c r="AA31" s="771" t="e">
        <f t="shared" si="3"/>
        <v>#N/A</v>
      </c>
      <c r="AB31" s="771" t="e">
        <f t="shared" si="4"/>
        <v>#N/A</v>
      </c>
      <c r="AC31" s="771" t="e">
        <f t="shared" si="5"/>
        <v>#N/A</v>
      </c>
    </row>
    <row r="32" spans="1:29" ht="15">
      <c r="A32" s="655"/>
      <c r="B32" s="653" t="s">
        <v>2707</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48" t="s">
        <v>2554</v>
      </c>
      <c r="Q32" s="1808" t="str">
        <f t="shared" si="11"/>
        <v>车位类型</v>
      </c>
      <c r="R32" s="772" t="s">
        <v>17</v>
      </c>
      <c r="S32" s="773">
        <f t="shared" si="12"/>
        <v>100</v>
      </c>
      <c r="T32" s="772" t="s">
        <v>17</v>
      </c>
      <c r="U32" s="773">
        <f t="shared" si="13"/>
        <v>100</v>
      </c>
      <c r="V32" s="772" t="s">
        <v>17</v>
      </c>
      <c r="W32" s="773">
        <f t="shared" si="14"/>
        <v>100</v>
      </c>
      <c r="X32" s="1811"/>
      <c r="Y32" s="3248" t="s">
        <v>2554</v>
      </c>
      <c r="Z32" s="1812" t="str">
        <f t="shared" si="15"/>
        <v>车位类型</v>
      </c>
      <c r="AA32" s="1809">
        <f t="shared" si="3"/>
        <v>1</v>
      </c>
      <c r="AB32" s="1809">
        <f t="shared" si="4"/>
        <v>1</v>
      </c>
      <c r="AC32" s="1809">
        <f t="shared" si="5"/>
        <v>1</v>
      </c>
    </row>
    <row r="33" spans="1:29" ht="15">
      <c r="A33" s="655"/>
      <c r="B33" s="653" t="s">
        <v>2708</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48"/>
      <c r="Q33" s="1808" t="str">
        <f t="shared" si="11"/>
        <v>是否直接入户</v>
      </c>
      <c r="R33" s="772" t="s">
        <v>17</v>
      </c>
      <c r="S33" s="773">
        <f t="shared" si="12"/>
        <v>100</v>
      </c>
      <c r="T33" s="772" t="s">
        <v>17</v>
      </c>
      <c r="U33" s="773">
        <f t="shared" si="13"/>
        <v>100</v>
      </c>
      <c r="V33" s="772" t="s">
        <v>17</v>
      </c>
      <c r="W33" s="773">
        <f t="shared" si="14"/>
        <v>100</v>
      </c>
      <c r="X33" s="1811"/>
      <c r="Y33" s="3248"/>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48"/>
      <c r="Q34" s="1808">
        <f t="shared" si="11"/>
        <v>111</v>
      </c>
      <c r="R34" s="772" t="s">
        <v>17</v>
      </c>
      <c r="S34" s="773">
        <f t="shared" si="12"/>
        <v>100</v>
      </c>
      <c r="T34" s="772" t="s">
        <v>17</v>
      </c>
      <c r="U34" s="773">
        <f t="shared" si="13"/>
        <v>100</v>
      </c>
      <c r="V34" s="772" t="s">
        <v>17</v>
      </c>
      <c r="W34" s="773">
        <f t="shared" si="14"/>
        <v>100</v>
      </c>
      <c r="X34" s="1811"/>
      <c r="Y34" s="3248"/>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48"/>
      <c r="Q35" s="774">
        <f t="shared" si="11"/>
        <v>111</v>
      </c>
      <c r="R35" s="775" t="s">
        <v>17</v>
      </c>
      <c r="S35" s="776">
        <f t="shared" si="12"/>
        <v>100</v>
      </c>
      <c r="T35" s="775" t="s">
        <v>17</v>
      </c>
      <c r="U35" s="776">
        <f t="shared" si="13"/>
        <v>100</v>
      </c>
      <c r="V35" s="775" t="s">
        <v>17</v>
      </c>
      <c r="W35" s="776">
        <f t="shared" si="14"/>
        <v>100</v>
      </c>
      <c r="X35" s="777"/>
      <c r="Y35" s="3248"/>
      <c r="Z35" s="778">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48"/>
      <c r="Q36" s="1808">
        <f t="shared" si="11"/>
        <v>111</v>
      </c>
      <c r="R36" s="772" t="s">
        <v>17</v>
      </c>
      <c r="S36" s="773">
        <f t="shared" si="12"/>
        <v>100</v>
      </c>
      <c r="T36" s="772" t="s">
        <v>17</v>
      </c>
      <c r="U36" s="773">
        <f t="shared" si="13"/>
        <v>100</v>
      </c>
      <c r="V36" s="772" t="s">
        <v>17</v>
      </c>
      <c r="W36" s="773">
        <f t="shared" si="14"/>
        <v>100</v>
      </c>
      <c r="X36" s="1811"/>
      <c r="Y36" s="3248"/>
      <c r="Z36" s="1812">
        <f t="shared" si="15"/>
        <v>111</v>
      </c>
      <c r="AA36" s="1809">
        <f t="shared" si="3"/>
        <v>1</v>
      </c>
      <c r="AB36" s="1809">
        <f t="shared" si="4"/>
        <v>1</v>
      </c>
      <c r="AC36" s="1809">
        <f t="shared" si="5"/>
        <v>1</v>
      </c>
    </row>
    <row r="37" spans="1:29" ht="15">
      <c r="A37" s="478" t="s">
        <v>2709</v>
      </c>
      <c r="B37" s="2691" t="s">
        <v>2710</v>
      </c>
      <c r="C37" s="1405" t="s">
        <v>1</v>
      </c>
      <c r="D37" s="1406"/>
      <c r="E37" s="1407"/>
      <c r="F37" s="1408"/>
      <c r="G37" s="1409"/>
      <c r="H37" s="1410"/>
      <c r="I37" s="1407"/>
      <c r="J37" s="1410"/>
      <c r="K37" s="618"/>
      <c r="L37" s="1141"/>
      <c r="M37" s="1142"/>
      <c r="N37" s="1129"/>
      <c r="O37" s="1142"/>
      <c r="P37" s="3236" t="str">
        <f>A37</f>
        <v>成交单价</v>
      </c>
      <c r="Q37" s="3236"/>
      <c r="R37" s="3237">
        <f>E37</f>
        <v>0</v>
      </c>
      <c r="S37" s="3237"/>
      <c r="T37" s="3237">
        <f>G37</f>
        <v>0</v>
      </c>
      <c r="U37" s="3237"/>
      <c r="V37" s="3237">
        <f>I37</f>
        <v>0</v>
      </c>
      <c r="W37" s="3237"/>
      <c r="X37" s="757"/>
      <c r="Y37" s="779"/>
      <c r="Z37" s="757"/>
      <c r="AA37" s="757"/>
      <c r="AB37" s="757"/>
      <c r="AC37" s="757"/>
    </row>
    <row r="38" spans="1:29" ht="15.75" thickBot="1">
      <c r="A38" s="485" t="s">
        <v>2711</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36" t="str">
        <f>A38</f>
        <v>比较价值（元/平方米）</v>
      </c>
      <c r="Q38" s="3236"/>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7"/>
      <c r="Y38" s="757"/>
      <c r="Z38" s="757"/>
      <c r="AA38" s="757"/>
      <c r="AB38" s="757"/>
      <c r="AC38" s="757"/>
    </row>
    <row r="39" spans="1:29" ht="15.75" thickBot="1">
      <c r="A39" s="491" t="s">
        <v>2712</v>
      </c>
      <c r="B39" s="492"/>
      <c r="C39" s="1415" t="e">
        <f>R39</f>
        <v>#DIV/0!</v>
      </c>
      <c r="D39" s="1415"/>
      <c r="E39" s="1415"/>
      <c r="F39" s="1415"/>
      <c r="G39" s="1415"/>
      <c r="H39" s="1415"/>
      <c r="I39" s="1415"/>
      <c r="J39" s="1415"/>
      <c r="K39" s="620"/>
      <c r="L39" s="1141"/>
      <c r="M39" s="1142"/>
      <c r="N39" s="1142"/>
      <c r="O39" s="1142"/>
      <c r="P39" s="3238" t="str">
        <f>A39</f>
        <v>估价对象XX用房的比较价值（楼面单价，元/平方米）</v>
      </c>
      <c r="Q39" s="3239"/>
      <c r="R39" s="3240" t="e">
        <f>IF(F1="售价",ROUND(AVERAGE(R38:V38),0),ROUND(AVERAGE(R38:V38),1))</f>
        <v>#DIV/0!</v>
      </c>
      <c r="S39" s="3240"/>
      <c r="T39" s="3240"/>
      <c r="U39" s="3240"/>
      <c r="V39" s="3240"/>
      <c r="W39" s="3240"/>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2714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2715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2716</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2717</v>
      </c>
      <c r="B48" s="505"/>
      <c r="C48" s="1572" t="str">
        <f>YEAR(C7)&amp;"-"&amp;MONTH(C7)</f>
        <v>2019-7</v>
      </c>
      <c r="D48" s="1573">
        <f>EDATE(C48,-1)</f>
        <v>43617</v>
      </c>
      <c r="E48" s="1573">
        <f t="shared" ref="E48:O48" si="16">EDATE(D48,-1)</f>
        <v>43586</v>
      </c>
      <c r="F48" s="1573">
        <f t="shared" si="16"/>
        <v>43556</v>
      </c>
      <c r="G48" s="1573">
        <f t="shared" si="16"/>
        <v>43525</v>
      </c>
      <c r="H48" s="1573">
        <f t="shared" si="16"/>
        <v>43497</v>
      </c>
      <c r="I48" s="1573">
        <f t="shared" si="16"/>
        <v>43466</v>
      </c>
      <c r="J48" s="1573">
        <f t="shared" si="16"/>
        <v>43435</v>
      </c>
      <c r="K48" s="1573">
        <f t="shared" si="16"/>
        <v>43405</v>
      </c>
      <c r="L48" s="1573">
        <f t="shared" si="16"/>
        <v>43374</v>
      </c>
      <c r="M48" s="1573">
        <f t="shared" si="16"/>
        <v>43344</v>
      </c>
      <c r="N48" s="1573">
        <f t="shared" si="16"/>
        <v>43313</v>
      </c>
      <c r="O48" s="1573">
        <f t="shared" si="16"/>
        <v>43282</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2574</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2539</v>
      </c>
      <c r="B51" s="509"/>
      <c r="C51" s="521" t="s">
        <v>2641</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2577</v>
      </c>
      <c r="B53" s="527" t="s">
        <v>2543</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2546</v>
      </c>
      <c r="C55" s="538" t="s">
        <v>2578</v>
      </c>
      <c r="D55" s="538" t="s">
        <v>2579</v>
      </c>
      <c r="E55" s="538" t="s">
        <v>2580</v>
      </c>
      <c r="F55" s="538" t="s">
        <v>2581</v>
      </c>
      <c r="G55" s="538" t="s">
        <v>2582</v>
      </c>
      <c r="H55" s="538" t="s">
        <v>2583</v>
      </c>
      <c r="I55" s="538" t="s">
        <v>2584</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2548</v>
      </c>
      <c r="B63" s="527" t="s">
        <v>2591</v>
      </c>
      <c r="C63" s="572" t="s">
        <v>2586</v>
      </c>
      <c r="D63" s="572" t="s">
        <v>2587</v>
      </c>
      <c r="E63" s="572" t="s">
        <v>2588</v>
      </c>
      <c r="F63" s="572" t="s">
        <v>2589</v>
      </c>
      <c r="G63" s="572" t="s">
        <v>2590</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2592</v>
      </c>
      <c r="C65" s="577" t="s">
        <v>2586</v>
      </c>
      <c r="D65" s="577" t="s">
        <v>2587</v>
      </c>
      <c r="E65" s="577" t="s">
        <v>2588</v>
      </c>
      <c r="F65" s="577" t="s">
        <v>2589</v>
      </c>
      <c r="G65" s="577" t="s">
        <v>2590</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2678</v>
      </c>
      <c r="C67" s="659" t="s">
        <v>2664</v>
      </c>
      <c r="D67" s="659" t="s">
        <v>2665</v>
      </c>
      <c r="E67" s="659" t="s">
        <v>2666</v>
      </c>
      <c r="F67" s="659" t="s">
        <v>2667</v>
      </c>
      <c r="G67" s="659" t="s">
        <v>2668</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2598</v>
      </c>
      <c r="C69" s="577" t="s">
        <v>2586</v>
      </c>
      <c r="D69" s="577" t="s">
        <v>2587</v>
      </c>
      <c r="E69" s="577" t="s">
        <v>2588</v>
      </c>
      <c r="F69" s="577" t="s">
        <v>2589</v>
      </c>
      <c r="G69" s="577" t="s">
        <v>2590</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2718</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2552</v>
      </c>
      <c r="B79" s="527" t="s">
        <v>2719</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2720</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2605</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2722</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2724</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2725</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5" priority="14" stopIfTrue="1" operator="containsText" text="超过">
      <formula>NOT(ISERROR(SEARCH("超过",F42)))</formula>
    </cfRule>
  </conditionalFormatting>
  <conditionalFormatting sqref="J44">
    <cfRule type="containsText" dxfId="114" priority="13" stopIfTrue="1" operator="containsText" text="超过">
      <formula>NOT(ISERROR(SEARCH("超过",J44)))</formula>
    </cfRule>
  </conditionalFormatting>
  <conditionalFormatting sqref="H44">
    <cfRule type="containsText" dxfId="113" priority="12" stopIfTrue="1" operator="containsText" text="超过">
      <formula>NOT(ISERROR(SEARCH("超过",H44)))</formula>
    </cfRule>
  </conditionalFormatting>
  <conditionalFormatting sqref="F44">
    <cfRule type="containsText" dxfId="112" priority="11" stopIfTrue="1" operator="containsText" text="超过">
      <formula>NOT(ISERROR(SEARCH("超过",F44)))</formula>
    </cfRule>
  </conditionalFormatting>
  <conditionalFormatting sqref="F43 H43 J43">
    <cfRule type="containsText" dxfId="111" priority="10" stopIfTrue="1" operator="containsText" text="超过">
      <formula>NOT(ISERROR(SEARCH("超过",F43)))</formula>
    </cfRule>
  </conditionalFormatting>
  <conditionalFormatting sqref="E42">
    <cfRule type="expression" dxfId="110" priority="9" stopIfTrue="1">
      <formula>$F$42="超过30%"</formula>
    </cfRule>
  </conditionalFormatting>
  <conditionalFormatting sqref="G44">
    <cfRule type="expression" dxfId="109" priority="8" stopIfTrue="1">
      <formula>$H$54+$H$44="超过30%"</formula>
    </cfRule>
  </conditionalFormatting>
  <conditionalFormatting sqref="E43">
    <cfRule type="expression" dxfId="108" priority="7" stopIfTrue="1">
      <formula>$F$43="超过20%"</formula>
    </cfRule>
  </conditionalFormatting>
  <conditionalFormatting sqref="E44">
    <cfRule type="expression" dxfId="107" priority="6" stopIfTrue="1">
      <formula>$F$44="超过30%"</formula>
    </cfRule>
  </conditionalFormatting>
  <conditionalFormatting sqref="G42">
    <cfRule type="expression" dxfId="106" priority="5" stopIfTrue="1">
      <formula>$H$52+$H$42="超过30%"</formula>
    </cfRule>
  </conditionalFormatting>
  <conditionalFormatting sqref="G43">
    <cfRule type="expression" dxfId="105" priority="4" stopIfTrue="1">
      <formula>$H$43="超过20%"</formula>
    </cfRule>
  </conditionalFormatting>
  <conditionalFormatting sqref="I42">
    <cfRule type="expression" dxfId="104" priority="3" stopIfTrue="1">
      <formula>$J$52+$J$42="超过30%"</formula>
    </cfRule>
  </conditionalFormatting>
  <conditionalFormatting sqref="I43">
    <cfRule type="expression" dxfId="103" priority="2" stopIfTrue="1">
      <formula>$J$53+$J$43="超过20%"</formula>
    </cfRule>
  </conditionalFormatting>
  <conditionalFormatting sqref="I44">
    <cfRule type="expression" dxfId="10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2696</v>
      </c>
      <c r="B1" s="1617"/>
      <c r="C1" s="1618" t="s">
        <v>2519</v>
      </c>
      <c r="D1" s="1619"/>
      <c r="E1" s="1628"/>
      <c r="F1" s="2582"/>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2316</v>
      </c>
      <c r="B2" s="1416" t="e">
        <f ca="1">IF(C2="——",ROUND(C37*D3/10000,0),ROUND(C37*D3/10000,0)-D2)</f>
        <v>#DIV/0!</v>
      </c>
      <c r="C2" s="2584"/>
      <c r="D2" s="1122" t="e">
        <f ca="1">SUMIF(INDIRECT("'"&amp;F2&amp;"'"&amp;"!A:A"),"承租人权益价值",INDIRECT("'"&amp;F2&amp;"'"&amp;"!c:c"))</f>
        <v>#REF!</v>
      </c>
      <c r="E2" s="2585" t="s">
        <v>2317</v>
      </c>
      <c r="F2" s="2586"/>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2318</v>
      </c>
      <c r="B3" s="608" t="e">
        <f ca="1">IF(C2="——",C37,ROUND(B2*10000/D3,0))</f>
        <v>#DIV/0!</v>
      </c>
      <c r="C3" s="399" t="s">
        <v>2633</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2634</v>
      </c>
      <c r="B4" s="401"/>
      <c r="C4" s="3255" t="s">
        <v>2635</v>
      </c>
      <c r="D4" s="3256"/>
      <c r="E4" s="3257" t="s">
        <v>2636</v>
      </c>
      <c r="F4" s="3258"/>
      <c r="G4" s="3255" t="s">
        <v>2637</v>
      </c>
      <c r="H4" s="3256"/>
      <c r="I4" s="3255" t="s">
        <v>2638</v>
      </c>
      <c r="J4" s="3256"/>
      <c r="K4" s="609" t="s">
        <v>2639</v>
      </c>
      <c r="L4" s="1128"/>
      <c r="M4" s="1129"/>
      <c r="N4" s="1129"/>
      <c r="O4" s="1129"/>
      <c r="P4" s="3259" t="s">
        <v>2640</v>
      </c>
      <c r="Q4" s="3260"/>
      <c r="R4" s="3265" t="s">
        <v>2636</v>
      </c>
      <c r="S4" s="3266"/>
      <c r="T4" s="3265" t="s">
        <v>2637</v>
      </c>
      <c r="U4" s="3266"/>
      <c r="V4" s="3250" t="s">
        <v>2638</v>
      </c>
      <c r="W4" s="3250"/>
      <c r="X4" s="1811"/>
      <c r="Y4" s="3265" t="s">
        <v>2640</v>
      </c>
      <c r="Z4" s="3266"/>
      <c r="AA4" s="3252" t="s">
        <v>2636</v>
      </c>
      <c r="AB4" s="3253" t="s">
        <v>2637</v>
      </c>
      <c r="AC4" s="3252" t="s">
        <v>2638</v>
      </c>
    </row>
    <row r="5" spans="1:29" ht="15">
      <c r="A5" s="403"/>
      <c r="B5" s="404"/>
      <c r="C5" s="3273" t="s">
        <v>2531</v>
      </c>
      <c r="D5" s="3274"/>
      <c r="E5" s="3280" t="s">
        <v>2532</v>
      </c>
      <c r="F5" s="3281"/>
      <c r="G5" s="3273" t="s">
        <v>2533</v>
      </c>
      <c r="H5" s="3274"/>
      <c r="I5" s="3273" t="s">
        <v>2534</v>
      </c>
      <c r="J5" s="3274"/>
      <c r="K5" s="609"/>
      <c r="L5" s="1128"/>
      <c r="M5" s="1129"/>
      <c r="N5" s="1129"/>
      <c r="O5" s="1129"/>
      <c r="P5" s="3261"/>
      <c r="Q5" s="3262"/>
      <c r="R5" s="3267"/>
      <c r="S5" s="3268"/>
      <c r="T5" s="3267"/>
      <c r="U5" s="3268"/>
      <c r="V5" s="3250"/>
      <c r="W5" s="3250"/>
      <c r="X5" s="1811"/>
      <c r="Y5" s="3267"/>
      <c r="Z5" s="3268"/>
      <c r="AA5" s="3253"/>
      <c r="AB5" s="3253"/>
      <c r="AC5" s="3253"/>
    </row>
    <row r="6" spans="1:29" ht="15.75" thickBot="1">
      <c r="A6" s="405"/>
      <c r="B6" s="406"/>
      <c r="C6" s="3271" t="s">
        <v>2535</v>
      </c>
      <c r="D6" s="3272"/>
      <c r="E6" s="3278" t="s">
        <v>2535</v>
      </c>
      <c r="F6" s="3279"/>
      <c r="G6" s="3271" t="s">
        <v>2535</v>
      </c>
      <c r="H6" s="3272"/>
      <c r="I6" s="3271" t="s">
        <v>2535</v>
      </c>
      <c r="J6" s="3272"/>
      <c r="K6" s="609" t="s">
        <v>2536</v>
      </c>
      <c r="L6" s="1128"/>
      <c r="M6" s="1129"/>
      <c r="N6" s="1129"/>
      <c r="O6" s="1129"/>
      <c r="P6" s="3263"/>
      <c r="Q6" s="3264"/>
      <c r="R6" s="3267"/>
      <c r="S6" s="3268"/>
      <c r="T6" s="3269"/>
      <c r="U6" s="3270"/>
      <c r="V6" s="3250"/>
      <c r="W6" s="3250"/>
      <c r="X6" s="1811"/>
      <c r="Y6" s="3269"/>
      <c r="Z6" s="3270"/>
      <c r="AA6" s="3254"/>
      <c r="AB6" s="3254"/>
      <c r="AC6" s="3254"/>
    </row>
    <row r="7" spans="1:29" s="116" customFormat="1" ht="15.75" thickBot="1">
      <c r="A7" s="407" t="s">
        <v>2537</v>
      </c>
      <c r="B7" s="408"/>
      <c r="C7" s="409">
        <f>'数据-取费表'!B2</f>
        <v>43658</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275" t="s">
        <v>2538</v>
      </c>
      <c r="Q7" s="3277"/>
      <c r="R7" s="768" t="s">
        <v>17</v>
      </c>
      <c r="S7" s="769">
        <f t="shared" ref="S7:S14" si="0">F7</f>
        <v>0</v>
      </c>
      <c r="T7" s="768" t="s">
        <v>17</v>
      </c>
      <c r="U7" s="769">
        <f t="shared" ref="U7:U14" si="1">H7</f>
        <v>0</v>
      </c>
      <c r="V7" s="768" t="s">
        <v>17</v>
      </c>
      <c r="W7" s="769">
        <f t="shared" ref="W7:W14" si="2">J7</f>
        <v>0</v>
      </c>
      <c r="X7" s="770"/>
      <c r="Y7" s="3275" t="s">
        <v>2538</v>
      </c>
      <c r="Z7" s="3276"/>
      <c r="AA7" s="771" t="e">
        <f>D7/F7</f>
        <v>#DIV/0!</v>
      </c>
      <c r="AB7" s="771" t="e">
        <f>D7/H7</f>
        <v>#DIV/0!</v>
      </c>
      <c r="AC7" s="771" t="e">
        <f>D7/J7</f>
        <v>#DIV/0!</v>
      </c>
    </row>
    <row r="8" spans="1:29" s="116" customFormat="1" ht="15.75" thickBot="1">
      <c r="A8" s="407" t="s">
        <v>2539</v>
      </c>
      <c r="B8" s="408"/>
      <c r="C8" s="413" t="s">
        <v>2641</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75" t="s">
        <v>2541</v>
      </c>
      <c r="Q8" s="3276"/>
      <c r="R8" s="768" t="s">
        <v>17</v>
      </c>
      <c r="S8" s="769">
        <f t="shared" si="0"/>
        <v>0</v>
      </c>
      <c r="T8" s="768" t="s">
        <v>17</v>
      </c>
      <c r="U8" s="769">
        <f t="shared" si="1"/>
        <v>0</v>
      </c>
      <c r="V8" s="768" t="s">
        <v>17</v>
      </c>
      <c r="W8" s="769">
        <f t="shared" si="2"/>
        <v>0</v>
      </c>
      <c r="X8" s="770"/>
      <c r="Y8" s="3275" t="s">
        <v>2541</v>
      </c>
      <c r="Z8" s="3276"/>
      <c r="AA8" s="771" t="e">
        <f t="shared" ref="AA8:AA34" si="3">D8/F8</f>
        <v>#DIV/0!</v>
      </c>
      <c r="AB8" s="771" t="e">
        <f t="shared" ref="AB8:AB34" si="4">D8/H8</f>
        <v>#DIV/0!</v>
      </c>
      <c r="AC8" s="771" t="e">
        <f t="shared" ref="AC8:AC34" si="5">D8/J8</f>
        <v>#DIV/0!</v>
      </c>
    </row>
    <row r="9" spans="1:29" s="116" customFormat="1">
      <c r="A9" s="414" t="s">
        <v>2542</v>
      </c>
      <c r="B9" s="70" t="s">
        <v>2543</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36" t="s">
        <v>2544</v>
      </c>
      <c r="Q9" s="1793" t="str">
        <f t="shared" ref="Q9:Q14" si="6">B9</f>
        <v>用途</v>
      </c>
      <c r="R9" s="768" t="s">
        <v>17</v>
      </c>
      <c r="S9" s="769">
        <f t="shared" si="0"/>
        <v>100</v>
      </c>
      <c r="T9" s="768" t="s">
        <v>17</v>
      </c>
      <c r="U9" s="769">
        <f t="shared" si="1"/>
        <v>100</v>
      </c>
      <c r="V9" s="768" t="s">
        <v>17</v>
      </c>
      <c r="W9" s="769">
        <f t="shared" si="2"/>
        <v>100</v>
      </c>
      <c r="X9" s="770"/>
      <c r="Y9" s="3067" t="s">
        <v>2545</v>
      </c>
      <c r="Z9" s="54" t="str">
        <f t="shared" ref="Z9:Z14" si="7">Q9</f>
        <v>用途</v>
      </c>
      <c r="AA9" s="771">
        <f t="shared" si="3"/>
        <v>1</v>
      </c>
      <c r="AB9" s="771">
        <f t="shared" si="4"/>
        <v>1</v>
      </c>
      <c r="AC9" s="771">
        <f t="shared" si="5"/>
        <v>1</v>
      </c>
    </row>
    <row r="10" spans="1:29" s="426" customFormat="1" ht="27">
      <c r="A10" s="420"/>
      <c r="B10" s="421" t="s">
        <v>2546</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36"/>
      <c r="Q10" s="1793" t="str">
        <f t="shared" si="6"/>
        <v>土地使用年限（年）</v>
      </c>
      <c r="R10" s="768" t="s">
        <v>17</v>
      </c>
      <c r="S10" s="769">
        <f t="shared" si="0"/>
        <v>100</v>
      </c>
      <c r="T10" s="768" t="s">
        <v>17</v>
      </c>
      <c r="U10" s="769">
        <f t="shared" si="1"/>
        <v>100</v>
      </c>
      <c r="V10" s="768" t="s">
        <v>17</v>
      </c>
      <c r="W10" s="769">
        <f t="shared" si="2"/>
        <v>100</v>
      </c>
      <c r="X10" s="770"/>
      <c r="Y10" s="3067"/>
      <c r="Z10" s="54" t="str">
        <f t="shared" si="7"/>
        <v>土地使用年限（年）</v>
      </c>
      <c r="AA10" s="771">
        <f t="shared" si="3"/>
        <v>1</v>
      </c>
      <c r="AB10" s="771">
        <f t="shared" si="4"/>
        <v>1</v>
      </c>
      <c r="AC10" s="771">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36"/>
      <c r="Q11" s="1793">
        <f t="shared" si="6"/>
        <v>111</v>
      </c>
      <c r="R11" s="768" t="s">
        <v>17</v>
      </c>
      <c r="S11" s="769">
        <f t="shared" si="0"/>
        <v>100</v>
      </c>
      <c r="T11" s="768" t="s">
        <v>17</v>
      </c>
      <c r="U11" s="769">
        <f t="shared" si="1"/>
        <v>100</v>
      </c>
      <c r="V11" s="768" t="s">
        <v>17</v>
      </c>
      <c r="W11" s="769">
        <f t="shared" si="2"/>
        <v>100</v>
      </c>
      <c r="X11" s="770"/>
      <c r="Y11" s="3067"/>
      <c r="Z11" s="54">
        <f t="shared" si="7"/>
        <v>111</v>
      </c>
      <c r="AA11" s="771">
        <f t="shared" si="3"/>
        <v>1</v>
      </c>
      <c r="AB11" s="771">
        <f t="shared" si="4"/>
        <v>1</v>
      </c>
      <c r="AC11" s="771">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36"/>
      <c r="Q12" s="1793">
        <f t="shared" si="6"/>
        <v>111</v>
      </c>
      <c r="R12" s="768" t="s">
        <v>17</v>
      </c>
      <c r="S12" s="769">
        <f t="shared" si="0"/>
        <v>100</v>
      </c>
      <c r="T12" s="768" t="s">
        <v>17</v>
      </c>
      <c r="U12" s="769">
        <f t="shared" si="1"/>
        <v>100</v>
      </c>
      <c r="V12" s="768" t="s">
        <v>17</v>
      </c>
      <c r="W12" s="769">
        <f t="shared" si="2"/>
        <v>100</v>
      </c>
      <c r="X12" s="770"/>
      <c r="Y12" s="3067"/>
      <c r="Z12" s="54">
        <f t="shared" si="7"/>
        <v>111</v>
      </c>
      <c r="AA12" s="771">
        <f>D12/F12</f>
        <v>1</v>
      </c>
      <c r="AB12" s="771">
        <f>D12/H12</f>
        <v>1</v>
      </c>
      <c r="AC12" s="771">
        <f>D12/J12</f>
        <v>1</v>
      </c>
    </row>
    <row r="13" spans="1:29" ht="15.75" thickBot="1">
      <c r="A13" s="427"/>
      <c r="B13" s="2598">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236"/>
      <c r="Q13" s="1793">
        <f t="shared" si="6"/>
        <v>111</v>
      </c>
      <c r="R13" s="768" t="s">
        <v>17</v>
      </c>
      <c r="S13" s="769">
        <f t="shared" si="0"/>
        <v>100</v>
      </c>
      <c r="T13" s="768" t="s">
        <v>17</v>
      </c>
      <c r="U13" s="769">
        <f t="shared" si="1"/>
        <v>100</v>
      </c>
      <c r="V13" s="768" t="s">
        <v>17</v>
      </c>
      <c r="W13" s="769">
        <f t="shared" si="2"/>
        <v>100</v>
      </c>
      <c r="X13" s="770"/>
      <c r="Y13" s="3067"/>
      <c r="Z13" s="54">
        <f t="shared" si="7"/>
        <v>111</v>
      </c>
      <c r="AA13" s="771">
        <f t="shared" si="3"/>
        <v>1</v>
      </c>
      <c r="AB13" s="771">
        <f t="shared" si="4"/>
        <v>1</v>
      </c>
      <c r="AC13" s="771">
        <f t="shared" si="5"/>
        <v>1</v>
      </c>
    </row>
    <row r="14" spans="1:29" ht="213.75">
      <c r="A14" s="439" t="s">
        <v>2548</v>
      </c>
      <c r="B14" s="68" t="s">
        <v>2698</v>
      </c>
      <c r="C14" s="2689" t="str">
        <f>IF(B1="工业",估价对象房地状况!G4,估价对象房地状况!C6)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43" t="s">
        <v>2549</v>
      </c>
      <c r="Q14" s="1808" t="str">
        <f t="shared" si="6"/>
        <v>交通便捷度</v>
      </c>
      <c r="R14" s="772" t="s">
        <v>17</v>
      </c>
      <c r="S14" s="773">
        <f t="shared" si="0"/>
        <v>100</v>
      </c>
      <c r="T14" s="772" t="s">
        <v>17</v>
      </c>
      <c r="U14" s="773">
        <f t="shared" si="1"/>
        <v>100</v>
      </c>
      <c r="V14" s="772" t="s">
        <v>17</v>
      </c>
      <c r="W14" s="773">
        <f t="shared" si="2"/>
        <v>100</v>
      </c>
      <c r="X14" s="1811"/>
      <c r="Y14" s="3243" t="s">
        <v>2549</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44"/>
      <c r="Q15" s="1808"/>
      <c r="R15" s="772"/>
      <c r="S15" s="773"/>
      <c r="T15" s="772"/>
      <c r="U15" s="773"/>
      <c r="V15" s="772"/>
      <c r="W15" s="773"/>
      <c r="X15" s="1811"/>
      <c r="Y15" s="3244"/>
      <c r="Z15" s="1812"/>
      <c r="AA15" s="1809">
        <v>1</v>
      </c>
      <c r="AB15" s="1809">
        <v>1</v>
      </c>
      <c r="AC15" s="1809">
        <v>1</v>
      </c>
    </row>
    <row r="16" spans="1:29" ht="114">
      <c r="A16" s="427"/>
      <c r="B16" s="450" t="s">
        <v>2677</v>
      </c>
      <c r="C16" s="2605" t="str">
        <f>IF(B1="工业",估价对象房地状况!G5,估价对象房地状况!C7)</f>
        <v>区域内有新中街幼儿园、西中街小学、东直门中学、北京中医药大学东直门医院、招商银行、华联超市等，公共服务设施较完善</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44"/>
      <c r="Q16" s="1808" t="str">
        <f>B16</f>
        <v>公共配套设施</v>
      </c>
      <c r="R16" s="772" t="s">
        <v>17</v>
      </c>
      <c r="S16" s="773">
        <f>F16</f>
        <v>100</v>
      </c>
      <c r="T16" s="772" t="s">
        <v>17</v>
      </c>
      <c r="U16" s="773">
        <f>H16</f>
        <v>100</v>
      </c>
      <c r="V16" s="772" t="s">
        <v>17</v>
      </c>
      <c r="W16" s="773">
        <f>J16</f>
        <v>100</v>
      </c>
      <c r="X16" s="1811"/>
      <c r="Y16" s="3244"/>
      <c r="Z16" s="1812" t="str">
        <f>Q16</f>
        <v>公共配套设施</v>
      </c>
      <c r="AA16" s="1809">
        <f t="shared" si="3"/>
        <v>1</v>
      </c>
      <c r="AB16" s="1809">
        <f t="shared" si="4"/>
        <v>1</v>
      </c>
      <c r="AC16" s="1809">
        <f t="shared" si="5"/>
        <v>1</v>
      </c>
    </row>
    <row r="17" spans="1:29" ht="15">
      <c r="A17" s="427"/>
      <c r="B17" s="455"/>
      <c r="C17" s="2606"/>
      <c r="D17" s="447"/>
      <c r="E17" s="446"/>
      <c r="F17" s="448"/>
      <c r="G17" s="446"/>
      <c r="H17" s="447"/>
      <c r="I17" s="446"/>
      <c r="J17" s="447"/>
      <c r="K17" s="614"/>
      <c r="L17" s="1138"/>
      <c r="M17" s="1129"/>
      <c r="N17" s="1129"/>
      <c r="O17" s="1137"/>
      <c r="P17" s="3244"/>
      <c r="Q17" s="1808"/>
      <c r="R17" s="772"/>
      <c r="S17" s="773"/>
      <c r="T17" s="772"/>
      <c r="U17" s="773"/>
      <c r="V17" s="772"/>
      <c r="W17" s="773"/>
      <c r="X17" s="1811"/>
      <c r="Y17" s="3244"/>
      <c r="Z17" s="1812"/>
      <c r="AA17" s="1809">
        <v>1</v>
      </c>
      <c r="AB17" s="1809">
        <v>1</v>
      </c>
      <c r="AC17" s="1809">
        <v>1</v>
      </c>
    </row>
    <row r="18" spans="1:29" ht="71.25">
      <c r="A18" s="427"/>
      <c r="B18" s="1382" t="s">
        <v>2678</v>
      </c>
      <c r="C18" s="2605" t="str">
        <f>IF(B1="工业",估价对象房地状况!G6,估价对象房地状况!C8)</f>
        <v>估价对象所在区域红线内外七通，市政供暖，基础设施水平好。</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44"/>
      <c r="Q18" s="1808" t="str">
        <f>B18</f>
        <v>基础设施水平</v>
      </c>
      <c r="R18" s="772" t="s">
        <v>17</v>
      </c>
      <c r="S18" s="773">
        <f>F18</f>
        <v>100</v>
      </c>
      <c r="T18" s="772" t="s">
        <v>17</v>
      </c>
      <c r="U18" s="773">
        <f>H18</f>
        <v>100</v>
      </c>
      <c r="V18" s="772" t="s">
        <v>17</v>
      </c>
      <c r="W18" s="773">
        <f>J18</f>
        <v>100</v>
      </c>
      <c r="X18" s="1811"/>
      <c r="Y18" s="3244"/>
      <c r="Z18" s="1812" t="str">
        <f>Q18</f>
        <v>基础设施水平</v>
      </c>
      <c r="AA18" s="1809">
        <f t="shared" ref="AA18" si="8">D18/F18</f>
        <v>1</v>
      </c>
      <c r="AB18" s="1809">
        <f t="shared" ref="AB18" si="9">D18/H18</f>
        <v>1</v>
      </c>
      <c r="AC18" s="1809">
        <f t="shared" ref="AC18" si="10">D18/J18</f>
        <v>1</v>
      </c>
    </row>
    <row r="19" spans="1:29" ht="15">
      <c r="A19" s="427"/>
      <c r="B19" s="1382"/>
      <c r="C19" s="2606"/>
      <c r="D19" s="449"/>
      <c r="E19" s="2606"/>
      <c r="F19" s="452"/>
      <c r="G19" s="2606"/>
      <c r="H19" s="447"/>
      <c r="I19" s="446"/>
      <c r="J19" s="447"/>
      <c r="K19" s="1381"/>
      <c r="L19" s="1138"/>
      <c r="M19" s="1129"/>
      <c r="N19" s="1129"/>
      <c r="O19" s="1137"/>
      <c r="P19" s="3244"/>
      <c r="Q19" s="1808"/>
      <c r="R19" s="772"/>
      <c r="S19" s="773"/>
      <c r="T19" s="772"/>
      <c r="U19" s="773"/>
      <c r="V19" s="772"/>
      <c r="W19" s="773"/>
      <c r="X19" s="1811"/>
      <c r="Y19" s="3244"/>
      <c r="Z19" s="1812"/>
      <c r="AA19" s="1809">
        <v>1</v>
      </c>
      <c r="AB19" s="1809">
        <v>1</v>
      </c>
      <c r="AC19" s="1809">
        <v>1</v>
      </c>
    </row>
    <row r="20" spans="1:29" ht="156.75">
      <c r="A20" s="427"/>
      <c r="B20" s="450" t="s">
        <v>2699</v>
      </c>
      <c r="C20" s="2605" t="str">
        <f>IF(B1="工业",估价对象房地状况!G7,估价对象房地状况!C9)</f>
        <v>区域内有新中街城市森林公园等，街道整洁，相邻路段无污染源，自然环境较好；区域内有保利剧院、中国医史博物馆等，人文环境较较好；综合评价环境状况较好。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44"/>
      <c r="Q20" s="1808" t="str">
        <f>B20</f>
        <v>自然及人文环境</v>
      </c>
      <c r="R20" s="772" t="s">
        <v>17</v>
      </c>
      <c r="S20" s="773">
        <f>F20</f>
        <v>100</v>
      </c>
      <c r="T20" s="772" t="s">
        <v>17</v>
      </c>
      <c r="U20" s="773">
        <f>H20</f>
        <v>100</v>
      </c>
      <c r="V20" s="772" t="s">
        <v>17</v>
      </c>
      <c r="W20" s="773">
        <f>J20</f>
        <v>100</v>
      </c>
      <c r="X20" s="1811"/>
      <c r="Y20" s="3244"/>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44"/>
      <c r="Q21" s="1808"/>
      <c r="R21" s="772"/>
      <c r="S21" s="773"/>
      <c r="T21" s="772"/>
      <c r="U21" s="773"/>
      <c r="V21" s="772"/>
      <c r="W21" s="773"/>
      <c r="X21" s="1811"/>
      <c r="Y21" s="3244"/>
      <c r="Z21" s="1812"/>
      <c r="AA21" s="1809">
        <v>1</v>
      </c>
      <c r="AB21" s="1809">
        <v>1</v>
      </c>
      <c r="AC21" s="1809">
        <v>1</v>
      </c>
    </row>
    <row r="22" spans="1:29" ht="15">
      <c r="A22" s="427"/>
      <c r="B22" s="450" t="s">
        <v>2700</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44"/>
      <c r="Q22" s="1808" t="str">
        <f>B22</f>
        <v>楼层</v>
      </c>
      <c r="R22" s="772" t="s">
        <v>17</v>
      </c>
      <c r="S22" s="773">
        <f>F22</f>
        <v>100</v>
      </c>
      <c r="T22" s="772" t="s">
        <v>17</v>
      </c>
      <c r="U22" s="773">
        <f>H22</f>
        <v>100</v>
      </c>
      <c r="V22" s="772" t="s">
        <v>17</v>
      </c>
      <c r="W22" s="773">
        <f>J22</f>
        <v>100</v>
      </c>
      <c r="X22" s="1811"/>
      <c r="Y22" s="3244"/>
      <c r="Z22" s="1812" t="str">
        <f>Q22</f>
        <v>楼层</v>
      </c>
      <c r="AA22" s="1809">
        <f t="shared" si="3"/>
        <v>1</v>
      </c>
      <c r="AB22" s="1809">
        <f t="shared" si="4"/>
        <v>1</v>
      </c>
      <c r="AC22" s="1809">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44"/>
      <c r="Q23" s="1808">
        <f>B23</f>
        <v>111</v>
      </c>
      <c r="R23" s="772" t="s">
        <v>17</v>
      </c>
      <c r="S23" s="773">
        <f>F23</f>
        <v>100</v>
      </c>
      <c r="T23" s="772" t="s">
        <v>17</v>
      </c>
      <c r="U23" s="773">
        <f>H23</f>
        <v>100</v>
      </c>
      <c r="V23" s="772" t="s">
        <v>17</v>
      </c>
      <c r="W23" s="773">
        <f>J23</f>
        <v>100</v>
      </c>
      <c r="X23" s="1811"/>
      <c r="Y23" s="3244"/>
      <c r="Z23" s="1812">
        <f>Q23</f>
        <v>111</v>
      </c>
      <c r="AA23" s="1809">
        <f t="shared" si="3"/>
        <v>1</v>
      </c>
      <c r="AB23" s="1809">
        <f t="shared" si="4"/>
        <v>1</v>
      </c>
      <c r="AC23" s="1809">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44"/>
      <c r="Q24" s="1808">
        <f t="shared" ref="Q24:Q34" si="11">B24</f>
        <v>111</v>
      </c>
      <c r="R24" s="772" t="s">
        <v>17</v>
      </c>
      <c r="S24" s="773">
        <f>F24</f>
        <v>100</v>
      </c>
      <c r="T24" s="772" t="s">
        <v>17</v>
      </c>
      <c r="U24" s="773">
        <f>H24</f>
        <v>100</v>
      </c>
      <c r="V24" s="772" t="s">
        <v>17</v>
      </c>
      <c r="W24" s="773">
        <f>J24</f>
        <v>100</v>
      </c>
      <c r="X24" s="1811"/>
      <c r="Y24" s="3244"/>
      <c r="Z24" s="1812">
        <f>Q24</f>
        <v>111</v>
      </c>
      <c r="AA24" s="1809">
        <f t="shared" si="3"/>
        <v>1</v>
      </c>
      <c r="AB24" s="1809">
        <f t="shared" si="4"/>
        <v>1</v>
      </c>
      <c r="AC24" s="1809">
        <f t="shared" si="5"/>
        <v>1</v>
      </c>
    </row>
    <row r="25" spans="1:29" s="116" customFormat="1" ht="15.75" thickBot="1">
      <c r="A25" s="430"/>
      <c r="B25" s="2598">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244"/>
      <c r="Q25" s="1793">
        <f t="shared" si="11"/>
        <v>111</v>
      </c>
      <c r="R25" s="768" t="s">
        <v>17</v>
      </c>
      <c r="S25" s="769">
        <f>F25</f>
        <v>100</v>
      </c>
      <c r="T25" s="768" t="s">
        <v>17</v>
      </c>
      <c r="U25" s="769">
        <f>H25</f>
        <v>100</v>
      </c>
      <c r="V25" s="768" t="s">
        <v>17</v>
      </c>
      <c r="W25" s="769">
        <f>J25</f>
        <v>100</v>
      </c>
      <c r="X25" s="770"/>
      <c r="Y25" s="3244"/>
      <c r="Z25" s="54">
        <f>Q25</f>
        <v>111</v>
      </c>
      <c r="AA25" s="1809">
        <f>D25/F25</f>
        <v>1</v>
      </c>
      <c r="AB25" s="1809">
        <f>D25/H25</f>
        <v>1</v>
      </c>
      <c r="AC25" s="1809">
        <f>D25/J25</f>
        <v>1</v>
      </c>
    </row>
    <row r="26" spans="1:29" ht="28.5">
      <c r="A26" s="465" t="s">
        <v>2552</v>
      </c>
      <c r="B26" s="70" t="s">
        <v>2703</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298" t="s">
        <v>2554</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48" t="s">
        <v>2554</v>
      </c>
      <c r="Z26" s="1812" t="str">
        <f t="shared" ref="Z26:Z34" si="15">Q26</f>
        <v>公共部分装修</v>
      </c>
      <c r="AA26" s="1809">
        <f t="shared" si="3"/>
        <v>1</v>
      </c>
      <c r="AB26" s="1809">
        <f t="shared" si="4"/>
        <v>1</v>
      </c>
      <c r="AC26" s="1809">
        <f t="shared" si="5"/>
        <v>1</v>
      </c>
    </row>
    <row r="27" spans="1:29" s="470" customFormat="1" ht="15">
      <c r="A27" s="467"/>
      <c r="B27" s="421" t="s">
        <v>2704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48"/>
      <c r="Q27" s="774" t="str">
        <f t="shared" si="11"/>
        <v>成新率</v>
      </c>
      <c r="R27" s="775" t="s">
        <v>17</v>
      </c>
      <c r="S27" s="776" t="e">
        <f t="shared" si="12"/>
        <v>#N/A</v>
      </c>
      <c r="T27" s="775" t="s">
        <v>17</v>
      </c>
      <c r="U27" s="776" t="e">
        <f t="shared" si="13"/>
        <v>#N/A</v>
      </c>
      <c r="V27" s="775" t="s">
        <v>17</v>
      </c>
      <c r="W27" s="776" t="e">
        <f t="shared" si="14"/>
        <v>#N/A</v>
      </c>
      <c r="X27" s="777"/>
      <c r="Y27" s="3248"/>
      <c r="Z27" s="778" t="str">
        <f t="shared" si="15"/>
        <v>成新率</v>
      </c>
      <c r="AA27" s="1809" t="e">
        <f t="shared" si="3"/>
        <v>#N/A</v>
      </c>
      <c r="AB27" s="1809" t="e">
        <f t="shared" si="4"/>
        <v>#N/A</v>
      </c>
      <c r="AC27" s="1809" t="e">
        <f t="shared" si="5"/>
        <v>#N/A</v>
      </c>
    </row>
    <row r="28" spans="1:29" ht="15">
      <c r="A28" s="471"/>
      <c r="B28" s="421" t="s">
        <v>2705</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48"/>
      <c r="Q28" s="1808" t="str">
        <f t="shared" si="11"/>
        <v>物业等级</v>
      </c>
      <c r="R28" s="772" t="s">
        <v>17</v>
      </c>
      <c r="S28" s="773">
        <f t="shared" si="12"/>
        <v>100</v>
      </c>
      <c r="T28" s="772" t="s">
        <v>17</v>
      </c>
      <c r="U28" s="773">
        <f t="shared" si="13"/>
        <v>100</v>
      </c>
      <c r="V28" s="772" t="s">
        <v>17</v>
      </c>
      <c r="W28" s="773">
        <f t="shared" si="14"/>
        <v>100</v>
      </c>
      <c r="X28" s="1811"/>
      <c r="Y28" s="3248"/>
      <c r="Z28" s="1812" t="str">
        <f t="shared" si="15"/>
        <v>物业等级</v>
      </c>
      <c r="AA28" s="1809">
        <f t="shared" si="3"/>
        <v>1</v>
      </c>
      <c r="AB28" s="1809">
        <f t="shared" si="4"/>
        <v>1</v>
      </c>
      <c r="AC28" s="1809">
        <f t="shared" si="5"/>
        <v>1</v>
      </c>
    </row>
    <row r="29" spans="1:29" ht="15">
      <c r="A29" s="471"/>
      <c r="B29" s="421" t="s">
        <v>2726</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48"/>
      <c r="Q29" s="1808" t="str">
        <f t="shared" si="11"/>
        <v>有无电梯</v>
      </c>
      <c r="R29" s="772" t="s">
        <v>17</v>
      </c>
      <c r="S29" s="773">
        <f t="shared" si="12"/>
        <v>100</v>
      </c>
      <c r="T29" s="772" t="s">
        <v>17</v>
      </c>
      <c r="U29" s="773">
        <f t="shared" si="13"/>
        <v>100</v>
      </c>
      <c r="V29" s="772" t="s">
        <v>17</v>
      </c>
      <c r="W29" s="773">
        <f t="shared" si="14"/>
        <v>100</v>
      </c>
      <c r="X29" s="1811"/>
      <c r="Y29" s="3248"/>
      <c r="Z29" s="1812" t="str">
        <f t="shared" si="15"/>
        <v>有无电梯</v>
      </c>
      <c r="AA29" s="1809">
        <f t="shared" si="3"/>
        <v>1</v>
      </c>
      <c r="AB29" s="1809">
        <f t="shared" si="4"/>
        <v>1</v>
      </c>
      <c r="AC29" s="1809">
        <f t="shared" si="5"/>
        <v>1</v>
      </c>
    </row>
    <row r="30" spans="1:29" ht="15">
      <c r="A30" s="471"/>
      <c r="B30" s="421" t="s">
        <v>2727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48"/>
      <c r="Q30" s="1808" t="str">
        <f t="shared" si="11"/>
        <v>建筑面积</v>
      </c>
      <c r="R30" s="772" t="s">
        <v>17</v>
      </c>
      <c r="S30" s="773" t="e">
        <f t="shared" si="12"/>
        <v>#N/A</v>
      </c>
      <c r="T30" s="772" t="s">
        <v>17</v>
      </c>
      <c r="U30" s="773" t="e">
        <f t="shared" si="13"/>
        <v>#N/A</v>
      </c>
      <c r="V30" s="772" t="s">
        <v>17</v>
      </c>
      <c r="W30" s="773" t="e">
        <f t="shared" si="14"/>
        <v>#N/A</v>
      </c>
      <c r="X30" s="1811"/>
      <c r="Y30" s="3248"/>
      <c r="Z30" s="1812" t="str">
        <f t="shared" si="15"/>
        <v>建筑面积</v>
      </c>
      <c r="AA30" s="1809" t="e">
        <f t="shared" si="3"/>
        <v>#N/A</v>
      </c>
      <c r="AB30" s="1809" t="e">
        <f t="shared" si="4"/>
        <v>#N/A</v>
      </c>
      <c r="AC30" s="1809" t="e">
        <f t="shared" si="5"/>
        <v>#N/A</v>
      </c>
    </row>
    <row r="31" spans="1:29" s="116" customFormat="1" ht="15">
      <c r="A31" s="472"/>
      <c r="B31" s="421" t="s">
        <v>2728</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48"/>
      <c r="Q31" s="1793" t="str">
        <f t="shared" si="11"/>
        <v>是否封闭</v>
      </c>
      <c r="R31" s="768" t="s">
        <v>17</v>
      </c>
      <c r="S31" s="769">
        <f t="shared" si="12"/>
        <v>100</v>
      </c>
      <c r="T31" s="768" t="s">
        <v>17</v>
      </c>
      <c r="U31" s="769">
        <f t="shared" si="13"/>
        <v>100</v>
      </c>
      <c r="V31" s="768" t="s">
        <v>17</v>
      </c>
      <c r="W31" s="769">
        <f t="shared" si="14"/>
        <v>100</v>
      </c>
      <c r="X31" s="770"/>
      <c r="Y31" s="3248"/>
      <c r="Z31" s="54" t="str">
        <f t="shared" si="15"/>
        <v>是否封闭</v>
      </c>
      <c r="AA31" s="771">
        <f t="shared" si="3"/>
        <v>1</v>
      </c>
      <c r="AB31" s="771">
        <f t="shared" si="4"/>
        <v>1</v>
      </c>
      <c r="AC31" s="771">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48" t="s">
        <v>2554</v>
      </c>
      <c r="Q32" s="1808">
        <f t="shared" si="11"/>
        <v>111</v>
      </c>
      <c r="R32" s="772" t="s">
        <v>17</v>
      </c>
      <c r="S32" s="773">
        <f t="shared" si="12"/>
        <v>100</v>
      </c>
      <c r="T32" s="772" t="s">
        <v>17</v>
      </c>
      <c r="U32" s="773">
        <f t="shared" si="13"/>
        <v>100</v>
      </c>
      <c r="V32" s="772" t="s">
        <v>17</v>
      </c>
      <c r="W32" s="773">
        <f t="shared" si="14"/>
        <v>100</v>
      </c>
      <c r="X32" s="1811"/>
      <c r="Y32" s="3248" t="s">
        <v>2554</v>
      </c>
      <c r="Z32" s="1812">
        <f t="shared" si="15"/>
        <v>111</v>
      </c>
      <c r="AA32" s="1809">
        <f t="shared" si="3"/>
        <v>1</v>
      </c>
      <c r="AB32" s="1809">
        <f t="shared" si="4"/>
        <v>1</v>
      </c>
      <c r="AC32" s="1809">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48"/>
      <c r="Q33" s="1808">
        <f t="shared" si="11"/>
        <v>111</v>
      </c>
      <c r="R33" s="772" t="s">
        <v>17</v>
      </c>
      <c r="S33" s="773">
        <f t="shared" si="12"/>
        <v>100</v>
      </c>
      <c r="T33" s="772" t="s">
        <v>17</v>
      </c>
      <c r="U33" s="773">
        <f t="shared" si="13"/>
        <v>100</v>
      </c>
      <c r="V33" s="772" t="s">
        <v>17</v>
      </c>
      <c r="W33" s="773">
        <f t="shared" si="14"/>
        <v>100</v>
      </c>
      <c r="X33" s="1811"/>
      <c r="Y33" s="3248"/>
      <c r="Z33" s="1812">
        <f t="shared" si="15"/>
        <v>111</v>
      </c>
      <c r="AA33" s="1809">
        <f t="shared" si="3"/>
        <v>1</v>
      </c>
      <c r="AB33" s="1809">
        <f t="shared" si="4"/>
        <v>1</v>
      </c>
      <c r="AC33" s="1809">
        <f t="shared" si="5"/>
        <v>1</v>
      </c>
    </row>
    <row r="34" spans="1:29" ht="15.75" thickBot="1">
      <c r="A34" s="477"/>
      <c r="B34" s="2600">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248"/>
      <c r="Q34" s="1808">
        <f t="shared" si="11"/>
        <v>111</v>
      </c>
      <c r="R34" s="772" t="s">
        <v>17</v>
      </c>
      <c r="S34" s="773">
        <f t="shared" si="12"/>
        <v>100</v>
      </c>
      <c r="T34" s="772" t="s">
        <v>17</v>
      </c>
      <c r="U34" s="773">
        <f t="shared" si="13"/>
        <v>100</v>
      </c>
      <c r="V34" s="772" t="s">
        <v>17</v>
      </c>
      <c r="W34" s="773">
        <f t="shared" si="14"/>
        <v>100</v>
      </c>
      <c r="X34" s="1811"/>
      <c r="Y34" s="3248"/>
      <c r="Z34" s="1812">
        <f t="shared" si="15"/>
        <v>111</v>
      </c>
      <c r="AA34" s="1809">
        <f t="shared" si="3"/>
        <v>1</v>
      </c>
      <c r="AB34" s="1809">
        <f t="shared" si="4"/>
        <v>1</v>
      </c>
      <c r="AC34" s="1809">
        <f t="shared" si="5"/>
        <v>1</v>
      </c>
    </row>
    <row r="35" spans="1:29" ht="15">
      <c r="A35" s="478" t="s">
        <v>2566</v>
      </c>
      <c r="B35" s="479"/>
      <c r="C35" s="1405" t="s">
        <v>1</v>
      </c>
      <c r="D35" s="1406"/>
      <c r="E35" s="1407"/>
      <c r="F35" s="1408"/>
      <c r="G35" s="1409"/>
      <c r="H35" s="1410"/>
      <c r="I35" s="1407"/>
      <c r="J35" s="1410"/>
      <c r="K35" s="781"/>
      <c r="L35" s="1141"/>
      <c r="M35" s="1142"/>
      <c r="N35" s="1129"/>
      <c r="O35" s="1142"/>
      <c r="P35" s="3236" t="str">
        <f>A35</f>
        <v>成交单价（元/平方米）</v>
      </c>
      <c r="Q35" s="3236"/>
      <c r="R35" s="3237">
        <f>E35</f>
        <v>0</v>
      </c>
      <c r="S35" s="3237"/>
      <c r="T35" s="3237">
        <f>G35</f>
        <v>0</v>
      </c>
      <c r="U35" s="3237"/>
      <c r="V35" s="3237">
        <f>I35</f>
        <v>0</v>
      </c>
      <c r="W35" s="3237"/>
      <c r="X35" s="757"/>
      <c r="Y35" s="779"/>
      <c r="Z35" s="757"/>
      <c r="AA35" s="757"/>
      <c r="AB35" s="757"/>
      <c r="AC35" s="757"/>
    </row>
    <row r="36" spans="1:29" ht="15.75" thickBot="1">
      <c r="A36" s="485" t="s">
        <v>2658</v>
      </c>
      <c r="B36" s="486"/>
      <c r="C36" s="1411" t="e">
        <f>R37</f>
        <v>#DIV/0!</v>
      </c>
      <c r="D36" s="1412"/>
      <c r="E36" s="1413" t="e">
        <f>R36</f>
        <v>#DIV/0!</v>
      </c>
      <c r="F36" s="1413"/>
      <c r="G36" s="1411" t="e">
        <f>T36</f>
        <v>#DIV/0!</v>
      </c>
      <c r="H36" s="1412"/>
      <c r="I36" s="1413" t="e">
        <f>V36</f>
        <v>#DIV/0!</v>
      </c>
      <c r="J36" s="1412"/>
      <c r="K36" s="782"/>
      <c r="L36" s="1141"/>
      <c r="M36" s="1142"/>
      <c r="N36" s="1129"/>
      <c r="O36" s="1142"/>
      <c r="P36" s="3236" t="str">
        <f>A36</f>
        <v>比较价值（元/平方米）</v>
      </c>
      <c r="Q36" s="3236"/>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7"/>
      <c r="Y36" s="757"/>
      <c r="Z36" s="757"/>
      <c r="AA36" s="757"/>
      <c r="AB36" s="757"/>
      <c r="AC36" s="757"/>
    </row>
    <row r="37" spans="1:29" ht="15.75" thickBot="1">
      <c r="A37" s="491" t="s">
        <v>2659</v>
      </c>
      <c r="B37" s="492"/>
      <c r="C37" s="1415" t="e">
        <f>R37</f>
        <v>#DIV/0!</v>
      </c>
      <c r="D37" s="1415"/>
      <c r="E37" s="1415"/>
      <c r="F37" s="1415"/>
      <c r="G37" s="1415"/>
      <c r="H37" s="1415"/>
      <c r="I37" s="1415"/>
      <c r="J37" s="1415"/>
      <c r="K37" s="783"/>
      <c r="L37" s="1141"/>
      <c r="M37" s="1142"/>
      <c r="N37" s="1142"/>
      <c r="O37" s="1142"/>
      <c r="P37" s="3238" t="str">
        <f>A37</f>
        <v>估价对象XX用房的比较价值（楼面单价，元/平方米）</v>
      </c>
      <c r="Q37" s="3239"/>
      <c r="R37" s="3240" t="e">
        <f>IF(F1="售价",ROUND(AVERAGE(R36:V36),0),ROUND(AVERAGE(R36:V36),1))</f>
        <v>#DIV/0!</v>
      </c>
      <c r="S37" s="3240"/>
      <c r="T37" s="3240"/>
      <c r="U37" s="3240"/>
      <c r="V37" s="3240"/>
      <c r="W37" s="3240"/>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2663</v>
      </c>
      <c r="B45" s="757"/>
      <c r="C45" s="762"/>
      <c r="D45" s="762"/>
      <c r="E45" s="762"/>
      <c r="F45" s="763"/>
      <c r="G45" s="763"/>
      <c r="H45" s="762"/>
      <c r="I45" s="762"/>
      <c r="J45" s="762"/>
      <c r="K45" s="764"/>
      <c r="L45" s="765"/>
      <c r="M45" s="762"/>
      <c r="N45" s="762"/>
      <c r="O45" s="762"/>
      <c r="P45" s="502"/>
      <c r="Q45" s="503"/>
    </row>
    <row r="46" spans="1:29" s="507" customFormat="1" ht="15">
      <c r="A46" s="504" t="s">
        <v>2537</v>
      </c>
      <c r="B46" s="505"/>
      <c r="C46" s="1572" t="str">
        <f>YEAR(C7)&amp;"-"&amp;MONTH(C7)</f>
        <v>2019-7</v>
      </c>
      <c r="D46" s="1573">
        <f>EDATE(C46,-1)</f>
        <v>43617</v>
      </c>
      <c r="E46" s="1573">
        <f t="shared" ref="E46:O46" si="16">EDATE(D46,-1)</f>
        <v>43586</v>
      </c>
      <c r="F46" s="1573">
        <f t="shared" si="16"/>
        <v>43556</v>
      </c>
      <c r="G46" s="1573">
        <f t="shared" si="16"/>
        <v>43525</v>
      </c>
      <c r="H46" s="1573">
        <f t="shared" si="16"/>
        <v>43497</v>
      </c>
      <c r="I46" s="1573">
        <f t="shared" si="16"/>
        <v>43466</v>
      </c>
      <c r="J46" s="1573">
        <f t="shared" si="16"/>
        <v>43435</v>
      </c>
      <c r="K46" s="1573">
        <f t="shared" si="16"/>
        <v>43405</v>
      </c>
      <c r="L46" s="1573">
        <f t="shared" si="16"/>
        <v>43374</v>
      </c>
      <c r="M46" s="1573">
        <f t="shared" si="16"/>
        <v>43344</v>
      </c>
      <c r="N46" s="1573">
        <f t="shared" si="16"/>
        <v>43313</v>
      </c>
      <c r="O46" s="1573">
        <f t="shared" si="16"/>
        <v>43282</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2574</v>
      </c>
      <c r="B48" s="515"/>
      <c r="C48" s="516"/>
      <c r="D48" s="517"/>
      <c r="E48" s="517"/>
      <c r="F48" s="517"/>
      <c r="G48" s="517"/>
      <c r="H48" s="517"/>
      <c r="I48" s="517"/>
      <c r="J48" s="517"/>
      <c r="K48" s="517"/>
      <c r="L48" s="517"/>
      <c r="M48" s="518"/>
      <c r="N48" s="517"/>
      <c r="O48" s="519"/>
      <c r="P48" s="503"/>
      <c r="Q48" s="503"/>
    </row>
    <row r="49" spans="1:17" s="116" customFormat="1" ht="15">
      <c r="A49" s="520" t="s">
        <v>2539</v>
      </c>
      <c r="B49" s="509"/>
      <c r="C49" s="521" t="s">
        <v>2641</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2577</v>
      </c>
      <c r="B51" s="527" t="s">
        <v>2543</v>
      </c>
      <c r="C51" s="528">
        <f>C9</f>
        <v>0</v>
      </c>
      <c r="D51" s="529"/>
      <c r="E51" s="529"/>
      <c r="F51" s="529"/>
      <c r="G51" s="529"/>
      <c r="H51" s="529"/>
      <c r="I51" s="529"/>
      <c r="J51" s="529"/>
      <c r="K51" s="530"/>
      <c r="L51" s="531"/>
      <c r="M51" s="532"/>
      <c r="N51" s="1150"/>
      <c r="O51" s="1150"/>
      <c r="P51" s="44"/>
      <c r="Q51" s="503"/>
    </row>
    <row r="52" spans="1:17" ht="15.75" thickBot="1">
      <c r="A52" s="533"/>
      <c r="B52" s="534"/>
      <c r="C52" s="535">
        <v>100</v>
      </c>
      <c r="D52" s="535"/>
      <c r="E52" s="535"/>
      <c r="F52" s="535"/>
      <c r="G52" s="535"/>
      <c r="H52" s="535"/>
      <c r="I52" s="535"/>
      <c r="J52" s="535"/>
      <c r="K52" s="535"/>
      <c r="L52" s="535"/>
      <c r="M52" s="536"/>
      <c r="N52" s="1151"/>
      <c r="O52" s="1151"/>
      <c r="P52" s="44"/>
      <c r="Q52" s="503"/>
    </row>
    <row r="53" spans="1:17" ht="27.75" thickTop="1">
      <c r="A53" s="533"/>
      <c r="B53" s="537" t="s">
        <v>2546</v>
      </c>
      <c r="C53" s="538" t="s">
        <v>2578</v>
      </c>
      <c r="D53" s="538" t="s">
        <v>2579</v>
      </c>
      <c r="E53" s="538" t="s">
        <v>2580</v>
      </c>
      <c r="F53" s="538" t="s">
        <v>2581</v>
      </c>
      <c r="G53" s="538" t="s">
        <v>2582</v>
      </c>
      <c r="H53" s="538" t="s">
        <v>2583</v>
      </c>
      <c r="I53" s="538" t="s">
        <v>2584</v>
      </c>
      <c r="J53" s="538"/>
      <c r="K53" s="539"/>
      <c r="L53" s="540"/>
      <c r="M53" s="541"/>
      <c r="N53" s="1150"/>
      <c r="O53" s="1150"/>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5.75" thickTop="1">
      <c r="A55" s="533"/>
      <c r="B55" s="659">
        <f>B11</f>
        <v>111</v>
      </c>
      <c r="C55" s="548"/>
      <c r="D55" s="548"/>
      <c r="E55" s="548"/>
      <c r="F55" s="548"/>
      <c r="G55" s="548"/>
      <c r="H55" s="548"/>
      <c r="I55" s="548"/>
      <c r="J55" s="548"/>
      <c r="K55" s="549"/>
      <c r="L55" s="550"/>
      <c r="M55" s="551"/>
      <c r="N55" s="1150"/>
      <c r="O55" s="1150"/>
      <c r="P55" s="44"/>
      <c r="Q55" s="503"/>
    </row>
    <row r="56" spans="1:17" ht="15.75" thickBot="1">
      <c r="A56" s="533"/>
      <c r="B56" s="534"/>
      <c r="C56" s="559"/>
      <c r="D56" s="535"/>
      <c r="E56" s="535"/>
      <c r="F56" s="535"/>
      <c r="G56" s="535"/>
      <c r="H56" s="535"/>
      <c r="I56" s="535"/>
      <c r="J56" s="535"/>
      <c r="K56" s="535"/>
      <c r="L56" s="535"/>
      <c r="M56" s="536"/>
      <c r="N56" s="1151"/>
      <c r="O56" s="1151"/>
      <c r="P56" s="44"/>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2548</v>
      </c>
      <c r="B61" s="527" t="s">
        <v>2591</v>
      </c>
      <c r="C61" s="572" t="s">
        <v>2586</v>
      </c>
      <c r="D61" s="572" t="s">
        <v>2587</v>
      </c>
      <c r="E61" s="572" t="s">
        <v>2588</v>
      </c>
      <c r="F61" s="572" t="s">
        <v>2589</v>
      </c>
      <c r="G61" s="572" t="s">
        <v>2590</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7.75" thickTop="1">
      <c r="A63" s="533"/>
      <c r="B63" s="537" t="s">
        <v>2729</v>
      </c>
      <c r="C63" s="577" t="s">
        <v>2586</v>
      </c>
      <c r="D63" s="577" t="s">
        <v>2587</v>
      </c>
      <c r="E63" s="577" t="s">
        <v>2588</v>
      </c>
      <c r="F63" s="577" t="s">
        <v>2589</v>
      </c>
      <c r="G63" s="577" t="s">
        <v>2590</v>
      </c>
      <c r="H63" s="538"/>
      <c r="I63" s="538"/>
      <c r="J63" s="538"/>
      <c r="K63" s="539"/>
      <c r="L63" s="540"/>
      <c r="M63" s="541"/>
      <c r="N63" s="1150"/>
      <c r="O63" s="1150"/>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75" thickTop="1">
      <c r="A65" s="533"/>
      <c r="B65" s="545" t="s">
        <v>2678</v>
      </c>
      <c r="C65" s="659" t="s">
        <v>2664</v>
      </c>
      <c r="D65" s="659" t="s">
        <v>2665</v>
      </c>
      <c r="E65" s="659" t="s">
        <v>2666</v>
      </c>
      <c r="F65" s="659" t="s">
        <v>2667</v>
      </c>
      <c r="G65" s="659" t="s">
        <v>2668</v>
      </c>
      <c r="H65" s="538"/>
      <c r="I65" s="538"/>
      <c r="J65" s="538"/>
      <c r="K65" s="538"/>
      <c r="L65" s="538"/>
      <c r="M65" s="1380"/>
      <c r="N65" s="1151"/>
      <c r="O65" s="1151"/>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4"/>
      <c r="Q66" s="503"/>
    </row>
    <row r="67" spans="1:17" ht="15.75" thickTop="1">
      <c r="A67" s="533"/>
      <c r="B67" s="537" t="s">
        <v>2598</v>
      </c>
      <c r="C67" s="577" t="s">
        <v>2586</v>
      </c>
      <c r="D67" s="577" t="s">
        <v>2587</v>
      </c>
      <c r="E67" s="577" t="s">
        <v>2588</v>
      </c>
      <c r="F67" s="577" t="s">
        <v>2589</v>
      </c>
      <c r="G67" s="577" t="s">
        <v>2590</v>
      </c>
      <c r="H67" s="538"/>
      <c r="I67" s="538"/>
      <c r="J67" s="538"/>
      <c r="K67" s="539"/>
      <c r="L67" s="540"/>
      <c r="M67" s="541"/>
      <c r="N67" s="1150"/>
      <c r="O67" s="1150"/>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75" thickTop="1">
      <c r="A69" s="533"/>
      <c r="B69" s="537" t="s">
        <v>2718</v>
      </c>
      <c r="C69" s="553"/>
      <c r="D69" s="553"/>
      <c r="E69" s="553"/>
      <c r="F69" s="553"/>
      <c r="G69" s="553"/>
      <c r="H69" s="582"/>
      <c r="I69" s="582"/>
      <c r="J69" s="582"/>
      <c r="K69" s="583"/>
      <c r="L69" s="584"/>
      <c r="M69" s="585"/>
      <c r="N69" s="1150"/>
      <c r="O69" s="1150"/>
      <c r="P69" s="44"/>
      <c r="Q69" s="503"/>
    </row>
    <row r="70" spans="1:17" ht="15.75"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5.75" thickTop="1">
      <c r="A71" s="578"/>
      <c r="B71" s="537">
        <f>B23</f>
        <v>111</v>
      </c>
      <c r="C71" s="548"/>
      <c r="D71" s="548"/>
      <c r="E71" s="548"/>
      <c r="F71" s="548"/>
      <c r="G71" s="553"/>
      <c r="H71" s="553"/>
      <c r="I71" s="553"/>
      <c r="J71" s="553"/>
      <c r="K71" s="553"/>
      <c r="L71" s="579"/>
      <c r="M71" s="580"/>
      <c r="N71" s="1149"/>
      <c r="O71" s="1149"/>
      <c r="P71" s="44"/>
      <c r="Q71" s="503"/>
    </row>
    <row r="72" spans="1:17" s="116" customFormat="1" ht="15.75" thickBot="1">
      <c r="A72" s="578"/>
      <c r="B72" s="542"/>
      <c r="C72" s="559"/>
      <c r="D72" s="535"/>
      <c r="E72" s="535"/>
      <c r="F72" s="535"/>
      <c r="G72" s="535"/>
      <c r="H72" s="535"/>
      <c r="I72" s="535"/>
      <c r="J72" s="535"/>
      <c r="K72" s="535"/>
      <c r="L72" s="535"/>
      <c r="M72" s="536"/>
      <c r="N72" s="1151"/>
      <c r="O72" s="1151"/>
      <c r="P72" s="44"/>
      <c r="Q72" s="503"/>
    </row>
    <row r="73" spans="1:17" s="116" customFormat="1" ht="15.75" thickTop="1">
      <c r="A73" s="578"/>
      <c r="B73" s="537">
        <f>B24</f>
        <v>111</v>
      </c>
      <c r="C73" s="548"/>
      <c r="D73" s="548"/>
      <c r="E73" s="548"/>
      <c r="F73" s="548"/>
      <c r="G73" s="553"/>
      <c r="H73" s="553"/>
      <c r="I73" s="553"/>
      <c r="J73" s="553"/>
      <c r="K73" s="553"/>
      <c r="L73" s="553"/>
      <c r="M73" s="580"/>
      <c r="N73" s="1149"/>
      <c r="O73" s="1149"/>
      <c r="P73" s="44"/>
      <c r="Q73" s="503"/>
    </row>
    <row r="74" spans="1:17" s="116" customFormat="1" ht="15.75" thickBot="1">
      <c r="A74" s="578"/>
      <c r="B74" s="542"/>
      <c r="C74" s="559"/>
      <c r="D74" s="535"/>
      <c r="E74" s="535"/>
      <c r="F74" s="535"/>
      <c r="G74" s="535"/>
      <c r="H74" s="535"/>
      <c r="I74" s="535"/>
      <c r="J74" s="535"/>
      <c r="K74" s="535"/>
      <c r="L74" s="535"/>
      <c r="M74" s="536"/>
      <c r="N74" s="1151"/>
      <c r="O74" s="1151"/>
      <c r="P74" s="44"/>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2552</v>
      </c>
      <c r="B77" s="527" t="s">
        <v>2605</v>
      </c>
      <c r="C77" s="553"/>
      <c r="D77" s="553"/>
      <c r="E77" s="529"/>
      <c r="F77" s="529"/>
      <c r="G77" s="529"/>
      <c r="H77" s="529"/>
      <c r="I77" s="529"/>
      <c r="J77" s="529"/>
      <c r="K77" s="530"/>
      <c r="L77" s="531"/>
      <c r="M77" s="532"/>
      <c r="N77" s="1150"/>
      <c r="O77" s="1150"/>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75" thickTop="1">
      <c r="A79" s="533"/>
      <c r="B79" s="537" t="s">
        <v>2721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ht="15">
      <c r="A80" s="533"/>
      <c r="B80" s="545"/>
      <c r="C80" s="602">
        <v>0.5</v>
      </c>
      <c r="D80" s="602">
        <v>0.6</v>
      </c>
      <c r="E80" s="602">
        <v>0.7</v>
      </c>
      <c r="F80" s="602">
        <v>0.8</v>
      </c>
      <c r="G80" s="602">
        <v>0.9</v>
      </c>
      <c r="H80" s="602">
        <v>1.0001</v>
      </c>
      <c r="I80" s="659"/>
      <c r="J80" s="659"/>
      <c r="K80" s="667"/>
      <c r="L80" s="668"/>
      <c r="M80" s="669"/>
      <c r="N80" s="1149"/>
      <c r="O80" s="1149"/>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2722</v>
      </c>
      <c r="C82" s="553"/>
      <c r="D82" s="553"/>
      <c r="E82" s="582"/>
      <c r="F82" s="582"/>
      <c r="G82" s="582"/>
      <c r="H82" s="582"/>
      <c r="I82" s="582"/>
      <c r="J82" s="582"/>
      <c r="K82" s="583"/>
      <c r="L82" s="584"/>
      <c r="M82" s="585"/>
      <c r="N82" s="1150"/>
      <c r="O82" s="1150"/>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2730</v>
      </c>
      <c r="C84" s="553"/>
      <c r="D84" s="553"/>
      <c r="E84" s="553"/>
      <c r="F84" s="553"/>
      <c r="G84" s="553"/>
      <c r="H84" s="553"/>
      <c r="I84" s="582"/>
      <c r="J84" s="582"/>
      <c r="K84" s="583"/>
      <c r="L84" s="584"/>
      <c r="M84" s="585"/>
      <c r="N84" s="1150"/>
      <c r="O84" s="1150"/>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2731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5.75"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2732</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4"/>
      <c r="Q91" s="503"/>
    </row>
    <row r="92" spans="1:17" ht="15.75" thickBot="1">
      <c r="A92" s="533"/>
      <c r="B92" s="542"/>
      <c r="C92" s="559"/>
      <c r="D92" s="535"/>
      <c r="E92" s="535"/>
      <c r="F92" s="535"/>
      <c r="G92" s="559"/>
      <c r="H92" s="561"/>
      <c r="I92" s="561"/>
      <c r="J92" s="561"/>
      <c r="K92" s="561"/>
      <c r="L92" s="561"/>
      <c r="M92" s="562"/>
      <c r="N92" s="1151"/>
      <c r="O92" s="1151"/>
      <c r="P92" s="44"/>
      <c r="Q92" s="503"/>
    </row>
    <row r="93" spans="1:17" ht="15" thickTop="1">
      <c r="A93" s="598"/>
      <c r="B93" s="537">
        <f>B33</f>
        <v>111</v>
      </c>
      <c r="C93" s="548"/>
      <c r="D93" s="548"/>
      <c r="E93" s="548"/>
      <c r="F93" s="548"/>
      <c r="G93" s="553"/>
      <c r="H93" s="554"/>
      <c r="I93" s="554"/>
      <c r="J93" s="554"/>
      <c r="K93" s="554"/>
      <c r="L93" s="555"/>
      <c r="M93" s="556"/>
      <c r="N93" s="1150"/>
      <c r="O93" s="1150"/>
      <c r="P93" s="44"/>
      <c r="Q93" s="503"/>
    </row>
    <row r="94" spans="1:17" ht="15.75" thickBot="1">
      <c r="A94" s="533"/>
      <c r="B94" s="542"/>
      <c r="C94" s="559"/>
      <c r="D94" s="535"/>
      <c r="E94" s="535"/>
      <c r="F94" s="535"/>
      <c r="G94" s="559"/>
      <c r="H94" s="561"/>
      <c r="I94" s="561"/>
      <c r="J94" s="561"/>
      <c r="K94" s="561"/>
      <c r="L94" s="561"/>
      <c r="M94" s="562"/>
      <c r="N94" s="1151"/>
      <c r="O94" s="1151"/>
      <c r="P94" s="44"/>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4"/>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01" priority="14" stopIfTrue="1" operator="containsText" text="超过">
      <formula>NOT(ISERROR(SEARCH("超过",F40)))</formula>
    </cfRule>
  </conditionalFormatting>
  <conditionalFormatting sqref="J42">
    <cfRule type="containsText" dxfId="100" priority="13" stopIfTrue="1" operator="containsText" text="超过">
      <formula>NOT(ISERROR(SEARCH("超过",J42)))</formula>
    </cfRule>
  </conditionalFormatting>
  <conditionalFormatting sqref="H42">
    <cfRule type="containsText" dxfId="99" priority="12" stopIfTrue="1" operator="containsText" text="超过">
      <formula>NOT(ISERROR(SEARCH("超过",H42)))</formula>
    </cfRule>
  </conditionalFormatting>
  <conditionalFormatting sqref="F42">
    <cfRule type="containsText" dxfId="98" priority="11" stopIfTrue="1" operator="containsText" text="超过">
      <formula>NOT(ISERROR(SEARCH("超过",F42)))</formula>
    </cfRule>
  </conditionalFormatting>
  <conditionalFormatting sqref="F41 H41 J41">
    <cfRule type="containsText" dxfId="97" priority="10" stopIfTrue="1" operator="containsText" text="超过">
      <formula>NOT(ISERROR(SEARCH("超过",F41)))</formula>
    </cfRule>
  </conditionalFormatting>
  <conditionalFormatting sqref="E40">
    <cfRule type="expression" dxfId="96" priority="9" stopIfTrue="1">
      <formula>$F$40="超过30%"</formula>
    </cfRule>
  </conditionalFormatting>
  <conditionalFormatting sqref="G42">
    <cfRule type="expression" dxfId="95" priority="8" stopIfTrue="1">
      <formula>$H$54+$H$42="超过30%"</formula>
    </cfRule>
  </conditionalFormatting>
  <conditionalFormatting sqref="E41">
    <cfRule type="expression" dxfId="94" priority="7" stopIfTrue="1">
      <formula>$F$41="超过20%"</formula>
    </cfRule>
  </conditionalFormatting>
  <conditionalFormatting sqref="E42">
    <cfRule type="expression" dxfId="93" priority="6" stopIfTrue="1">
      <formula>$F$42="超过30%"</formula>
    </cfRule>
  </conditionalFormatting>
  <conditionalFormatting sqref="G40">
    <cfRule type="expression" dxfId="92" priority="5" stopIfTrue="1">
      <formula>$H$52+$H$40="超过30%"</formula>
    </cfRule>
  </conditionalFormatting>
  <conditionalFormatting sqref="G41">
    <cfRule type="expression" dxfId="91" priority="4" stopIfTrue="1">
      <formula>$H$53+$H$41="超过20%"</formula>
    </cfRule>
  </conditionalFormatting>
  <conditionalFormatting sqref="I40">
    <cfRule type="expression" dxfId="90" priority="3" stopIfTrue="1">
      <formula>$J$40="超过30%"</formula>
    </cfRule>
  </conditionalFormatting>
  <conditionalFormatting sqref="I41">
    <cfRule type="expression" dxfId="89" priority="2" stopIfTrue="1">
      <formula>$J$41="超过20%"</formula>
    </cfRule>
  </conditionalFormatting>
  <conditionalFormatting sqref="I42">
    <cfRule type="expression" dxfId="8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2733</v>
      </c>
      <c r="B1" s="394"/>
      <c r="C1" s="395" t="s">
        <v>2734</v>
      </c>
      <c r="D1" s="753"/>
      <c r="E1" s="753"/>
      <c r="F1" s="752" t="s">
        <v>2632</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2316</v>
      </c>
      <c r="B2" s="670"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2318</v>
      </c>
      <c r="B3" s="608" t="e">
        <f>ROUND(IF(D3="",B2*10000/'数据-汇总表'!E3,B2*10000/D3),0)</f>
        <v>#DIV/0!</v>
      </c>
      <c r="C3" s="246" t="s">
        <v>2735</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2634</v>
      </c>
      <c r="B4" s="401"/>
      <c r="C4" s="3255" t="s">
        <v>2635</v>
      </c>
      <c r="D4" s="3256"/>
      <c r="E4" s="3257" t="s">
        <v>2636</v>
      </c>
      <c r="F4" s="3258"/>
      <c r="G4" s="3255" t="s">
        <v>2637</v>
      </c>
      <c r="H4" s="3256"/>
      <c r="I4" s="3255" t="s">
        <v>2638</v>
      </c>
      <c r="J4" s="3256"/>
      <c r="K4" s="609" t="s">
        <v>2639</v>
      </c>
      <c r="L4" s="1128"/>
      <c r="M4" s="1129"/>
      <c r="N4" s="1129"/>
      <c r="O4" s="1129"/>
      <c r="P4" s="3259" t="s">
        <v>2640</v>
      </c>
      <c r="Q4" s="3260"/>
      <c r="R4" s="3265" t="s">
        <v>2636</v>
      </c>
      <c r="S4" s="3266"/>
      <c r="T4" s="3265" t="s">
        <v>2637</v>
      </c>
      <c r="U4" s="3266"/>
      <c r="V4" s="3250" t="s">
        <v>2638</v>
      </c>
      <c r="W4" s="3250"/>
      <c r="X4" s="1811"/>
      <c r="Y4" s="3265" t="s">
        <v>2640</v>
      </c>
      <c r="Z4" s="3266"/>
      <c r="AA4" s="3252" t="s">
        <v>2636</v>
      </c>
      <c r="AB4" s="3253" t="s">
        <v>2637</v>
      </c>
      <c r="AC4" s="3252" t="s">
        <v>2638</v>
      </c>
    </row>
    <row r="5" spans="1:30" ht="15">
      <c r="A5" s="403"/>
      <c r="B5" s="404"/>
      <c r="C5" s="3273" t="s">
        <v>2531</v>
      </c>
      <c r="D5" s="3274"/>
      <c r="E5" s="3280" t="s">
        <v>2532</v>
      </c>
      <c r="F5" s="3281"/>
      <c r="G5" s="3273" t="s">
        <v>2533</v>
      </c>
      <c r="H5" s="3274"/>
      <c r="I5" s="3273" t="s">
        <v>2534</v>
      </c>
      <c r="J5" s="3274"/>
      <c r="K5" s="609"/>
      <c r="L5" s="1128"/>
      <c r="M5" s="1129"/>
      <c r="N5" s="1129"/>
      <c r="O5" s="1129"/>
      <c r="P5" s="3261"/>
      <c r="Q5" s="3262"/>
      <c r="R5" s="3267"/>
      <c r="S5" s="3268"/>
      <c r="T5" s="3267"/>
      <c r="U5" s="3268"/>
      <c r="V5" s="3250"/>
      <c r="W5" s="3250"/>
      <c r="X5" s="1811"/>
      <c r="Y5" s="3267"/>
      <c r="Z5" s="3268"/>
      <c r="AA5" s="3253"/>
      <c r="AB5" s="3253"/>
      <c r="AC5" s="3253"/>
    </row>
    <row r="6" spans="1:30" ht="15.75" thickBot="1">
      <c r="A6" s="405"/>
      <c r="B6" s="406"/>
      <c r="C6" s="3271" t="s">
        <v>2535</v>
      </c>
      <c r="D6" s="3272"/>
      <c r="E6" s="3278" t="s">
        <v>2535</v>
      </c>
      <c r="F6" s="3279"/>
      <c r="G6" s="3271" t="s">
        <v>2535</v>
      </c>
      <c r="H6" s="3272"/>
      <c r="I6" s="3271" t="s">
        <v>2535</v>
      </c>
      <c r="J6" s="3272"/>
      <c r="K6" s="609" t="s">
        <v>2536</v>
      </c>
      <c r="L6" s="1128"/>
      <c r="M6" s="1129"/>
      <c r="N6" s="1129"/>
      <c r="O6" s="1129"/>
      <c r="P6" s="3263"/>
      <c r="Q6" s="3264"/>
      <c r="R6" s="3267"/>
      <c r="S6" s="3268"/>
      <c r="T6" s="3269"/>
      <c r="U6" s="3270"/>
      <c r="V6" s="3250"/>
      <c r="W6" s="3250"/>
      <c r="X6" s="1811"/>
      <c r="Y6" s="3269"/>
      <c r="Z6" s="3270"/>
      <c r="AA6" s="3254"/>
      <c r="AB6" s="3254"/>
      <c r="AC6" s="3254"/>
    </row>
    <row r="7" spans="1:30" s="116" customFormat="1" ht="15.75" thickBot="1">
      <c r="A7" s="407" t="s">
        <v>2537</v>
      </c>
      <c r="B7" s="408"/>
      <c r="C7" s="409">
        <f>'数据-取费表'!B2</f>
        <v>43658</v>
      </c>
      <c r="D7" s="410">
        <v>100</v>
      </c>
      <c r="E7" s="411">
        <v>42309</v>
      </c>
      <c r="F7" s="412">
        <f>SUMIF(70:70,YEAR(E7)&amp;"-"&amp;INT((MONTH(E7)+2)/3),71:71)</f>
        <v>0</v>
      </c>
      <c r="G7" s="2692">
        <v>42309</v>
      </c>
      <c r="H7" s="410">
        <f>SUMIF(70:70,YEAR(G7)&amp;"-"&amp;INT((MONTH(G7)+2)/3),71:71)</f>
        <v>0</v>
      </c>
      <c r="I7" s="2692">
        <v>42036</v>
      </c>
      <c r="J7" s="410">
        <f>SUMIF(70:70,YEAR(I7)&amp;"-"&amp;INT((MONTH(I7)+2)/3),71:71)</f>
        <v>0</v>
      </c>
      <c r="K7" s="610"/>
      <c r="L7" s="1130"/>
      <c r="M7" s="1131"/>
      <c r="N7" s="1131"/>
      <c r="O7" s="1131"/>
      <c r="P7" s="3275" t="s">
        <v>2538</v>
      </c>
      <c r="Q7" s="3277"/>
      <c r="R7" s="768" t="s">
        <v>17</v>
      </c>
      <c r="S7" s="769">
        <f t="shared" ref="S7:S15" si="0">F7</f>
        <v>0</v>
      </c>
      <c r="T7" s="768" t="s">
        <v>17</v>
      </c>
      <c r="U7" s="769">
        <f t="shared" ref="U7:U15" si="1">H7</f>
        <v>0</v>
      </c>
      <c r="V7" s="768" t="s">
        <v>17</v>
      </c>
      <c r="W7" s="769">
        <f t="shared" ref="W7:W15" si="2">J7</f>
        <v>0</v>
      </c>
      <c r="X7" s="770"/>
      <c r="Y7" s="3275" t="s">
        <v>2538</v>
      </c>
      <c r="Z7" s="3276"/>
      <c r="AA7" s="771" t="e">
        <f>D7/F7</f>
        <v>#DIV/0!</v>
      </c>
      <c r="AB7" s="771" t="e">
        <f>D7/H7</f>
        <v>#DIV/0!</v>
      </c>
      <c r="AC7" s="771" t="e">
        <f>D7/J7</f>
        <v>#DIV/0!</v>
      </c>
    </row>
    <row r="8" spans="1:30" s="116" customFormat="1" ht="15.75" thickBot="1">
      <c r="A8" s="407" t="s">
        <v>2539</v>
      </c>
      <c r="B8" s="408"/>
      <c r="C8" s="413" t="s">
        <v>2540</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275" t="s">
        <v>2541</v>
      </c>
      <c r="Q8" s="3276"/>
      <c r="R8" s="768" t="s">
        <v>17</v>
      </c>
      <c r="S8" s="769">
        <f t="shared" si="0"/>
        <v>0</v>
      </c>
      <c r="T8" s="768" t="s">
        <v>17</v>
      </c>
      <c r="U8" s="769">
        <f t="shared" si="1"/>
        <v>0</v>
      </c>
      <c r="V8" s="768" t="s">
        <v>17</v>
      </c>
      <c r="W8" s="769">
        <f t="shared" si="2"/>
        <v>0</v>
      </c>
      <c r="X8" s="770"/>
      <c r="Y8" s="3275" t="s">
        <v>2541</v>
      </c>
      <c r="Z8" s="3276"/>
      <c r="AA8" s="771" t="e">
        <f t="shared" ref="AA8:AA45" si="3">D8/F8</f>
        <v>#DIV/0!</v>
      </c>
      <c r="AB8" s="771" t="e">
        <f t="shared" ref="AB8:AB45" si="4">D8/H8</f>
        <v>#DIV/0!</v>
      </c>
      <c r="AC8" s="771" t="e">
        <f t="shared" ref="AC8:AC45" si="5">D8/J8</f>
        <v>#DIV/0!</v>
      </c>
    </row>
    <row r="9" spans="1:30" s="116" customFormat="1">
      <c r="A9" s="414" t="s">
        <v>2542</v>
      </c>
      <c r="B9" s="70" t="s">
        <v>2543</v>
      </c>
      <c r="C9" s="2695"/>
      <c r="D9" s="134">
        <v>100</v>
      </c>
      <c r="E9" s="2695"/>
      <c r="F9" s="134">
        <f>SUMIF(75:75,E9,76:76)-SUMIF(75:75,C9,76:76)+100</f>
        <v>100</v>
      </c>
      <c r="G9" s="2695"/>
      <c r="H9" s="134">
        <f>SUMIF(75:75,G9,76:76)-SUMIF(75:75,C9,76:76)+100</f>
        <v>100</v>
      </c>
      <c r="I9" s="2695"/>
      <c r="J9" s="134">
        <f>SUMIF(75:75,I9,76:76)-SUMIF(75:75,C9,76:76)+100</f>
        <v>100</v>
      </c>
      <c r="K9" s="610"/>
      <c r="L9" s="1130"/>
      <c r="M9" s="1131"/>
      <c r="N9" s="1131"/>
      <c r="O9" s="1132"/>
      <c r="P9" s="3236" t="s">
        <v>2544</v>
      </c>
      <c r="Q9" s="1793" t="str">
        <f t="shared" ref="Q9:Q15" si="6">B9</f>
        <v>用途</v>
      </c>
      <c r="R9" s="768" t="s">
        <v>17</v>
      </c>
      <c r="S9" s="769">
        <f t="shared" si="0"/>
        <v>100</v>
      </c>
      <c r="T9" s="768" t="s">
        <v>17</v>
      </c>
      <c r="U9" s="769">
        <f t="shared" si="1"/>
        <v>100</v>
      </c>
      <c r="V9" s="768" t="s">
        <v>17</v>
      </c>
      <c r="W9" s="769">
        <f t="shared" si="2"/>
        <v>100</v>
      </c>
      <c r="X9" s="770"/>
      <c r="Y9" s="3067" t="s">
        <v>2545</v>
      </c>
      <c r="Z9" s="54" t="str">
        <f t="shared" ref="Z9:Z15" si="7">Q9</f>
        <v>用途</v>
      </c>
      <c r="AA9" s="771">
        <f t="shared" si="3"/>
        <v>1</v>
      </c>
      <c r="AB9" s="771">
        <f t="shared" si="4"/>
        <v>1</v>
      </c>
      <c r="AC9" s="771">
        <f t="shared" si="5"/>
        <v>1</v>
      </c>
    </row>
    <row r="10" spans="1:30" s="426" customFormat="1" ht="27">
      <c r="A10" s="420"/>
      <c r="B10" s="421" t="s">
        <v>2546</v>
      </c>
      <c r="C10" s="431"/>
      <c r="D10" s="135">
        <v>100</v>
      </c>
      <c r="E10" s="464"/>
      <c r="F10" s="135">
        <f>ROUND(100/'数据-取费表'!G16,0)</f>
        <v>109</v>
      </c>
      <c r="G10" s="462"/>
      <c r="H10" s="135">
        <f>ROUND(100/'数据-取费表'!G16,0)</f>
        <v>109</v>
      </c>
      <c r="I10" s="462"/>
      <c r="J10" s="135">
        <f>ROUND(100/'数据-取费表'!G16,0)</f>
        <v>109</v>
      </c>
      <c r="K10" s="671"/>
      <c r="L10" s="1133"/>
      <c r="M10" s="1134"/>
      <c r="N10" s="1134"/>
      <c r="O10" s="1135"/>
      <c r="P10" s="3236"/>
      <c r="Q10" s="1793" t="str">
        <f t="shared" si="6"/>
        <v>土地使用年限（年）</v>
      </c>
      <c r="R10" s="768" t="s">
        <v>17</v>
      </c>
      <c r="S10" s="769">
        <f t="shared" si="0"/>
        <v>109</v>
      </c>
      <c r="T10" s="768" t="s">
        <v>17</v>
      </c>
      <c r="U10" s="769">
        <f t="shared" si="1"/>
        <v>109</v>
      </c>
      <c r="V10" s="768" t="s">
        <v>17</v>
      </c>
      <c r="W10" s="769">
        <f t="shared" si="2"/>
        <v>109</v>
      </c>
      <c r="X10" s="770"/>
      <c r="Y10" s="3067"/>
      <c r="Z10" s="54" t="str">
        <f t="shared" si="7"/>
        <v>土地使用年限（年）</v>
      </c>
      <c r="AA10" s="771">
        <f t="shared" si="3"/>
        <v>0.91743119266055051</v>
      </c>
      <c r="AB10" s="771">
        <f t="shared" si="4"/>
        <v>0.91743119266055051</v>
      </c>
      <c r="AC10" s="771">
        <f t="shared" si="5"/>
        <v>0.91743119266055051</v>
      </c>
    </row>
    <row r="11" spans="1:30" ht="15">
      <c r="A11" s="427"/>
      <c r="B11" s="421" t="s">
        <v>2547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236"/>
      <c r="Q11" s="1793" t="str">
        <f t="shared" si="6"/>
        <v>容积率</v>
      </c>
      <c r="R11" s="768" t="s">
        <v>17</v>
      </c>
      <c r="S11" s="769" t="e">
        <f t="shared" si="0"/>
        <v>#N/A</v>
      </c>
      <c r="T11" s="768" t="s">
        <v>17</v>
      </c>
      <c r="U11" s="769" t="e">
        <f t="shared" si="1"/>
        <v>#N/A</v>
      </c>
      <c r="V11" s="768" t="s">
        <v>17</v>
      </c>
      <c r="W11" s="769" t="e">
        <f t="shared" si="2"/>
        <v>#N/A</v>
      </c>
      <c r="X11" s="770"/>
      <c r="Y11" s="3067"/>
      <c r="Z11" s="54" t="str">
        <f t="shared" si="7"/>
        <v>容积率</v>
      </c>
      <c r="AA11" s="771" t="e">
        <f t="shared" si="3"/>
        <v>#N/A</v>
      </c>
      <c r="AB11" s="771" t="e">
        <f t="shared" si="4"/>
        <v>#N/A</v>
      </c>
      <c r="AC11" s="771" t="e">
        <f t="shared" si="5"/>
        <v>#N/A</v>
      </c>
    </row>
    <row r="12" spans="1:30" s="116" customFormat="1" ht="15">
      <c r="A12" s="430"/>
      <c r="B12" s="2598" t="s">
        <v>2736</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36"/>
      <c r="Q12" s="1793" t="str">
        <f t="shared" si="6"/>
        <v>配建</v>
      </c>
      <c r="R12" s="768" t="s">
        <v>17</v>
      </c>
      <c r="S12" s="769">
        <f t="shared" si="0"/>
        <v>100</v>
      </c>
      <c r="T12" s="768" t="s">
        <v>17</v>
      </c>
      <c r="U12" s="769">
        <f t="shared" si="1"/>
        <v>100</v>
      </c>
      <c r="V12" s="768" t="s">
        <v>17</v>
      </c>
      <c r="W12" s="769">
        <f t="shared" si="2"/>
        <v>100</v>
      </c>
      <c r="X12" s="770"/>
      <c r="Y12" s="3067"/>
      <c r="Z12" s="54" t="str">
        <f t="shared" si="7"/>
        <v>配建</v>
      </c>
      <c r="AA12" s="771">
        <f>D12/F12</f>
        <v>1</v>
      </c>
      <c r="AB12" s="771">
        <f>D12/H12</f>
        <v>1</v>
      </c>
      <c r="AC12" s="771">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36"/>
      <c r="Q13" s="1793">
        <f t="shared" si="6"/>
        <v>111</v>
      </c>
      <c r="R13" s="768" t="s">
        <v>17</v>
      </c>
      <c r="S13" s="769">
        <f t="shared" si="0"/>
        <v>100</v>
      </c>
      <c r="T13" s="768" t="s">
        <v>17</v>
      </c>
      <c r="U13" s="769">
        <f t="shared" si="1"/>
        <v>100</v>
      </c>
      <c r="V13" s="768" t="s">
        <v>17</v>
      </c>
      <c r="W13" s="769">
        <f t="shared" si="2"/>
        <v>100</v>
      </c>
      <c r="X13" s="770"/>
      <c r="Y13" s="3067"/>
      <c r="Z13" s="54">
        <f t="shared" si="7"/>
        <v>111</v>
      </c>
      <c r="AA13" s="771">
        <f>D13/F13</f>
        <v>1</v>
      </c>
      <c r="AB13" s="771">
        <f>D13/H13</f>
        <v>1</v>
      </c>
      <c r="AC13" s="771">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36"/>
      <c r="Q14" s="1793">
        <f t="shared" si="6"/>
        <v>111</v>
      </c>
      <c r="R14" s="768" t="s">
        <v>17</v>
      </c>
      <c r="S14" s="769">
        <f t="shared" si="0"/>
        <v>100</v>
      </c>
      <c r="T14" s="768" t="s">
        <v>17</v>
      </c>
      <c r="U14" s="769">
        <f t="shared" si="1"/>
        <v>100</v>
      </c>
      <c r="V14" s="768" t="s">
        <v>17</v>
      </c>
      <c r="W14" s="769">
        <f t="shared" si="2"/>
        <v>100</v>
      </c>
      <c r="X14" s="770"/>
      <c r="Y14" s="3067"/>
      <c r="Z14" s="54">
        <f t="shared" si="7"/>
        <v>111</v>
      </c>
      <c r="AA14" s="771">
        <f>D14/F14</f>
        <v>1</v>
      </c>
      <c r="AB14" s="771">
        <f>D14/H14</f>
        <v>1</v>
      </c>
      <c r="AC14" s="771">
        <f>D14/J14</f>
        <v>1</v>
      </c>
    </row>
    <row r="15" spans="1:30" ht="156.75">
      <c r="A15" s="439" t="s">
        <v>2548</v>
      </c>
      <c r="B15" s="68" t="s">
        <v>2077</v>
      </c>
      <c r="C15" s="2601" t="str">
        <f>估价对象房地状况!C15</f>
        <v>价对象周边有十字坡西里、民安小区、万国城MOMA等住宅成熟小区，居住用地比例较好，居住小区规模和社区发展完善程度较高，综合评价居住社区成熟度较好。</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43" t="s">
        <v>2549</v>
      </c>
      <c r="Q15" s="1808" t="str">
        <f t="shared" si="6"/>
        <v>居住社区成熟度</v>
      </c>
      <c r="R15" s="772" t="s">
        <v>17</v>
      </c>
      <c r="S15" s="773">
        <f t="shared" si="0"/>
        <v>100</v>
      </c>
      <c r="T15" s="772" t="s">
        <v>17</v>
      </c>
      <c r="U15" s="773">
        <f t="shared" si="1"/>
        <v>100</v>
      </c>
      <c r="V15" s="772" t="s">
        <v>17</v>
      </c>
      <c r="W15" s="773">
        <f t="shared" si="2"/>
        <v>100</v>
      </c>
      <c r="X15" s="1811"/>
      <c r="Y15" s="3243" t="s">
        <v>2549</v>
      </c>
      <c r="Z15" s="1812" t="str">
        <f t="shared" si="7"/>
        <v>居住社区成熟度</v>
      </c>
      <c r="AA15" s="1809">
        <f t="shared" si="3"/>
        <v>1</v>
      </c>
      <c r="AB15" s="1809">
        <f t="shared" si="4"/>
        <v>1</v>
      </c>
      <c r="AC15" s="1809">
        <f t="shared" si="5"/>
        <v>1</v>
      </c>
    </row>
    <row r="16" spans="1:30" ht="15">
      <c r="A16" s="427"/>
      <c r="B16" s="445"/>
      <c r="C16" s="446"/>
      <c r="D16" s="447"/>
      <c r="E16" s="2603"/>
      <c r="F16" s="447"/>
      <c r="G16" s="2603"/>
      <c r="H16" s="449"/>
      <c r="I16" s="2602"/>
      <c r="J16" s="447"/>
      <c r="K16" s="671"/>
      <c r="L16" s="1138"/>
      <c r="M16" s="1129"/>
      <c r="N16" s="1129"/>
      <c r="O16" s="1137"/>
      <c r="P16" s="3244"/>
      <c r="Q16" s="1808"/>
      <c r="R16" s="772"/>
      <c r="S16" s="773"/>
      <c r="T16" s="772"/>
      <c r="U16" s="773"/>
      <c r="V16" s="772"/>
      <c r="W16" s="773"/>
      <c r="X16" s="1811"/>
      <c r="Y16" s="3244"/>
      <c r="Z16" s="1812"/>
      <c r="AA16" s="1809">
        <v>1</v>
      </c>
      <c r="AB16" s="1809">
        <v>1</v>
      </c>
      <c r="AC16" s="1809">
        <v>1</v>
      </c>
    </row>
    <row r="17" spans="1:29" ht="71.25">
      <c r="A17" s="427"/>
      <c r="B17" s="450" t="s">
        <v>2642</v>
      </c>
      <c r="C17" s="2660"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44"/>
      <c r="Q17" s="1808" t="str">
        <f>B17</f>
        <v>商业繁华度</v>
      </c>
      <c r="R17" s="772" t="s">
        <v>17</v>
      </c>
      <c r="S17" s="773">
        <f>F17</f>
        <v>100</v>
      </c>
      <c r="T17" s="772" t="s">
        <v>17</v>
      </c>
      <c r="U17" s="773">
        <f>H17</f>
        <v>100</v>
      </c>
      <c r="V17" s="772" t="s">
        <v>17</v>
      </c>
      <c r="W17" s="773">
        <f>J17</f>
        <v>100</v>
      </c>
      <c r="X17" s="1811"/>
      <c r="Y17" s="3244"/>
      <c r="Z17" s="1812" t="str">
        <f>Q17</f>
        <v>商业繁华度</v>
      </c>
      <c r="AA17" s="1809">
        <f t="shared" si="3"/>
        <v>1</v>
      </c>
      <c r="AB17" s="1809">
        <f t="shared" si="4"/>
        <v>1</v>
      </c>
      <c r="AC17" s="1809">
        <f t="shared" si="5"/>
        <v>1</v>
      </c>
    </row>
    <row r="18" spans="1:29" ht="15">
      <c r="A18" s="427"/>
      <c r="B18" s="455"/>
      <c r="C18" s="2606"/>
      <c r="D18" s="449"/>
      <c r="E18" s="2608"/>
      <c r="F18" s="449"/>
      <c r="G18" s="2608"/>
      <c r="H18" s="447"/>
      <c r="I18" s="2607"/>
      <c r="J18" s="447"/>
      <c r="K18" s="671"/>
      <c r="L18" s="1138"/>
      <c r="M18" s="1129"/>
      <c r="N18" s="1129"/>
      <c r="O18" s="1137"/>
      <c r="P18" s="3244"/>
      <c r="Q18" s="1808"/>
      <c r="R18" s="772"/>
      <c r="S18" s="773"/>
      <c r="T18" s="772"/>
      <c r="U18" s="773"/>
      <c r="V18" s="772"/>
      <c r="W18" s="773"/>
      <c r="X18" s="1811"/>
      <c r="Y18" s="3244"/>
      <c r="Z18" s="1812"/>
      <c r="AA18" s="1809">
        <v>1</v>
      </c>
      <c r="AB18" s="1809">
        <v>1</v>
      </c>
      <c r="AC18" s="1809">
        <v>1</v>
      </c>
    </row>
    <row r="19" spans="1:29" ht="85.5">
      <c r="A19" s="427"/>
      <c r="B19" s="450" t="s">
        <v>2676</v>
      </c>
      <c r="C19" s="2660" t="str">
        <f>估价对象房地状况!C17</f>
        <v>估价对象位于东直门商圈，周边办公楼项目较多，入驻率高，办公集聚程度较好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44"/>
      <c r="Q19" s="1808" t="str">
        <f>B19</f>
        <v>办公集聚程度</v>
      </c>
      <c r="R19" s="772" t="s">
        <v>17</v>
      </c>
      <c r="S19" s="773">
        <f>F19</f>
        <v>100</v>
      </c>
      <c r="T19" s="772" t="s">
        <v>17</v>
      </c>
      <c r="U19" s="773">
        <f>H19</f>
        <v>100</v>
      </c>
      <c r="V19" s="772" t="s">
        <v>17</v>
      </c>
      <c r="W19" s="773">
        <f>J19</f>
        <v>100</v>
      </c>
      <c r="X19" s="1811"/>
      <c r="Y19" s="3244"/>
      <c r="Z19" s="1812" t="str">
        <f>Q19</f>
        <v>办公集聚程度</v>
      </c>
      <c r="AA19" s="1809">
        <f t="shared" si="3"/>
        <v>1</v>
      </c>
      <c r="AB19" s="1809">
        <f t="shared" si="4"/>
        <v>1</v>
      </c>
      <c r="AC19" s="1809">
        <f t="shared" si="5"/>
        <v>1</v>
      </c>
    </row>
    <row r="20" spans="1:29" ht="15">
      <c r="A20" s="427"/>
      <c r="B20" s="455"/>
      <c r="C20" s="446"/>
      <c r="D20" s="447"/>
      <c r="E20" s="2603"/>
      <c r="F20" s="447"/>
      <c r="G20" s="2603"/>
      <c r="H20" s="447"/>
      <c r="I20" s="2602"/>
      <c r="J20" s="447"/>
      <c r="K20" s="671"/>
      <c r="L20" s="1138"/>
      <c r="M20" s="1129"/>
      <c r="N20" s="1129"/>
      <c r="O20" s="1137"/>
      <c r="P20" s="3244"/>
      <c r="Q20" s="1808"/>
      <c r="R20" s="772"/>
      <c r="S20" s="773"/>
      <c r="T20" s="772"/>
      <c r="U20" s="773"/>
      <c r="V20" s="772"/>
      <c r="W20" s="773"/>
      <c r="X20" s="1811"/>
      <c r="Y20" s="3244"/>
      <c r="Z20" s="1812"/>
      <c r="AA20" s="1809">
        <v>1</v>
      </c>
      <c r="AB20" s="1809">
        <v>1</v>
      </c>
      <c r="AC20" s="1809">
        <v>1</v>
      </c>
    </row>
    <row r="21" spans="1:29" ht="213.75">
      <c r="A21" s="427"/>
      <c r="B21" s="450" t="s">
        <v>2698</v>
      </c>
      <c r="C21" s="2605" t="str">
        <f>估价对象房地状况!C18</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44"/>
      <c r="Q21" s="1808" t="str">
        <f>B21</f>
        <v>交通便捷度</v>
      </c>
      <c r="R21" s="772" t="s">
        <v>17</v>
      </c>
      <c r="S21" s="773">
        <f>F21</f>
        <v>100</v>
      </c>
      <c r="T21" s="772" t="s">
        <v>17</v>
      </c>
      <c r="U21" s="773">
        <f>H21</f>
        <v>100</v>
      </c>
      <c r="V21" s="772" t="s">
        <v>17</v>
      </c>
      <c r="W21" s="773">
        <f>J21</f>
        <v>100</v>
      </c>
      <c r="X21" s="1811"/>
      <c r="Y21" s="3244"/>
      <c r="Z21" s="1812" t="str">
        <f>Q21</f>
        <v>交通便捷度</v>
      </c>
      <c r="AA21" s="1809">
        <f t="shared" si="3"/>
        <v>1</v>
      </c>
      <c r="AB21" s="1809">
        <f t="shared" si="4"/>
        <v>1</v>
      </c>
      <c r="AC21" s="1809">
        <f t="shared" si="5"/>
        <v>1</v>
      </c>
    </row>
    <row r="22" spans="1:29" ht="15">
      <c r="A22" s="427"/>
      <c r="B22" s="1382"/>
      <c r="C22" s="446"/>
      <c r="D22" s="449"/>
      <c r="E22" s="2603"/>
      <c r="F22" s="447"/>
      <c r="G22" s="2603"/>
      <c r="H22" s="447"/>
      <c r="I22" s="2602"/>
      <c r="J22" s="447"/>
      <c r="K22" s="671"/>
      <c r="L22" s="1138"/>
      <c r="M22" s="1129"/>
      <c r="N22" s="1129"/>
      <c r="O22" s="1137"/>
      <c r="P22" s="3244"/>
      <c r="Q22" s="1808"/>
      <c r="R22" s="772"/>
      <c r="S22" s="773"/>
      <c r="T22" s="772"/>
      <c r="U22" s="773"/>
      <c r="V22" s="772"/>
      <c r="W22" s="773"/>
      <c r="X22" s="1811"/>
      <c r="Y22" s="3244"/>
      <c r="Z22" s="1812"/>
      <c r="AA22" s="1809">
        <v>1</v>
      </c>
      <c r="AB22" s="1809">
        <v>1</v>
      </c>
      <c r="AC22" s="1809">
        <v>1</v>
      </c>
    </row>
    <row r="23" spans="1:29" ht="15">
      <c r="A23" s="403"/>
      <c r="B23" s="450" t="s">
        <v>2737</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44"/>
      <c r="Q23" s="1808" t="str">
        <f t="shared" ref="Q23:Q37" si="8">B23</f>
        <v>区域土地利用方向</v>
      </c>
      <c r="R23" s="772" t="s">
        <v>17</v>
      </c>
      <c r="S23" s="773">
        <f>F23</f>
        <v>100</v>
      </c>
      <c r="T23" s="772" t="s">
        <v>17</v>
      </c>
      <c r="U23" s="773">
        <f>H23</f>
        <v>100</v>
      </c>
      <c r="V23" s="772" t="s">
        <v>17</v>
      </c>
      <c r="W23" s="773">
        <f>J23</f>
        <v>100</v>
      </c>
      <c r="X23" s="1811"/>
      <c r="Y23" s="3244"/>
      <c r="Z23" s="1812" t="str">
        <f>Q23</f>
        <v>区域土地利用方向</v>
      </c>
      <c r="AA23" s="1809">
        <f t="shared" si="3"/>
        <v>1</v>
      </c>
      <c r="AB23" s="1809">
        <f t="shared" si="4"/>
        <v>1</v>
      </c>
      <c r="AC23" s="1809">
        <f t="shared" si="5"/>
        <v>1</v>
      </c>
    </row>
    <row r="24" spans="1:29" ht="15">
      <c r="A24" s="403"/>
      <c r="B24" s="455"/>
      <c r="C24" s="615"/>
      <c r="D24" s="447"/>
      <c r="E24" s="2603"/>
      <c r="F24" s="447"/>
      <c r="G24" s="2602"/>
      <c r="H24" s="447"/>
      <c r="I24" s="2602"/>
      <c r="J24" s="447"/>
      <c r="K24" s="810"/>
      <c r="L24" s="1138"/>
      <c r="M24" s="1129"/>
      <c r="N24" s="1129"/>
      <c r="O24" s="1137"/>
      <c r="P24" s="3244"/>
      <c r="Q24" s="1808"/>
      <c r="R24" s="772"/>
      <c r="S24" s="773"/>
      <c r="T24" s="772"/>
      <c r="U24" s="773"/>
      <c r="V24" s="772"/>
      <c r="W24" s="773"/>
      <c r="X24" s="1811"/>
      <c r="Y24" s="3244"/>
      <c r="Z24" s="1812"/>
      <c r="AA24" s="1809"/>
      <c r="AB24" s="1809"/>
      <c r="AC24" s="1809"/>
    </row>
    <row r="25" spans="1:29" ht="156.75">
      <c r="A25" s="403"/>
      <c r="B25" s="1382" t="s">
        <v>2738</v>
      </c>
      <c r="C25" s="2660" t="str">
        <f>估价对象房地状况!C20</f>
        <v>区域内有新中街城市森林公园等，街道整洁，相邻路段无污染源，自然环境较好；区域内有保利剧院、中国医史博物馆等，人文环境较较好；综合评价环境状况较好。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44"/>
      <c r="Q25" s="1808" t="str">
        <f t="shared" si="8"/>
        <v>自然及人文环境状况</v>
      </c>
      <c r="R25" s="772" t="s">
        <v>17</v>
      </c>
      <c r="S25" s="773">
        <f>F25</f>
        <v>100</v>
      </c>
      <c r="T25" s="772" t="s">
        <v>17</v>
      </c>
      <c r="U25" s="773">
        <f>H25</f>
        <v>100</v>
      </c>
      <c r="V25" s="772" t="s">
        <v>17</v>
      </c>
      <c r="W25" s="773">
        <f>J25</f>
        <v>100</v>
      </c>
      <c r="X25" s="1811"/>
      <c r="Y25" s="3244"/>
      <c r="Z25" s="1812" t="str">
        <f>Q25</f>
        <v>自然及人文环境状况</v>
      </c>
      <c r="AA25" s="1809">
        <f t="shared" si="3"/>
        <v>1</v>
      </c>
      <c r="AB25" s="1809">
        <f t="shared" si="4"/>
        <v>1</v>
      </c>
      <c r="AC25" s="1809">
        <f t="shared" si="5"/>
        <v>1</v>
      </c>
    </row>
    <row r="26" spans="1:29" ht="15">
      <c r="A26" s="403"/>
      <c r="B26" s="455"/>
      <c r="C26" s="446"/>
      <c r="D26" s="447"/>
      <c r="E26" s="2609"/>
      <c r="F26" s="447"/>
      <c r="G26" s="2609"/>
      <c r="H26" s="447"/>
      <c r="I26" s="446"/>
      <c r="J26" s="447"/>
      <c r="K26" s="671"/>
      <c r="L26" s="1138"/>
      <c r="M26" s="1129"/>
      <c r="N26" s="1129"/>
      <c r="O26" s="1137"/>
      <c r="P26" s="3244"/>
      <c r="Q26" s="1808"/>
      <c r="R26" s="772"/>
      <c r="S26" s="773"/>
      <c r="T26" s="772"/>
      <c r="U26" s="773"/>
      <c r="V26" s="772"/>
      <c r="W26" s="773"/>
      <c r="X26" s="1811"/>
      <c r="Y26" s="3244"/>
      <c r="Z26" s="1812"/>
      <c r="AA26" s="1809">
        <v>1</v>
      </c>
      <c r="AB26" s="1809">
        <v>1</v>
      </c>
      <c r="AC26" s="1809">
        <v>1</v>
      </c>
    </row>
    <row r="27" spans="1:29" s="116" customFormat="1" ht="114">
      <c r="A27" s="648"/>
      <c r="B27" s="1382" t="s">
        <v>2643</v>
      </c>
      <c r="C27" s="2605" t="str">
        <f>估价对象房地状况!C21</f>
        <v>区域内有新中街幼儿园、西中街小学、东直门中学、北京中医药大学东直门医院、招商银行、华联超市等，公共服务设施较完善</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44"/>
      <c r="Q27" s="1793" t="str">
        <f t="shared" si="8"/>
        <v>公共配套设施</v>
      </c>
      <c r="R27" s="768" t="s">
        <v>17</v>
      </c>
      <c r="S27" s="769">
        <f>F27</f>
        <v>100</v>
      </c>
      <c r="T27" s="768" t="s">
        <v>17</v>
      </c>
      <c r="U27" s="769">
        <f>H27</f>
        <v>100</v>
      </c>
      <c r="V27" s="768" t="s">
        <v>17</v>
      </c>
      <c r="W27" s="769">
        <f>J27</f>
        <v>100</v>
      </c>
      <c r="X27" s="770"/>
      <c r="Y27" s="3244"/>
      <c r="Z27" s="54" t="str">
        <f>Q27</f>
        <v>公共配套设施</v>
      </c>
      <c r="AA27" s="1809">
        <f>D27/F27</f>
        <v>1</v>
      </c>
      <c r="AB27" s="1809">
        <f>D27/H27</f>
        <v>1</v>
      </c>
      <c r="AC27" s="1809">
        <f>D27/J27</f>
        <v>1</v>
      </c>
    </row>
    <row r="28" spans="1:29" s="116" customFormat="1" ht="15">
      <c r="A28" s="648"/>
      <c r="B28" s="455"/>
      <c r="C28" s="2696"/>
      <c r="D28" s="447"/>
      <c r="E28" s="2609"/>
      <c r="F28" s="447"/>
      <c r="G28" s="2609"/>
      <c r="H28" s="447"/>
      <c r="I28" s="446"/>
      <c r="J28" s="447"/>
      <c r="K28" s="671"/>
      <c r="L28" s="1130"/>
      <c r="M28" s="1131"/>
      <c r="N28" s="1131"/>
      <c r="O28" s="1132"/>
      <c r="P28" s="3244"/>
      <c r="Q28" s="1793"/>
      <c r="R28" s="768"/>
      <c r="S28" s="769"/>
      <c r="T28" s="768"/>
      <c r="U28" s="769"/>
      <c r="V28" s="768"/>
      <c r="W28" s="769"/>
      <c r="X28" s="770"/>
      <c r="Y28" s="3244"/>
      <c r="Z28" s="54"/>
      <c r="AA28" s="1809">
        <v>1</v>
      </c>
      <c r="AB28" s="1809">
        <v>1</v>
      </c>
      <c r="AC28" s="1809">
        <v>1</v>
      </c>
    </row>
    <row r="29" spans="1:29" s="116" customFormat="1" ht="71.25">
      <c r="A29" s="648"/>
      <c r="B29" s="1382" t="s">
        <v>2644</v>
      </c>
      <c r="C29" s="2605" t="str">
        <f>估价对象房地状况!C22</f>
        <v>估价对象所在区域红线内外七通，市政供暖，基础设施水平好。</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44"/>
      <c r="Q29" s="1793" t="str">
        <f t="shared" ref="Q29" si="9">B29</f>
        <v>基础设施水平</v>
      </c>
      <c r="R29" s="768" t="s">
        <v>17</v>
      </c>
      <c r="S29" s="769">
        <f>F29</f>
        <v>100</v>
      </c>
      <c r="T29" s="768" t="s">
        <v>17</v>
      </c>
      <c r="U29" s="769">
        <f>H29</f>
        <v>100</v>
      </c>
      <c r="V29" s="768" t="s">
        <v>17</v>
      </c>
      <c r="W29" s="769">
        <f>J29</f>
        <v>100</v>
      </c>
      <c r="X29" s="770"/>
      <c r="Y29" s="3244"/>
      <c r="Z29" s="54" t="str">
        <f>Q29</f>
        <v>基础设施水平</v>
      </c>
      <c r="AA29" s="1809">
        <f>D29/F29</f>
        <v>1</v>
      </c>
      <c r="AB29" s="1809">
        <f>D29/H29</f>
        <v>1</v>
      </c>
      <c r="AC29" s="1809">
        <f>D29/J29</f>
        <v>1</v>
      </c>
    </row>
    <row r="30" spans="1:29" s="116" customFormat="1" ht="15">
      <c r="A30" s="648"/>
      <c r="B30" s="455"/>
      <c r="C30" s="2696"/>
      <c r="D30" s="447"/>
      <c r="E30" s="2697"/>
      <c r="F30" s="447"/>
      <c r="G30" s="2697"/>
      <c r="H30" s="447"/>
      <c r="I30" s="2697"/>
      <c r="J30" s="447"/>
      <c r="K30" s="671"/>
      <c r="L30" s="1130"/>
      <c r="M30" s="1131"/>
      <c r="N30" s="1131"/>
      <c r="O30" s="1132"/>
      <c r="P30" s="3244"/>
      <c r="Q30" s="1793"/>
      <c r="R30" s="768"/>
      <c r="S30" s="769"/>
      <c r="T30" s="768"/>
      <c r="U30" s="769"/>
      <c r="V30" s="768"/>
      <c r="W30" s="769"/>
      <c r="X30" s="770"/>
      <c r="Y30" s="3244"/>
      <c r="Z30" s="54"/>
      <c r="AA30" s="1809">
        <v>1</v>
      </c>
      <c r="AB30" s="1809">
        <v>1</v>
      </c>
      <c r="AC30" s="1809">
        <v>1</v>
      </c>
    </row>
    <row r="31" spans="1:29" ht="15">
      <c r="A31" s="427"/>
      <c r="B31" s="455" t="s">
        <v>2645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44"/>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44"/>
      <c r="Z31" s="1812" t="str">
        <f t="shared" ref="Z31:Z45" si="13">Q31</f>
        <v>临街状况</v>
      </c>
      <c r="AA31" s="1809">
        <f t="shared" si="3"/>
        <v>1</v>
      </c>
      <c r="AB31" s="1809">
        <f t="shared" si="4"/>
        <v>1</v>
      </c>
      <c r="AC31" s="1809">
        <f t="shared" si="5"/>
        <v>1</v>
      </c>
    </row>
    <row r="32" spans="1:29" ht="27">
      <c r="A32" s="427"/>
      <c r="B32" s="1382" t="s">
        <v>2680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44"/>
      <c r="Q32" s="1808" t="str">
        <f t="shared" si="8"/>
        <v>毗邻道路的类型与等级</v>
      </c>
      <c r="R32" s="772" t="s">
        <v>17</v>
      </c>
      <c r="S32" s="773">
        <f t="shared" si="10"/>
        <v>100</v>
      </c>
      <c r="T32" s="772" t="s">
        <v>17</v>
      </c>
      <c r="U32" s="773">
        <f t="shared" si="11"/>
        <v>100</v>
      </c>
      <c r="V32" s="772" t="s">
        <v>17</v>
      </c>
      <c r="W32" s="773">
        <f t="shared" si="12"/>
        <v>100</v>
      </c>
      <c r="X32" s="1811"/>
      <c r="Y32" s="3244"/>
      <c r="Z32" s="1812" t="str">
        <f t="shared" si="13"/>
        <v>毗邻道路的类型与等级</v>
      </c>
      <c r="AA32" s="1809">
        <f t="shared" si="3"/>
        <v>1</v>
      </c>
      <c r="AB32" s="1809">
        <f t="shared" si="4"/>
        <v>1</v>
      </c>
      <c r="AC32" s="1809">
        <f t="shared" si="5"/>
        <v>1</v>
      </c>
    </row>
    <row r="33" spans="1:29" ht="15">
      <c r="A33" s="427"/>
      <c r="B33" s="455"/>
      <c r="C33" s="446"/>
      <c r="D33" s="447"/>
      <c r="E33" s="2609"/>
      <c r="F33" s="447"/>
      <c r="G33" s="2609"/>
      <c r="H33" s="447"/>
      <c r="I33" s="446"/>
      <c r="J33" s="447"/>
      <c r="K33" s="612"/>
      <c r="L33" s="1138"/>
      <c r="M33" s="1129"/>
      <c r="N33" s="1129"/>
      <c r="O33" s="1137"/>
      <c r="P33" s="3244"/>
      <c r="Q33" s="1808"/>
      <c r="R33" s="772"/>
      <c r="S33" s="773"/>
      <c r="T33" s="772"/>
      <c r="U33" s="773"/>
      <c r="V33" s="772"/>
      <c r="W33" s="773"/>
      <c r="X33" s="1811"/>
      <c r="Y33" s="3244"/>
      <c r="Z33" s="1812"/>
      <c r="AA33" s="1809">
        <v>1</v>
      </c>
      <c r="AB33" s="1809">
        <v>1</v>
      </c>
      <c r="AC33" s="1809">
        <v>1</v>
      </c>
    </row>
    <row r="34" spans="1:29" ht="15">
      <c r="A34" s="427"/>
      <c r="B34" s="421" t="s">
        <v>2739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44"/>
      <c r="Q34" s="1808" t="str">
        <f t="shared" si="8"/>
        <v>土地级别</v>
      </c>
      <c r="R34" s="772" t="s">
        <v>17</v>
      </c>
      <c r="S34" s="773">
        <f t="shared" si="10"/>
        <v>100</v>
      </c>
      <c r="T34" s="772" t="s">
        <v>17</v>
      </c>
      <c r="U34" s="773">
        <f t="shared" si="11"/>
        <v>100</v>
      </c>
      <c r="V34" s="772" t="s">
        <v>17</v>
      </c>
      <c r="W34" s="773">
        <f t="shared" si="12"/>
        <v>100</v>
      </c>
      <c r="X34" s="1811"/>
      <c r="Y34" s="3244"/>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44"/>
      <c r="Q35" s="1808">
        <f t="shared" si="8"/>
        <v>111</v>
      </c>
      <c r="R35" s="772" t="s">
        <v>17</v>
      </c>
      <c r="S35" s="773">
        <f t="shared" si="10"/>
        <v>100</v>
      </c>
      <c r="T35" s="772" t="s">
        <v>17</v>
      </c>
      <c r="U35" s="773">
        <f t="shared" si="11"/>
        <v>100</v>
      </c>
      <c r="V35" s="772" t="s">
        <v>17</v>
      </c>
      <c r="W35" s="773">
        <f t="shared" si="12"/>
        <v>100</v>
      </c>
      <c r="X35" s="1811"/>
      <c r="Y35" s="3244"/>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98" t="s">
        <v>2554</v>
      </c>
      <c r="Q36" s="1808">
        <f t="shared" si="8"/>
        <v>111</v>
      </c>
      <c r="R36" s="772" t="s">
        <v>17</v>
      </c>
      <c r="S36" s="773">
        <f t="shared" si="10"/>
        <v>100</v>
      </c>
      <c r="T36" s="772" t="s">
        <v>17</v>
      </c>
      <c r="U36" s="773">
        <f t="shared" si="11"/>
        <v>100</v>
      </c>
      <c r="V36" s="772" t="s">
        <v>17</v>
      </c>
      <c r="W36" s="773">
        <f t="shared" si="12"/>
        <v>100</v>
      </c>
      <c r="X36" s="1811"/>
      <c r="Y36" s="3248" t="s">
        <v>2554</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48"/>
      <c r="Q37" s="1808">
        <f t="shared" si="8"/>
        <v>111</v>
      </c>
      <c r="R37" s="775" t="s">
        <v>17</v>
      </c>
      <c r="S37" s="776">
        <f t="shared" si="10"/>
        <v>100</v>
      </c>
      <c r="T37" s="775" t="s">
        <v>17</v>
      </c>
      <c r="U37" s="776">
        <f t="shared" si="11"/>
        <v>100</v>
      </c>
      <c r="V37" s="775" t="s">
        <v>17</v>
      </c>
      <c r="W37" s="776">
        <f t="shared" si="12"/>
        <v>100</v>
      </c>
      <c r="X37" s="777"/>
      <c r="Y37" s="3248"/>
      <c r="Z37" s="778">
        <f t="shared" si="13"/>
        <v>111</v>
      </c>
      <c r="AA37" s="1809">
        <f t="shared" si="3"/>
        <v>1</v>
      </c>
      <c r="AB37" s="1809">
        <f t="shared" si="4"/>
        <v>1</v>
      </c>
      <c r="AC37" s="1809">
        <f t="shared" si="5"/>
        <v>1</v>
      </c>
    </row>
    <row r="38" spans="1:29" ht="15">
      <c r="A38" s="471" t="s">
        <v>2552</v>
      </c>
      <c r="B38" s="455" t="s">
        <v>2740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248"/>
      <c r="Q38" s="1808" t="str">
        <f>B38</f>
        <v>宗地面积</v>
      </c>
      <c r="R38" s="772" t="s">
        <v>17</v>
      </c>
      <c r="S38" s="773" t="e">
        <f t="shared" si="10"/>
        <v>#N/A</v>
      </c>
      <c r="T38" s="772" t="s">
        <v>17</v>
      </c>
      <c r="U38" s="773" t="e">
        <f t="shared" si="11"/>
        <v>#N/A</v>
      </c>
      <c r="V38" s="772" t="s">
        <v>17</v>
      </c>
      <c r="W38" s="773" t="e">
        <f t="shared" si="12"/>
        <v>#N/A</v>
      </c>
      <c r="X38" s="1811"/>
      <c r="Y38" s="3248"/>
      <c r="Z38" s="1812" t="str">
        <f t="shared" si="13"/>
        <v>宗地面积</v>
      </c>
      <c r="AA38" s="1809" t="e">
        <f t="shared" si="3"/>
        <v>#N/A</v>
      </c>
      <c r="AB38" s="1809" t="e">
        <f t="shared" si="4"/>
        <v>#N/A</v>
      </c>
      <c r="AC38" s="1809" t="e">
        <f t="shared" si="5"/>
        <v>#N/A</v>
      </c>
    </row>
    <row r="39" spans="1:29" ht="15">
      <c r="A39" s="471"/>
      <c r="B39" s="421" t="s">
        <v>2741</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38"/>
      <c r="M39" s="1129"/>
      <c r="N39" s="1129"/>
      <c r="O39" s="1137"/>
      <c r="P39" s="3248"/>
      <c r="Q39" s="1808" t="str">
        <f t="shared" ref="Q39:Q45" si="14">B39</f>
        <v>宗地形状</v>
      </c>
      <c r="R39" s="772" t="s">
        <v>17</v>
      </c>
      <c r="S39" s="773">
        <f t="shared" si="10"/>
        <v>100</v>
      </c>
      <c r="T39" s="772" t="s">
        <v>17</v>
      </c>
      <c r="U39" s="773">
        <f t="shared" si="11"/>
        <v>100</v>
      </c>
      <c r="V39" s="772" t="s">
        <v>17</v>
      </c>
      <c r="W39" s="773">
        <f t="shared" si="12"/>
        <v>100</v>
      </c>
      <c r="X39" s="1811"/>
      <c r="Y39" s="3248"/>
      <c r="Z39" s="1812" t="str">
        <f t="shared" si="13"/>
        <v>宗地形状</v>
      </c>
      <c r="AA39" s="1809">
        <f t="shared" si="3"/>
        <v>1</v>
      </c>
      <c r="AB39" s="1809">
        <f t="shared" si="4"/>
        <v>1</v>
      </c>
      <c r="AC39" s="1809">
        <f t="shared" si="5"/>
        <v>1</v>
      </c>
    </row>
    <row r="40" spans="1:29" ht="15">
      <c r="A40" s="471"/>
      <c r="B40" s="421" t="s">
        <v>2742</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38"/>
      <c r="M40" s="1129"/>
      <c r="N40" s="1129"/>
      <c r="O40" s="1137"/>
      <c r="P40" s="3248"/>
      <c r="Q40" s="1808" t="str">
        <f t="shared" si="14"/>
        <v>临街宽度及深度</v>
      </c>
      <c r="R40" s="772" t="s">
        <v>17</v>
      </c>
      <c r="S40" s="773">
        <f t="shared" si="10"/>
        <v>100</v>
      </c>
      <c r="T40" s="772" t="s">
        <v>17</v>
      </c>
      <c r="U40" s="773">
        <f t="shared" si="11"/>
        <v>100</v>
      </c>
      <c r="V40" s="772" t="s">
        <v>17</v>
      </c>
      <c r="W40" s="773">
        <f t="shared" si="12"/>
        <v>100</v>
      </c>
      <c r="X40" s="1811"/>
      <c r="Y40" s="3248"/>
      <c r="Z40" s="1812" t="str">
        <f t="shared" si="13"/>
        <v>临街宽度及深度</v>
      </c>
      <c r="AA40" s="1809">
        <f t="shared" si="3"/>
        <v>1</v>
      </c>
      <c r="AB40" s="1809">
        <f t="shared" si="4"/>
        <v>1</v>
      </c>
      <c r="AC40" s="1809">
        <f t="shared" si="5"/>
        <v>1</v>
      </c>
    </row>
    <row r="41" spans="1:29" s="116" customFormat="1" ht="15">
      <c r="A41" s="472"/>
      <c r="B41" s="421" t="s">
        <v>2743</v>
      </c>
      <c r="C41" s="2698"/>
      <c r="D41" s="135">
        <v>100</v>
      </c>
      <c r="E41" s="2698"/>
      <c r="F41" s="434">
        <f>SUMIF(123:123,E41,124:124)-SUMIF(123:123,C41,124:124)+100</f>
        <v>100</v>
      </c>
      <c r="G41" s="2698"/>
      <c r="H41" s="434">
        <f>SUMIF(123:123,G41,124:124)-SUMIF(123:123,C41,124:124)+100</f>
        <v>100</v>
      </c>
      <c r="I41" s="2698"/>
      <c r="J41" s="434">
        <f>SUMIF(123:123,I41,124:124)-SUMIF(123:123,C41,124:124)+100</f>
        <v>100</v>
      </c>
      <c r="K41" s="611"/>
      <c r="L41" s="1130"/>
      <c r="M41" s="1131"/>
      <c r="N41" s="1131"/>
      <c r="O41" s="1132"/>
      <c r="P41" s="3248"/>
      <c r="Q41" s="1808" t="str">
        <f t="shared" si="14"/>
        <v>宗地开发程度</v>
      </c>
      <c r="R41" s="768" t="s">
        <v>17</v>
      </c>
      <c r="S41" s="769">
        <f t="shared" si="10"/>
        <v>100</v>
      </c>
      <c r="T41" s="768" t="s">
        <v>17</v>
      </c>
      <c r="U41" s="769">
        <f t="shared" si="11"/>
        <v>100</v>
      </c>
      <c r="V41" s="768" t="s">
        <v>17</v>
      </c>
      <c r="W41" s="769">
        <f t="shared" si="12"/>
        <v>100</v>
      </c>
      <c r="X41" s="770"/>
      <c r="Y41" s="3248"/>
      <c r="Z41" s="54" t="str">
        <f t="shared" si="13"/>
        <v>宗地开发程度</v>
      </c>
      <c r="AA41" s="771">
        <f t="shared" si="3"/>
        <v>1</v>
      </c>
      <c r="AB41" s="771">
        <f t="shared" si="4"/>
        <v>1</v>
      </c>
      <c r="AC41" s="771">
        <f t="shared" si="5"/>
        <v>1</v>
      </c>
    </row>
    <row r="42" spans="1:29" ht="15">
      <c r="A42" s="471"/>
      <c r="B42" s="421" t="s">
        <v>2744</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38"/>
      <c r="M42" s="1129"/>
      <c r="N42" s="1129"/>
      <c r="O42" s="1137"/>
      <c r="P42" s="3248" t="s">
        <v>2554</v>
      </c>
      <c r="Q42" s="1808" t="str">
        <f t="shared" si="14"/>
        <v>工程地质条件</v>
      </c>
      <c r="R42" s="772" t="s">
        <v>17</v>
      </c>
      <c r="S42" s="773">
        <f t="shared" si="10"/>
        <v>100</v>
      </c>
      <c r="T42" s="772" t="s">
        <v>17</v>
      </c>
      <c r="U42" s="773">
        <f t="shared" si="11"/>
        <v>100</v>
      </c>
      <c r="V42" s="772" t="s">
        <v>17</v>
      </c>
      <c r="W42" s="773">
        <f t="shared" si="12"/>
        <v>100</v>
      </c>
      <c r="X42" s="1811"/>
      <c r="Y42" s="3248" t="s">
        <v>2554</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48"/>
      <c r="Q43" s="1808">
        <f t="shared" si="14"/>
        <v>111</v>
      </c>
      <c r="R43" s="772" t="s">
        <v>17</v>
      </c>
      <c r="S43" s="773">
        <f t="shared" si="10"/>
        <v>100</v>
      </c>
      <c r="T43" s="772" t="s">
        <v>17</v>
      </c>
      <c r="U43" s="773">
        <f t="shared" si="11"/>
        <v>100</v>
      </c>
      <c r="V43" s="772" t="s">
        <v>17</v>
      </c>
      <c r="W43" s="773">
        <f t="shared" si="12"/>
        <v>100</v>
      </c>
      <c r="X43" s="1811"/>
      <c r="Y43" s="3248"/>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48"/>
      <c r="Q44" s="1808">
        <f t="shared" si="14"/>
        <v>111</v>
      </c>
      <c r="R44" s="772" t="s">
        <v>17</v>
      </c>
      <c r="S44" s="773">
        <f t="shared" si="10"/>
        <v>100</v>
      </c>
      <c r="T44" s="772" t="s">
        <v>17</v>
      </c>
      <c r="U44" s="773">
        <f t="shared" si="11"/>
        <v>100</v>
      </c>
      <c r="V44" s="772" t="s">
        <v>17</v>
      </c>
      <c r="W44" s="773">
        <f t="shared" si="12"/>
        <v>100</v>
      </c>
      <c r="X44" s="1811"/>
      <c r="Y44" s="3248"/>
      <c r="Z44" s="1812">
        <f t="shared" si="13"/>
        <v>111</v>
      </c>
      <c r="AA44" s="1809">
        <f t="shared" si="3"/>
        <v>1</v>
      </c>
      <c r="AB44" s="1809">
        <f t="shared" si="4"/>
        <v>1</v>
      </c>
      <c r="AC44" s="1809">
        <f t="shared" si="5"/>
        <v>1</v>
      </c>
    </row>
    <row r="45" spans="1:29" s="470" customFormat="1" ht="15.75"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48"/>
      <c r="Q45" s="1808">
        <f t="shared" si="14"/>
        <v>111</v>
      </c>
      <c r="R45" s="775" t="s">
        <v>17</v>
      </c>
      <c r="S45" s="776">
        <f t="shared" si="10"/>
        <v>100</v>
      </c>
      <c r="T45" s="775" t="s">
        <v>17</v>
      </c>
      <c r="U45" s="776">
        <f t="shared" si="11"/>
        <v>100</v>
      </c>
      <c r="V45" s="775" t="s">
        <v>17</v>
      </c>
      <c r="W45" s="776">
        <f t="shared" si="12"/>
        <v>100</v>
      </c>
      <c r="X45" s="777"/>
      <c r="Y45" s="3248"/>
      <c r="Z45" s="778">
        <f t="shared" si="13"/>
        <v>111</v>
      </c>
      <c r="AA45" s="1809">
        <f t="shared" si="3"/>
        <v>1</v>
      </c>
      <c r="AB45" s="1809">
        <f t="shared" si="4"/>
        <v>1</v>
      </c>
      <c r="AC45" s="1809">
        <f t="shared" si="5"/>
        <v>1</v>
      </c>
    </row>
    <row r="46" spans="1:29" ht="15">
      <c r="A46" s="478" t="s">
        <v>2709</v>
      </c>
      <c r="B46" s="2700" t="s">
        <v>2745</v>
      </c>
      <c r="C46" s="681" t="s">
        <v>1</v>
      </c>
      <c r="D46" s="480"/>
      <c r="E46" s="481"/>
      <c r="F46" s="482"/>
      <c r="G46" s="483"/>
      <c r="H46" s="484"/>
      <c r="I46" s="481"/>
      <c r="J46" s="484"/>
      <c r="K46" s="781"/>
      <c r="L46" s="1141"/>
      <c r="M46" s="1142"/>
      <c r="N46" s="1129"/>
      <c r="O46" s="1142"/>
      <c r="P46" s="3236" t="str">
        <f>A46</f>
        <v>成交单价</v>
      </c>
      <c r="Q46" s="3236"/>
      <c r="R46" s="3250">
        <f>E46</f>
        <v>0</v>
      </c>
      <c r="S46" s="3250"/>
      <c r="T46" s="3250">
        <f>G46</f>
        <v>0</v>
      </c>
      <c r="U46" s="3250"/>
      <c r="V46" s="3250">
        <f>I46</f>
        <v>0</v>
      </c>
      <c r="W46" s="3250"/>
      <c r="X46" s="757"/>
      <c r="Y46" s="779"/>
      <c r="Z46" s="757"/>
      <c r="AA46" s="757"/>
      <c r="AB46" s="757"/>
      <c r="AC46" s="757"/>
    </row>
    <row r="47" spans="1:29" ht="15.75" thickBot="1">
      <c r="A47" s="485" t="s">
        <v>2658</v>
      </c>
      <c r="B47" s="682"/>
      <c r="C47" s="489" t="e">
        <f>R48</f>
        <v>#DIV/0!</v>
      </c>
      <c r="D47" s="488"/>
      <c r="E47" s="489" t="e">
        <f>R47</f>
        <v>#DIV/0!</v>
      </c>
      <c r="F47" s="490"/>
      <c r="G47" s="487" t="e">
        <f>T47</f>
        <v>#DIV/0!</v>
      </c>
      <c r="H47" s="488"/>
      <c r="I47" s="489" t="e">
        <f>V47</f>
        <v>#DIV/0!</v>
      </c>
      <c r="J47" s="488"/>
      <c r="K47" s="782"/>
      <c r="L47" s="1141"/>
      <c r="M47" s="1142"/>
      <c r="N47" s="1142"/>
      <c r="O47" s="1142"/>
      <c r="P47" s="3236" t="str">
        <f>A47</f>
        <v>比较价值（元/平方米）</v>
      </c>
      <c r="Q47" s="3236"/>
      <c r="R47" s="3299" t="e">
        <f>ROUND(PRODUCT(R46,AA7:AA45),0)</f>
        <v>#DIV/0!</v>
      </c>
      <c r="S47" s="3299"/>
      <c r="T47" s="3299" t="e">
        <f>ROUND(PRODUCT(T46,AB7:AB45),0)</f>
        <v>#DIV/0!</v>
      </c>
      <c r="U47" s="3299"/>
      <c r="V47" s="3299" t="e">
        <f>ROUND(PRODUCT(V46,AC7:AC45),0)</f>
        <v>#DIV/0!</v>
      </c>
      <c r="W47" s="3299"/>
      <c r="X47" s="757"/>
      <c r="Y47" s="757"/>
      <c r="Z47" s="757"/>
      <c r="AA47" s="757"/>
      <c r="AB47" s="757"/>
      <c r="AC47" s="757"/>
    </row>
    <row r="48" spans="1:29" ht="15.75" thickBot="1">
      <c r="A48" s="491" t="s">
        <v>2746</v>
      </c>
      <c r="B48" s="492"/>
      <c r="C48" s="493" t="e">
        <f>R48</f>
        <v>#DIV/0!</v>
      </c>
      <c r="D48" s="493"/>
      <c r="E48" s="493"/>
      <c r="F48" s="493"/>
      <c r="G48" s="493"/>
      <c r="H48" s="493"/>
      <c r="I48" s="493"/>
      <c r="J48" s="493"/>
      <c r="K48" s="783"/>
      <c r="L48" s="1141"/>
      <c r="M48" s="1142"/>
      <c r="N48" s="1142"/>
      <c r="O48" s="1142"/>
      <c r="P48" s="3238" t="str">
        <f>A48</f>
        <v>估价对象XX用房的比较价值（楼面单价，元/平方米）</v>
      </c>
      <c r="Q48" s="3239"/>
      <c r="R48" s="3300" t="e">
        <f>ROUND(AVERAGE(R47:V47),0)</f>
        <v>#DIV/0!</v>
      </c>
      <c r="S48" s="3300"/>
      <c r="T48" s="3300"/>
      <c r="U48" s="3300"/>
      <c r="V48" s="3300"/>
      <c r="W48" s="3300"/>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2661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2662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3" t="s">
        <v>2747</v>
      </c>
      <c r="B55" s="684" t="s">
        <v>2748</v>
      </c>
      <c r="C55" s="2701" t="s">
        <v>2749</v>
      </c>
      <c r="D55" s="2702" t="s">
        <v>2750</v>
      </c>
      <c r="E55" s="685" t="s">
        <v>2751</v>
      </c>
      <c r="F55" s="1105" t="s">
        <v>2752</v>
      </c>
      <c r="G55" s="3255" t="s">
        <v>2753</v>
      </c>
      <c r="H55" s="3301"/>
      <c r="I55" s="143" t="s">
        <v>2754</v>
      </c>
      <c r="J55" s="2703">
        <f>项目基本情况!F35</f>
        <v>0</v>
      </c>
      <c r="K55" s="2704" t="s">
        <v>2755</v>
      </c>
      <c r="L55" s="1104"/>
      <c r="M55" s="1142"/>
      <c r="N55" s="1142"/>
      <c r="O55" s="1142"/>
    </row>
    <row r="56" spans="1:15" s="691" customFormat="1">
      <c r="A56" s="687" t="s">
        <v>2756</v>
      </c>
      <c r="B56" s="688" t="e">
        <f>C48</f>
        <v>#DIV/0!</v>
      </c>
      <c r="C56" s="689">
        <v>1</v>
      </c>
      <c r="D56" s="1161">
        <v>1</v>
      </c>
      <c r="E56" s="689">
        <f>'数据-汇总表'!E8+'数据-汇总表'!E9</f>
        <v>304.45</v>
      </c>
      <c r="F56" s="1101" t="e">
        <f t="shared" ref="F56:F65" si="15">ROUND(B56*E56/10000,0)</f>
        <v>#DIV/0!</v>
      </c>
      <c r="G56" s="3251"/>
      <c r="H56" s="3236"/>
      <c r="I56" s="1106">
        <v>1</v>
      </c>
      <c r="J56" s="1109">
        <v>1</v>
      </c>
      <c r="K56" s="1143"/>
      <c r="L56" s="939"/>
      <c r="M56" s="939"/>
      <c r="N56" s="939"/>
      <c r="O56" s="939"/>
    </row>
    <row r="57" spans="1:15" s="691" customFormat="1">
      <c r="A57" s="692" t="s">
        <v>2757</v>
      </c>
      <c r="B57" s="261" t="e">
        <f>ROUND($C$48*C57*D57,0)</f>
        <v>#DIV/0!</v>
      </c>
      <c r="C57" s="199">
        <f t="shared" ref="C57:C65" si="16">IF($C$55="北京市系数",I57,J57)</f>
        <v>0</v>
      </c>
      <c r="D57" s="1162">
        <v>0.25</v>
      </c>
      <c r="E57" s="693"/>
      <c r="F57" s="1101" t="e">
        <f t="shared" si="15"/>
        <v>#DIV/0!</v>
      </c>
      <c r="G57" s="3302" t="s">
        <v>2758</v>
      </c>
      <c r="H57" s="1102">
        <f>项目基本情况!B37</f>
        <v>0</v>
      </c>
      <c r="I57" s="1106">
        <f>SUMIF(修正!A45:A56,H57,修正!B45:B56)</f>
        <v>0</v>
      </c>
      <c r="J57" s="1110"/>
      <c r="K57" s="1142"/>
      <c r="L57" s="939"/>
      <c r="M57" s="939"/>
      <c r="N57" s="939"/>
      <c r="O57" s="939"/>
    </row>
    <row r="58" spans="1:15" s="691" customFormat="1">
      <c r="A58" s="692" t="s">
        <v>2759</v>
      </c>
      <c r="B58" s="261" t="e">
        <f t="shared" ref="B58:B65" si="17">ROUND($C$48*C58*D58,0)</f>
        <v>#DIV/0!</v>
      </c>
      <c r="C58" s="199">
        <f t="shared" si="16"/>
        <v>0</v>
      </c>
      <c r="D58" s="1162">
        <v>0.25</v>
      </c>
      <c r="E58" s="693"/>
      <c r="F58" s="1101" t="e">
        <f t="shared" si="15"/>
        <v>#DIV/0!</v>
      </c>
      <c r="G58" s="3302"/>
      <c r="H58" s="1102">
        <f>项目基本情况!B37</f>
        <v>0</v>
      </c>
      <c r="I58" s="1106">
        <f>SUMIF(修正!A45:A56,H58,修正!C45:C56)</f>
        <v>0</v>
      </c>
      <c r="J58" s="1110"/>
      <c r="K58" s="1143"/>
      <c r="L58" s="939"/>
      <c r="M58" s="939"/>
      <c r="N58" s="939"/>
      <c r="O58" s="939"/>
    </row>
    <row r="59" spans="1:15" s="691" customFormat="1">
      <c r="A59" s="692" t="s">
        <v>2760</v>
      </c>
      <c r="B59" s="261" t="e">
        <f t="shared" si="17"/>
        <v>#DIV/0!</v>
      </c>
      <c r="C59" s="199">
        <f t="shared" si="16"/>
        <v>0</v>
      </c>
      <c r="D59" s="1162">
        <v>0.25</v>
      </c>
      <c r="E59" s="693"/>
      <c r="F59" s="1101" t="e">
        <f t="shared" si="15"/>
        <v>#DIV/0!</v>
      </c>
      <c r="G59" s="3302"/>
      <c r="H59" s="1102">
        <f>项目基本情况!B37</f>
        <v>0</v>
      </c>
      <c r="I59" s="1106">
        <f>SUMIF(修正!A45:A56,H59,修正!D45:D56)</f>
        <v>0</v>
      </c>
      <c r="J59" s="1110"/>
      <c r="K59" s="1142"/>
      <c r="L59" s="939"/>
      <c r="M59" s="939"/>
      <c r="N59" s="939"/>
      <c r="O59" s="939"/>
    </row>
    <row r="60" spans="1:15" s="691" customFormat="1">
      <c r="A60" s="692" t="s">
        <v>2761</v>
      </c>
      <c r="B60" s="261" t="e">
        <f t="shared" si="17"/>
        <v>#DIV/0!</v>
      </c>
      <c r="C60" s="199">
        <f t="shared" si="16"/>
        <v>0</v>
      </c>
      <c r="D60" s="1162">
        <v>0.25</v>
      </c>
      <c r="E60" s="693"/>
      <c r="F60" s="1101" t="e">
        <f t="shared" si="15"/>
        <v>#DIV/0!</v>
      </c>
      <c r="G60" s="3302"/>
      <c r="H60" s="1102">
        <f>项目基本情况!B37</f>
        <v>0</v>
      </c>
      <c r="I60" s="1106">
        <f>SUMIF(修正!A45:A56,H60,修正!E45:E56)</f>
        <v>0</v>
      </c>
      <c r="J60" s="1110"/>
      <c r="K60" s="1143"/>
      <c r="L60" s="939"/>
      <c r="M60" s="939"/>
      <c r="N60" s="939"/>
      <c r="O60" s="939"/>
    </row>
    <row r="61" spans="1:15" s="691" customFormat="1">
      <c r="A61" s="692" t="s">
        <v>2762</v>
      </c>
      <c r="B61" s="261" t="e">
        <f t="shared" si="17"/>
        <v>#DIV/0!</v>
      </c>
      <c r="C61" s="199">
        <f t="shared" si="16"/>
        <v>0.3</v>
      </c>
      <c r="D61" s="1162">
        <v>0.25</v>
      </c>
      <c r="E61" s="260">
        <f>'数据-汇总表'!E11</f>
        <v>0</v>
      </c>
      <c r="F61" s="1101" t="e">
        <f t="shared" si="15"/>
        <v>#DIV/0!</v>
      </c>
      <c r="G61" s="2705" t="s">
        <v>2763</v>
      </c>
      <c r="H61" s="1102" t="str">
        <f>项目基本情况!C37</f>
        <v>二级</v>
      </c>
      <c r="I61" s="1106">
        <f>SUMIF(修正!A45:A56,H61,修正!F45:F56)</f>
        <v>0.3</v>
      </c>
      <c r="J61" s="1110"/>
      <c r="K61" s="1142"/>
      <c r="L61" s="939"/>
      <c r="M61" s="939"/>
      <c r="N61" s="939"/>
      <c r="O61" s="939"/>
    </row>
    <row r="62" spans="1:15" s="691" customFormat="1">
      <c r="A62" s="692" t="s">
        <v>2764</v>
      </c>
      <c r="B62" s="261" t="e">
        <f t="shared" si="17"/>
        <v>#DIV/0!</v>
      </c>
      <c r="C62" s="199">
        <f t="shared" si="16"/>
        <v>0.3</v>
      </c>
      <c r="D62" s="1162">
        <v>0.25</v>
      </c>
      <c r="E62" s="260">
        <f>'数据-汇总表'!E12</f>
        <v>0</v>
      </c>
      <c r="F62" s="1101" t="e">
        <f t="shared" si="15"/>
        <v>#DIV/0!</v>
      </c>
      <c r="G62" s="1107" t="s">
        <v>2765</v>
      </c>
      <c r="H62" s="1102" t="str">
        <f>IF(G62="商业",项目基本情况!B37,IF(G62="办公",项目基本情况!C37,IF(G62="住宅",项目基本情况!D37,项目基本情况!E37)))</f>
        <v>二级</v>
      </c>
      <c r="I62" s="1106">
        <f>SUMIF(修正!A45:A56,H62,修正!G45:G56)</f>
        <v>0.3</v>
      </c>
      <c r="J62" s="1110"/>
      <c r="K62" s="1143"/>
      <c r="L62" s="939"/>
      <c r="M62" s="939"/>
      <c r="N62" s="939"/>
      <c r="O62" s="939"/>
    </row>
    <row r="63" spans="1:15" s="691" customFormat="1">
      <c r="A63" s="692" t="s">
        <v>2766</v>
      </c>
      <c r="B63" s="261" t="e">
        <f t="shared" si="17"/>
        <v>#DIV/0!</v>
      </c>
      <c r="C63" s="199">
        <f t="shared" si="16"/>
        <v>0.25</v>
      </c>
      <c r="D63" s="1162">
        <v>0.25</v>
      </c>
      <c r="E63" s="260">
        <f>'数据-汇总表'!E13</f>
        <v>0</v>
      </c>
      <c r="F63" s="1101" t="e">
        <f t="shared" si="15"/>
        <v>#DIV/0!</v>
      </c>
      <c r="G63" s="1107" t="s">
        <v>2767</v>
      </c>
      <c r="H63" s="1102" t="str">
        <f>IF(G63="商业",项目基本情况!B37,IF(G63="办公",项目基本情况!C37,IF(G63="住宅",项目基本情况!D37,项目基本情况!E37)))</f>
        <v>二级</v>
      </c>
      <c r="I63" s="1106">
        <f>SUMIF(修正!A45:A56,H63,修正!H45:H56)</f>
        <v>0.25</v>
      </c>
      <c r="J63" s="1110"/>
      <c r="K63" s="1142"/>
      <c r="L63" s="939"/>
      <c r="M63" s="939"/>
      <c r="N63" s="939"/>
      <c r="O63" s="939"/>
    </row>
    <row r="64" spans="1:15" s="691" customFormat="1">
      <c r="A64" s="692" t="s">
        <v>2768</v>
      </c>
      <c r="B64" s="261" t="e">
        <f t="shared" si="17"/>
        <v>#DIV/0!</v>
      </c>
      <c r="C64" s="199">
        <f t="shared" si="16"/>
        <v>0</v>
      </c>
      <c r="D64" s="1162">
        <v>0.25</v>
      </c>
      <c r="E64" s="260">
        <f>'数据-汇总表'!E14</f>
        <v>0</v>
      </c>
      <c r="F64" s="1101" t="e">
        <f t="shared" si="15"/>
        <v>#DIV/0!</v>
      </c>
      <c r="G64" s="2705" t="s">
        <v>2758</v>
      </c>
      <c r="H64" s="1102">
        <f>项目基本情况!B37</f>
        <v>0</v>
      </c>
      <c r="I64" s="1106">
        <f>SUMIF(修正!A45:A56,H64,修正!H45:H56)</f>
        <v>0</v>
      </c>
      <c r="J64" s="1110"/>
      <c r="K64" s="1143"/>
      <c r="L64" s="939"/>
      <c r="M64" s="939"/>
      <c r="N64" s="939"/>
      <c r="O64" s="939"/>
    </row>
    <row r="65" spans="1:17" s="691" customFormat="1" ht="15" thickBot="1">
      <c r="A65" s="692" t="s">
        <v>2769</v>
      </c>
      <c r="B65" s="261" t="e">
        <f t="shared" si="17"/>
        <v>#DIV/0!</v>
      </c>
      <c r="C65" s="199">
        <f t="shared" si="16"/>
        <v>0.25</v>
      </c>
      <c r="D65" s="1162">
        <v>0.25</v>
      </c>
      <c r="E65" s="260">
        <f>'数据-汇总表'!E15</f>
        <v>0</v>
      </c>
      <c r="F65" s="1101" t="e">
        <f t="shared" si="15"/>
        <v>#DIV/0!</v>
      </c>
      <c r="G65" s="2706" t="s">
        <v>2763</v>
      </c>
      <c r="H65" s="1112" t="str">
        <f>项目基本情况!C37</f>
        <v>二级</v>
      </c>
      <c r="I65" s="1108">
        <f>SUMIF(修正!A45:A56,H65,修正!H45:H56)</f>
        <v>0.25</v>
      </c>
      <c r="J65" s="1111"/>
      <c r="K65" s="1142"/>
      <c r="L65" s="939"/>
      <c r="M65" s="939"/>
      <c r="N65" s="939"/>
      <c r="O65" s="939"/>
    </row>
    <row r="66" spans="1:17" s="691" customFormat="1" ht="13.5" thickBot="1">
      <c r="A66" s="694" t="s">
        <v>2770</v>
      </c>
      <c r="B66" s="695" t="s">
        <v>28</v>
      </c>
      <c r="C66" s="695" t="s">
        <v>29</v>
      </c>
      <c r="D66" s="695" t="s">
        <v>1026</v>
      </c>
      <c r="E66" s="695">
        <f>IF(B46="楼面地价",SUM(E56:E65),'数据-汇总表'!D3)</f>
        <v>304.45</v>
      </c>
      <c r="F66" s="696"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2019-7-1</v>
      </c>
      <c r="D68" s="759">
        <f>EDATE(C68,-3)</f>
        <v>43556</v>
      </c>
      <c r="E68" s="759">
        <f>EDATE(D68,-3)</f>
        <v>43466</v>
      </c>
      <c r="F68" s="759">
        <f t="shared" ref="F68:O68" si="18">EDATE(E68,-3)</f>
        <v>43374</v>
      </c>
      <c r="G68" s="759">
        <f t="shared" si="18"/>
        <v>43282</v>
      </c>
      <c r="H68" s="759">
        <f t="shared" si="18"/>
        <v>43191</v>
      </c>
      <c r="I68" s="759">
        <f t="shared" si="18"/>
        <v>43101</v>
      </c>
      <c r="J68" s="759">
        <f t="shared" si="18"/>
        <v>43009</v>
      </c>
      <c r="K68" s="759">
        <f t="shared" si="18"/>
        <v>42917</v>
      </c>
      <c r="L68" s="759">
        <f t="shared" si="18"/>
        <v>42826</v>
      </c>
      <c r="M68" s="759">
        <f t="shared" si="18"/>
        <v>42736</v>
      </c>
      <c r="N68" s="759">
        <f t="shared" si="18"/>
        <v>42644</v>
      </c>
      <c r="O68" s="759">
        <f t="shared" si="18"/>
        <v>42552</v>
      </c>
    </row>
    <row r="69" spans="1:17" ht="21.75" thickBot="1">
      <c r="A69" s="761" t="s">
        <v>2663</v>
      </c>
      <c r="B69" s="757"/>
      <c r="C69" s="762"/>
      <c r="D69" s="762"/>
      <c r="E69" s="762"/>
      <c r="F69" s="763"/>
      <c r="G69" s="763"/>
      <c r="H69" s="762"/>
      <c r="I69" s="762"/>
      <c r="J69" s="1157"/>
      <c r="K69" s="1158"/>
      <c r="L69" s="1159"/>
      <c r="M69" s="1157"/>
      <c r="N69" s="1157"/>
      <c r="O69" s="1157"/>
      <c r="P69" s="502"/>
      <c r="Q69" s="503"/>
    </row>
    <row r="70" spans="1:17" s="507" customFormat="1" ht="15">
      <c r="A70" s="2707" t="s">
        <v>2771</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6"/>
    </row>
    <row r="71" spans="1:17" s="116" customFormat="1" ht="30" customHeight="1">
      <c r="A71" s="2708" t="s">
        <v>2772</v>
      </c>
      <c r="B71" s="331" t="str">
        <f>"北京市平均增长率"&amp;TEXT(SUMIF(基准地价修正!N21:N25,A71,基准地价修正!P21:P25),"0.00%")</f>
        <v>北京市平均增长率2.23%</v>
      </c>
      <c r="C71" s="602">
        <v>100</v>
      </c>
      <c r="D71" s="594"/>
      <c r="E71" s="594"/>
      <c r="F71" s="594"/>
      <c r="G71" s="594"/>
      <c r="H71" s="594"/>
      <c r="I71" s="594"/>
      <c r="J71" s="594"/>
      <c r="K71" s="594"/>
      <c r="L71" s="594"/>
      <c r="M71" s="1565"/>
      <c r="N71" s="594"/>
      <c r="O71" s="1566"/>
      <c r="P71" s="503"/>
    </row>
    <row r="72" spans="1:17" s="116" customFormat="1" ht="15.75" thickBot="1">
      <c r="A72" s="514" t="s">
        <v>2574</v>
      </c>
      <c r="B72" s="515"/>
      <c r="C72" s="516"/>
      <c r="D72" s="517"/>
      <c r="E72" s="517"/>
      <c r="F72" s="517"/>
      <c r="G72" s="517"/>
      <c r="H72" s="517"/>
      <c r="I72" s="517"/>
      <c r="J72" s="517"/>
      <c r="K72" s="517"/>
      <c r="L72" s="517"/>
      <c r="M72" s="518"/>
      <c r="N72" s="517"/>
      <c r="O72" s="1160"/>
      <c r="P72" s="503"/>
      <c r="Q72" s="503"/>
    </row>
    <row r="73" spans="1:17" s="116" customFormat="1" ht="15">
      <c r="A73" s="520" t="s">
        <v>2539</v>
      </c>
      <c r="B73" s="509"/>
      <c r="C73" s="521" t="s">
        <v>2641</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2577</v>
      </c>
      <c r="B75" s="527" t="s">
        <v>2543</v>
      </c>
      <c r="C75" s="529"/>
      <c r="D75" s="529"/>
      <c r="E75" s="529"/>
      <c r="F75" s="529"/>
      <c r="G75" s="529"/>
      <c r="H75" s="529"/>
      <c r="I75" s="529"/>
      <c r="J75" s="529"/>
      <c r="K75" s="530"/>
      <c r="L75" s="531"/>
      <c r="M75" s="532"/>
      <c r="N75" s="1150"/>
      <c r="O75" s="1150"/>
      <c r="P75" s="44"/>
      <c r="Q75" s="503"/>
    </row>
    <row r="76" spans="1:17" ht="15.75" thickBot="1">
      <c r="A76" s="533"/>
      <c r="B76" s="534"/>
      <c r="C76" s="535"/>
      <c r="D76" s="535"/>
      <c r="E76" s="535"/>
      <c r="F76" s="535"/>
      <c r="G76" s="535"/>
      <c r="H76" s="535"/>
      <c r="I76" s="535"/>
      <c r="J76" s="535"/>
      <c r="K76" s="535"/>
      <c r="L76" s="535"/>
      <c r="M76" s="536"/>
      <c r="N76" s="1151"/>
      <c r="O76" s="1151"/>
      <c r="P76" s="44"/>
      <c r="Q76" s="503"/>
    </row>
    <row r="77" spans="1:17" ht="27.75" thickTop="1">
      <c r="A77" s="533"/>
      <c r="B77" s="537" t="s">
        <v>2546</v>
      </c>
      <c r="C77" s="538"/>
      <c r="D77" s="538"/>
      <c r="E77" s="538"/>
      <c r="F77" s="538"/>
      <c r="G77" s="538"/>
      <c r="H77" s="538"/>
      <c r="I77" s="538"/>
      <c r="J77" s="538"/>
      <c r="K77" s="539"/>
      <c r="L77" s="540"/>
      <c r="M77" s="541"/>
      <c r="N77" s="1150"/>
      <c r="O77" s="1150"/>
      <c r="P77" s="44"/>
      <c r="Q77" s="503"/>
    </row>
    <row r="78" spans="1:17" ht="15.75" thickBot="1">
      <c r="A78" s="533"/>
      <c r="B78" s="542"/>
      <c r="C78" s="543"/>
      <c r="D78" s="543"/>
      <c r="E78" s="543"/>
      <c r="F78" s="543"/>
      <c r="G78" s="543"/>
      <c r="H78" s="543"/>
      <c r="I78" s="543"/>
      <c r="J78" s="543"/>
      <c r="K78" s="543"/>
      <c r="L78" s="543"/>
      <c r="M78" s="544"/>
      <c r="N78" s="1151"/>
      <c r="O78" s="1151"/>
      <c r="P78" s="44"/>
      <c r="Q78" s="503"/>
    </row>
    <row r="79" spans="1:17" ht="15.75" thickTop="1">
      <c r="A79" s="533"/>
      <c r="B79" s="545" t="s">
        <v>2547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4"/>
      <c r="Q79" s="503"/>
    </row>
    <row r="80" spans="1:17" ht="15">
      <c r="A80" s="533"/>
      <c r="B80" s="547"/>
      <c r="C80" s="548"/>
      <c r="D80" s="548"/>
      <c r="E80" s="548"/>
      <c r="F80" s="548"/>
      <c r="G80" s="548"/>
      <c r="H80" s="548"/>
      <c r="I80" s="548"/>
      <c r="J80" s="548"/>
      <c r="K80" s="549"/>
      <c r="L80" s="550"/>
      <c r="M80" s="551"/>
      <c r="N80" s="1150"/>
      <c r="O80" s="1150"/>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4"/>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2548</v>
      </c>
      <c r="B88" s="527" t="s">
        <v>2585</v>
      </c>
      <c r="C88" s="572" t="s">
        <v>2586</v>
      </c>
      <c r="D88" s="572" t="s">
        <v>2587</v>
      </c>
      <c r="E88" s="572" t="s">
        <v>2588</v>
      </c>
      <c r="F88" s="572" t="s">
        <v>2589</v>
      </c>
      <c r="G88" s="572" t="s">
        <v>2590</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4"/>
      <c r="Q89" s="503"/>
    </row>
    <row r="90" spans="1:17" ht="15.75" thickTop="1">
      <c r="A90" s="533"/>
      <c r="B90" s="537" t="s">
        <v>2773</v>
      </c>
      <c r="C90" s="577" t="s">
        <v>2586</v>
      </c>
      <c r="D90" s="577" t="s">
        <v>2587</v>
      </c>
      <c r="E90" s="577" t="s">
        <v>2588</v>
      </c>
      <c r="F90" s="577" t="s">
        <v>2589</v>
      </c>
      <c r="G90" s="577" t="s">
        <v>2590</v>
      </c>
      <c r="H90" s="538"/>
      <c r="I90" s="538"/>
      <c r="J90" s="538"/>
      <c r="K90" s="539"/>
      <c r="L90" s="540"/>
      <c r="M90" s="541"/>
      <c r="N90" s="1150"/>
      <c r="O90" s="1150"/>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4"/>
      <c r="Q91" s="503"/>
    </row>
    <row r="92" spans="1:17" ht="15.75" thickTop="1">
      <c r="A92" s="533"/>
      <c r="B92" s="537" t="s">
        <v>2686</v>
      </c>
      <c r="C92" s="577" t="s">
        <v>2586</v>
      </c>
      <c r="D92" s="577" t="s">
        <v>2587</v>
      </c>
      <c r="E92" s="577" t="s">
        <v>2588</v>
      </c>
      <c r="F92" s="577" t="s">
        <v>2589</v>
      </c>
      <c r="G92" s="577" t="s">
        <v>2590</v>
      </c>
      <c r="H92" s="538"/>
      <c r="I92" s="538"/>
      <c r="J92" s="538"/>
      <c r="K92" s="539"/>
      <c r="L92" s="540"/>
      <c r="M92" s="541"/>
      <c r="N92" s="1150"/>
      <c r="O92" s="1150"/>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75" thickTop="1">
      <c r="A94" s="533"/>
      <c r="B94" s="537" t="s">
        <v>2591</v>
      </c>
      <c r="C94" s="577" t="s">
        <v>2586</v>
      </c>
      <c r="D94" s="577" t="s">
        <v>2587</v>
      </c>
      <c r="E94" s="577" t="s">
        <v>2588</v>
      </c>
      <c r="F94" s="577" t="s">
        <v>2589</v>
      </c>
      <c r="G94" s="577" t="s">
        <v>2590</v>
      </c>
      <c r="H94" s="538"/>
      <c r="I94" s="538"/>
      <c r="J94" s="538"/>
      <c r="K94" s="539"/>
      <c r="L94" s="540"/>
      <c r="M94" s="541"/>
      <c r="N94" s="1150"/>
      <c r="O94" s="1150"/>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4"/>
      <c r="Q95" s="503"/>
    </row>
    <row r="96" spans="1:17" s="116" customFormat="1" ht="15.75" thickTop="1">
      <c r="A96" s="578"/>
      <c r="B96" s="537" t="s">
        <v>2774</v>
      </c>
      <c r="C96" s="577" t="s">
        <v>2586</v>
      </c>
      <c r="D96" s="577" t="s">
        <v>2587</v>
      </c>
      <c r="E96" s="577" t="s">
        <v>2588</v>
      </c>
      <c r="F96" s="577" t="s">
        <v>2589</v>
      </c>
      <c r="G96" s="577" t="s">
        <v>2590</v>
      </c>
      <c r="H96" s="577"/>
      <c r="I96" s="577"/>
      <c r="J96" s="577"/>
      <c r="K96" s="577"/>
      <c r="L96" s="697"/>
      <c r="M96" s="621"/>
      <c r="N96" s="1149"/>
      <c r="O96" s="1149"/>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4"/>
      <c r="Q97" s="503"/>
    </row>
    <row r="98" spans="1:17" s="116" customFormat="1" ht="27.75" thickTop="1">
      <c r="A98" s="578"/>
      <c r="B98" s="537" t="s">
        <v>2775</v>
      </c>
      <c r="C98" s="572" t="s">
        <v>2586</v>
      </c>
      <c r="D98" s="572" t="s">
        <v>2587</v>
      </c>
      <c r="E98" s="572" t="s">
        <v>2588</v>
      </c>
      <c r="F98" s="572" t="s">
        <v>2589</v>
      </c>
      <c r="G98" s="572" t="s">
        <v>2590</v>
      </c>
      <c r="H98" s="577"/>
      <c r="I98" s="577"/>
      <c r="J98" s="577"/>
      <c r="K98" s="577"/>
      <c r="L98" s="577"/>
      <c r="M98" s="621"/>
      <c r="N98" s="1149"/>
      <c r="O98" s="1149"/>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4"/>
      <c r="Q99" s="503"/>
    </row>
    <row r="100" spans="1:17" s="470" customFormat="1" ht="15.75" thickTop="1">
      <c r="A100" s="552"/>
      <c r="B100" s="537" t="s">
        <v>2643</v>
      </c>
      <c r="C100" s="572" t="s">
        <v>2586</v>
      </c>
      <c r="D100" s="572" t="s">
        <v>2587</v>
      </c>
      <c r="E100" s="572" t="s">
        <v>2588</v>
      </c>
      <c r="F100" s="572" t="s">
        <v>2589</v>
      </c>
      <c r="G100" s="572" t="s">
        <v>2590</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2644</v>
      </c>
      <c r="C102" s="659" t="s">
        <v>2664</v>
      </c>
      <c r="D102" s="659" t="s">
        <v>2665</v>
      </c>
      <c r="E102" s="659" t="s">
        <v>2666</v>
      </c>
      <c r="F102" s="659" t="s">
        <v>2667</v>
      </c>
      <c r="G102" s="659" t="s">
        <v>2668</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2776</v>
      </c>
      <c r="D104" s="538" t="s">
        <v>2777</v>
      </c>
      <c r="E104" s="538" t="s">
        <v>2778</v>
      </c>
      <c r="F104" s="538" t="s">
        <v>2779</v>
      </c>
      <c r="G104" s="538"/>
      <c r="H104" s="538"/>
      <c r="I104" s="538"/>
      <c r="J104" s="538"/>
      <c r="K104" s="539"/>
      <c r="L104" s="540"/>
      <c r="M104" s="541"/>
      <c r="N104" s="1150"/>
      <c r="O104" s="1150"/>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4"/>
      <c r="Q105" s="503"/>
    </row>
    <row r="106" spans="1:17" ht="27.75" thickTop="1">
      <c r="A106" s="533"/>
      <c r="B106" s="537" t="s">
        <v>2680</v>
      </c>
      <c r="C106" s="553"/>
      <c r="D106" s="553"/>
      <c r="E106" s="553"/>
      <c r="F106" s="553"/>
      <c r="G106" s="553"/>
      <c r="H106" s="582"/>
      <c r="I106" s="582"/>
      <c r="J106" s="582"/>
      <c r="K106" s="583"/>
      <c r="L106" s="584"/>
      <c r="M106" s="585"/>
      <c r="N106" s="1150"/>
      <c r="O106" s="1150"/>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75" thickTop="1">
      <c r="A108" s="533"/>
      <c r="B108" s="537" t="s">
        <v>2739</v>
      </c>
      <c r="C108" s="582"/>
      <c r="D108" s="582"/>
      <c r="E108" s="582"/>
      <c r="F108" s="582"/>
      <c r="G108" s="582"/>
      <c r="H108" s="582"/>
      <c r="I108" s="582"/>
      <c r="J108" s="582"/>
      <c r="K108" s="583"/>
      <c r="L108" s="584"/>
      <c r="M108" s="585"/>
      <c r="N108" s="1150"/>
      <c r="O108" s="1150"/>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5.75" thickTop="1">
      <c r="A110" s="533"/>
      <c r="B110" s="545">
        <f>B35</f>
        <v>111</v>
      </c>
      <c r="C110" s="553"/>
      <c r="D110" s="553"/>
      <c r="E110" s="553"/>
      <c r="F110" s="553"/>
      <c r="G110" s="586"/>
      <c r="H110" s="586"/>
      <c r="I110" s="586"/>
      <c r="J110" s="586"/>
      <c r="K110" s="587"/>
      <c r="L110" s="588"/>
      <c r="M110" s="589"/>
      <c r="N110" s="1150"/>
      <c r="O110" s="1150"/>
      <c r="P110" s="44"/>
      <c r="Q110" s="503"/>
    </row>
    <row r="111" spans="1:17" ht="15.75" thickBot="1">
      <c r="A111" s="533"/>
      <c r="B111" s="568"/>
      <c r="C111" s="559"/>
      <c r="D111" s="559"/>
      <c r="E111" s="559"/>
      <c r="F111" s="559"/>
      <c r="G111" s="590"/>
      <c r="H111" s="590"/>
      <c r="I111" s="590"/>
      <c r="J111" s="590"/>
      <c r="K111" s="590"/>
      <c r="L111" s="590"/>
      <c r="M111" s="591"/>
      <c r="N111" s="1151"/>
      <c r="O111" s="1151"/>
      <c r="P111" s="44"/>
      <c r="Q111" s="503"/>
    </row>
    <row r="112" spans="1:17" ht="15" thickTop="1">
      <c r="A112" s="674"/>
      <c r="B112" s="537">
        <f>B36</f>
        <v>111</v>
      </c>
      <c r="C112" s="522"/>
      <c r="D112" s="522"/>
      <c r="E112" s="522"/>
      <c r="F112" s="522"/>
      <c r="G112" s="582"/>
      <c r="H112" s="582"/>
      <c r="I112" s="582"/>
      <c r="J112" s="582"/>
      <c r="K112" s="583"/>
      <c r="L112" s="584"/>
      <c r="M112" s="585"/>
      <c r="N112" s="1150"/>
      <c r="O112" s="1150"/>
      <c r="P112" s="44"/>
      <c r="Q112" s="503"/>
    </row>
    <row r="113" spans="1:17" ht="15.75" thickBot="1">
      <c r="A113" s="533"/>
      <c r="B113" s="542"/>
      <c r="C113" s="569"/>
      <c r="D113" s="569"/>
      <c r="E113" s="569"/>
      <c r="F113" s="569"/>
      <c r="G113" s="535"/>
      <c r="H113" s="535"/>
      <c r="I113" s="535"/>
      <c r="J113" s="535"/>
      <c r="K113" s="535"/>
      <c r="L113" s="535"/>
      <c r="M113" s="536"/>
      <c r="N113" s="1151"/>
      <c r="O113" s="1151"/>
      <c r="P113" s="44"/>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2552</v>
      </c>
      <c r="B116" s="527" t="s">
        <v>2780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4"/>
      <c r="Q116" s="503"/>
    </row>
    <row r="117" spans="1:17" ht="15">
      <c r="A117" s="533"/>
      <c r="B117" s="545"/>
      <c r="C117" s="594"/>
      <c r="D117" s="594"/>
      <c r="E117" s="594"/>
      <c r="F117" s="594"/>
      <c r="G117" s="594"/>
      <c r="H117" s="594"/>
      <c r="I117" s="594"/>
      <c r="J117" s="595"/>
      <c r="K117" s="595"/>
      <c r="L117" s="596"/>
      <c r="M117" s="597"/>
      <c r="N117" s="1150"/>
      <c r="O117" s="1150"/>
      <c r="P117" s="44"/>
      <c r="Q117" s="503"/>
    </row>
    <row r="118" spans="1:17" ht="15.75" thickBot="1">
      <c r="A118" s="533"/>
      <c r="B118" s="542"/>
      <c r="C118" s="569"/>
      <c r="D118" s="590"/>
      <c r="E118" s="590"/>
      <c r="F118" s="590"/>
      <c r="G118" s="590"/>
      <c r="H118" s="590"/>
      <c r="I118" s="590"/>
      <c r="J118" s="590"/>
      <c r="K118" s="590"/>
      <c r="L118" s="590"/>
      <c r="M118" s="591"/>
      <c r="N118" s="1151"/>
      <c r="O118" s="1151"/>
      <c r="P118" s="44"/>
      <c r="Q118" s="503"/>
    </row>
    <row r="119" spans="1:17" ht="15" thickTop="1">
      <c r="A119" s="598"/>
      <c r="B119" s="537" t="s">
        <v>2781</v>
      </c>
      <c r="C119" s="582"/>
      <c r="D119" s="582"/>
      <c r="E119" s="582"/>
      <c r="F119" s="582"/>
      <c r="G119" s="582"/>
      <c r="H119" s="582"/>
      <c r="I119" s="582"/>
      <c r="J119" s="582"/>
      <c r="K119" s="583"/>
      <c r="L119" s="584"/>
      <c r="M119" s="585"/>
      <c r="N119" s="1150"/>
      <c r="O119" s="1150"/>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4"/>
      <c r="Q120" s="503"/>
    </row>
    <row r="121" spans="1:17" ht="15" thickTop="1">
      <c r="A121" s="598"/>
      <c r="B121" s="537" t="s">
        <v>2782</v>
      </c>
      <c r="C121" s="553"/>
      <c r="D121" s="553"/>
      <c r="E121" s="553"/>
      <c r="F121" s="582"/>
      <c r="G121" s="582"/>
      <c r="H121" s="582"/>
      <c r="I121" s="582"/>
      <c r="J121" s="582"/>
      <c r="K121" s="583"/>
      <c r="L121" s="584"/>
      <c r="M121" s="585"/>
      <c r="N121" s="1150"/>
      <c r="O121" s="1150"/>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4"/>
      <c r="Q122" s="503"/>
    </row>
    <row r="123" spans="1:17" s="470" customFormat="1" ht="15" thickTop="1">
      <c r="A123" s="592"/>
      <c r="B123" s="537" t="s">
        <v>2783</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2784</v>
      </c>
      <c r="C125" s="553"/>
      <c r="D125" s="553"/>
      <c r="E125" s="582"/>
      <c r="F125" s="582"/>
      <c r="G125" s="582"/>
      <c r="H125" s="582"/>
      <c r="I125" s="582"/>
      <c r="J125" s="582"/>
      <c r="K125" s="583"/>
      <c r="L125" s="584"/>
      <c r="M125" s="585"/>
      <c r="N125" s="1150"/>
      <c r="O125" s="1150"/>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4"/>
      <c r="Q126" s="503"/>
    </row>
    <row r="127" spans="1:17" ht="15" thickTop="1">
      <c r="A127" s="598"/>
      <c r="B127" s="537">
        <f>B43</f>
        <v>111</v>
      </c>
      <c r="C127" s="553"/>
      <c r="D127" s="553"/>
      <c r="E127" s="553"/>
      <c r="F127" s="553"/>
      <c r="G127" s="553"/>
      <c r="H127" s="582"/>
      <c r="I127" s="582"/>
      <c r="J127" s="582"/>
      <c r="K127" s="583"/>
      <c r="L127" s="584"/>
      <c r="M127" s="585"/>
      <c r="N127" s="1150"/>
      <c r="O127" s="1150"/>
      <c r="P127" s="44"/>
      <c r="Q127" s="503"/>
    </row>
    <row r="128" spans="1:17" ht="15.75" thickBot="1">
      <c r="A128" s="533"/>
      <c r="B128" s="542"/>
      <c r="C128" s="559"/>
      <c r="D128" s="559"/>
      <c r="E128" s="559"/>
      <c r="F128" s="559"/>
      <c r="G128" s="535"/>
      <c r="H128" s="535"/>
      <c r="I128" s="535"/>
      <c r="J128" s="535"/>
      <c r="K128" s="535"/>
      <c r="L128" s="535"/>
      <c r="M128" s="536"/>
      <c r="N128" s="1151"/>
      <c r="O128" s="1151"/>
      <c r="P128" s="44"/>
      <c r="Q128" s="503"/>
    </row>
    <row r="129" spans="1:17" ht="15" thickTop="1">
      <c r="A129" s="598"/>
      <c r="B129" s="537">
        <f>B44</f>
        <v>111</v>
      </c>
      <c r="C129" s="522"/>
      <c r="D129" s="522"/>
      <c r="E129" s="522"/>
      <c r="F129" s="522"/>
      <c r="G129" s="582"/>
      <c r="H129" s="582"/>
      <c r="I129" s="582"/>
      <c r="J129" s="582"/>
      <c r="K129" s="583"/>
      <c r="L129" s="584"/>
      <c r="M129" s="585"/>
      <c r="N129" s="1150"/>
      <c r="O129" s="1150"/>
      <c r="P129" s="44"/>
      <c r="Q129" s="503"/>
    </row>
    <row r="130" spans="1:17" ht="15.75" thickBot="1">
      <c r="A130" s="533"/>
      <c r="B130" s="542"/>
      <c r="C130" s="569"/>
      <c r="D130" s="569"/>
      <c r="E130" s="569"/>
      <c r="F130" s="569"/>
      <c r="G130" s="535"/>
      <c r="H130" s="535"/>
      <c r="I130" s="535"/>
      <c r="J130" s="535"/>
      <c r="K130" s="535"/>
      <c r="L130" s="535"/>
      <c r="M130" s="536"/>
      <c r="N130" s="1151"/>
      <c r="O130" s="1151"/>
      <c r="P130" s="44"/>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87" priority="14" stopIfTrue="1" operator="containsText" text="超过">
      <formula>NOT(ISERROR(SEARCH("超过",F51)))</formula>
    </cfRule>
  </conditionalFormatting>
  <conditionalFormatting sqref="J53">
    <cfRule type="containsText" dxfId="86" priority="13" stopIfTrue="1" operator="containsText" text="超过">
      <formula>NOT(ISERROR(SEARCH("超过",J53)))</formula>
    </cfRule>
  </conditionalFormatting>
  <conditionalFormatting sqref="H53">
    <cfRule type="containsText" dxfId="85" priority="12" stopIfTrue="1" operator="containsText" text="超过">
      <formula>NOT(ISERROR(SEARCH("超过",H53)))</formula>
    </cfRule>
  </conditionalFormatting>
  <conditionalFormatting sqref="F53">
    <cfRule type="containsText" dxfId="84" priority="11" stopIfTrue="1" operator="containsText" text="超过">
      <formula>NOT(ISERROR(SEARCH("超过",F53)))</formula>
    </cfRule>
  </conditionalFormatting>
  <conditionalFormatting sqref="F52 H52 J52">
    <cfRule type="containsText" dxfId="83" priority="10" stopIfTrue="1" operator="containsText" text="超过">
      <formula>NOT(ISERROR(SEARCH("超过",F52)))</formula>
    </cfRule>
  </conditionalFormatting>
  <conditionalFormatting sqref="E51">
    <cfRule type="expression" dxfId="82" priority="9" stopIfTrue="1">
      <formula>$F$51="超过30%"</formula>
    </cfRule>
  </conditionalFormatting>
  <conditionalFormatting sqref="G53">
    <cfRule type="expression" dxfId="81" priority="8" stopIfTrue="1">
      <formula>$H$53="超过30%"</formula>
    </cfRule>
  </conditionalFormatting>
  <conditionalFormatting sqref="E52">
    <cfRule type="expression" dxfId="80" priority="7" stopIfTrue="1">
      <formula>$F$52="超过20%"</formula>
    </cfRule>
  </conditionalFormatting>
  <conditionalFormatting sqref="E53">
    <cfRule type="expression" dxfId="79" priority="6" stopIfTrue="1">
      <formula>$F$53="超过30%"</formula>
    </cfRule>
  </conditionalFormatting>
  <conditionalFormatting sqref="G51">
    <cfRule type="expression" dxfId="78" priority="5" stopIfTrue="1">
      <formula>$H$53+$H$51="超过30%"</formula>
    </cfRule>
  </conditionalFormatting>
  <conditionalFormatting sqref="G52">
    <cfRule type="expression" dxfId="77" priority="4" stopIfTrue="1">
      <formula>$H$52="超过20%"</formula>
    </cfRule>
  </conditionalFormatting>
  <conditionalFormatting sqref="I51">
    <cfRule type="expression" dxfId="76" priority="3" stopIfTrue="1">
      <formula>$J$51="超过30%"</formula>
    </cfRule>
  </conditionalFormatting>
  <conditionalFormatting sqref="I52">
    <cfRule type="expression" dxfId="75" priority="2" stopIfTrue="1">
      <formula>$J$52="超过20%"</formula>
    </cfRule>
  </conditionalFormatting>
  <conditionalFormatting sqref="I53">
    <cfRule type="expression" dxfId="7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辽宁米高化工有限公司：</v>
      </c>
    </row>
    <row r="4" spans="1:1" ht="54">
      <c r="A4" s="1946" t="str">
        <f>"受贵公司委托，我公司对"&amp;项目基本情况!S1&amp;"进行了预评估。"</f>
        <v>受贵公司委托，我公司对北京市东城区东直门外大街48号1幢26层C29F住宅（公寓）用房及14层办公楼16A至16E共计5套办公用房房地产市场价值进行了预评估。</v>
      </c>
    </row>
    <row r="5" spans="1:1" ht="18.75">
      <c r="A5" s="1947" t="s">
        <v>1607</v>
      </c>
    </row>
    <row r="6" spans="1:1" ht="18.75">
      <c r="A6" s="1948" t="s">
        <v>1608</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直门外大街48号1幢26层C29F住宅（公寓）用房及14层办公楼16A至16E共计5套办公用房房地产，为所有。根据《不动产权证书》[京（2019）东不动产权第0008636号]等6套，估价对象（分摊）出让国有建设用地使用权面积为83.98平方米，建筑面积为304.45平方米。</v>
      </c>
    </row>
    <row r="8" spans="1:1" ht="57.75">
      <c r="A8" s="1949" t="s">
        <v>1609</v>
      </c>
    </row>
    <row r="9" spans="1:1" ht="18.75">
      <c r="A9" s="1948" t="s">
        <v>1610</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直门外大街48号1幢26层C29F住宅（公寓）用房及14层办公楼16A至16E共计5套办公用房房地产,属开发建设的办公项目，该项目尚在开发建设中。根据《不动产权证书》[京（2019）东不动产权第0008636号]等6套，估价对象（分摊）出让国有建设用地使用权面积为83.98平方米，规划建筑面积为304.45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1613</v>
      </c>
    </row>
    <row r="15" spans="1:1" ht="18">
      <c r="A15" s="1952" t="str">
        <f>TEXT(项目基本情况!D3,"yyyy年m月d日;;")&amp;IF(项目基本情况!D3=项目基本情况!B3,"（评估专业人员实地查勘之日）","")</f>
        <v>2019年7月12日（评估专业人员实地查勘之日）</v>
      </c>
    </row>
    <row r="16" spans="1:1" ht="18.75">
      <c r="A16" s="1951" t="s">
        <v>1614</v>
      </c>
    </row>
    <row r="17" spans="1:1" ht="75">
      <c r="A17" s="1946" t="s">
        <v>1615</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12日，估价对象规划用途为住宅、办公，土地取得方式为出让，出让国有建设用地使用权剩余土地使用年限为住宅52.35、办公32.34，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办公，实际开发程度为宗地红线外“七通”（即通路、通电、通讯、通上水、通下水、通热、燃气）、红线内场地平整条件下，剩余土地使用年限为住宅52.35、办公32.34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1604</v>
      </c>
    </row>
    <row r="24" spans="1:1" ht="18">
      <c r="A24" s="1953" t="str">
        <f>"本次评估采用的主估价方法为"&amp;结果表!K4&amp;"和"&amp;结果表!L4&amp;"。"</f>
        <v>本次评估采用的主估价方法为比较法和收益法。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2733</v>
      </c>
      <c r="B1" s="394"/>
      <c r="C1" s="395" t="s">
        <v>2785</v>
      </c>
      <c r="D1" s="753"/>
      <c r="E1" s="753"/>
      <c r="F1" s="752" t="s">
        <v>2632</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2316</v>
      </c>
      <c r="B2" s="670"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2318</v>
      </c>
      <c r="B3" s="608" t="e">
        <f>ROUND(IF(D3="",B2*10000/'数据-汇总表'!E3,B2*10000/D3),0)</f>
        <v>#DIV/0!</v>
      </c>
      <c r="C3" s="246" t="s">
        <v>2735</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2634</v>
      </c>
      <c r="B4" s="401"/>
      <c r="C4" s="3255" t="s">
        <v>2635</v>
      </c>
      <c r="D4" s="3256"/>
      <c r="E4" s="3257" t="s">
        <v>2636</v>
      </c>
      <c r="F4" s="3258"/>
      <c r="G4" s="3255" t="s">
        <v>2637</v>
      </c>
      <c r="H4" s="3256"/>
      <c r="I4" s="3255" t="s">
        <v>2638</v>
      </c>
      <c r="J4" s="3256"/>
      <c r="K4" s="609" t="s">
        <v>2639</v>
      </c>
      <c r="L4" s="1128"/>
      <c r="M4" s="1129"/>
      <c r="N4" s="1129"/>
      <c r="O4" s="1129"/>
      <c r="P4" s="3259" t="s">
        <v>2640</v>
      </c>
      <c r="Q4" s="3260"/>
      <c r="R4" s="3265" t="s">
        <v>2636</v>
      </c>
      <c r="S4" s="3266"/>
      <c r="T4" s="3265" t="s">
        <v>2637</v>
      </c>
      <c r="U4" s="3266"/>
      <c r="V4" s="3250" t="s">
        <v>2638</v>
      </c>
      <c r="W4" s="3250"/>
      <c r="X4" s="1811"/>
      <c r="Y4" s="3265" t="s">
        <v>2640</v>
      </c>
      <c r="Z4" s="3266"/>
      <c r="AA4" s="3252" t="s">
        <v>2636</v>
      </c>
      <c r="AB4" s="3253" t="s">
        <v>2637</v>
      </c>
      <c r="AC4" s="3252" t="s">
        <v>2638</v>
      </c>
    </row>
    <row r="5" spans="1:29" ht="15">
      <c r="A5" s="403"/>
      <c r="B5" s="404"/>
      <c r="C5" s="3273" t="s">
        <v>2531</v>
      </c>
      <c r="D5" s="3274"/>
      <c r="E5" s="3280" t="s">
        <v>2532</v>
      </c>
      <c r="F5" s="3281"/>
      <c r="G5" s="3273" t="s">
        <v>2533</v>
      </c>
      <c r="H5" s="3274"/>
      <c r="I5" s="3273" t="s">
        <v>2534</v>
      </c>
      <c r="J5" s="3274"/>
      <c r="K5" s="609"/>
      <c r="L5" s="1128"/>
      <c r="M5" s="1129"/>
      <c r="N5" s="1129"/>
      <c r="O5" s="1129"/>
      <c r="P5" s="3261"/>
      <c r="Q5" s="3262"/>
      <c r="R5" s="3267"/>
      <c r="S5" s="3268"/>
      <c r="T5" s="3267"/>
      <c r="U5" s="3268"/>
      <c r="V5" s="3250"/>
      <c r="W5" s="3250"/>
      <c r="X5" s="1811"/>
      <c r="Y5" s="3267"/>
      <c r="Z5" s="3268"/>
      <c r="AA5" s="3253"/>
      <c r="AB5" s="3253"/>
      <c r="AC5" s="3253"/>
    </row>
    <row r="6" spans="1:29" ht="15.75" thickBot="1">
      <c r="A6" s="405"/>
      <c r="B6" s="406"/>
      <c r="C6" s="3303" t="s">
        <v>2786</v>
      </c>
      <c r="D6" s="3304"/>
      <c r="E6" s="3305" t="s">
        <v>2786</v>
      </c>
      <c r="F6" s="3306"/>
      <c r="G6" s="3303" t="s">
        <v>2786</v>
      </c>
      <c r="H6" s="3304"/>
      <c r="I6" s="3303" t="s">
        <v>2786</v>
      </c>
      <c r="J6" s="3304"/>
      <c r="K6" s="609" t="s">
        <v>2536</v>
      </c>
      <c r="L6" s="1128"/>
      <c r="M6" s="1129"/>
      <c r="N6" s="1129"/>
      <c r="O6" s="1129"/>
      <c r="P6" s="3263"/>
      <c r="Q6" s="3264"/>
      <c r="R6" s="3267"/>
      <c r="S6" s="3268"/>
      <c r="T6" s="3269"/>
      <c r="U6" s="3270"/>
      <c r="V6" s="3250"/>
      <c r="W6" s="3250"/>
      <c r="X6" s="1811"/>
      <c r="Y6" s="3269"/>
      <c r="Z6" s="3270"/>
      <c r="AA6" s="3254"/>
      <c r="AB6" s="3254"/>
      <c r="AC6" s="3254"/>
    </row>
    <row r="7" spans="1:29" s="116" customFormat="1" ht="15.75" thickBot="1">
      <c r="A7" s="407" t="s">
        <v>2537</v>
      </c>
      <c r="B7" s="408"/>
      <c r="C7" s="409">
        <f>'数据-取费表'!B2</f>
        <v>43658</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275" t="s">
        <v>2538</v>
      </c>
      <c r="Q7" s="3277"/>
      <c r="R7" s="768" t="s">
        <v>17</v>
      </c>
      <c r="S7" s="769">
        <f t="shared" ref="S7:S15" si="0">F7</f>
        <v>0</v>
      </c>
      <c r="T7" s="768" t="s">
        <v>17</v>
      </c>
      <c r="U7" s="769">
        <f t="shared" ref="U7:U15" si="1">H7</f>
        <v>0</v>
      </c>
      <c r="V7" s="768" t="s">
        <v>17</v>
      </c>
      <c r="W7" s="769">
        <f t="shared" ref="W7:W15" si="2">J7</f>
        <v>0</v>
      </c>
      <c r="X7" s="770"/>
      <c r="Y7" s="3275" t="s">
        <v>2538</v>
      </c>
      <c r="Z7" s="3276"/>
      <c r="AA7" s="771" t="e">
        <f>D7/F7</f>
        <v>#DIV/0!</v>
      </c>
      <c r="AB7" s="771" t="e">
        <f>D7/H7</f>
        <v>#DIV/0!</v>
      </c>
      <c r="AC7" s="771" t="e">
        <f>D7/J7</f>
        <v>#DIV/0!</v>
      </c>
    </row>
    <row r="8" spans="1:29" s="116" customFormat="1" ht="15.75" thickBot="1">
      <c r="A8" s="407" t="s">
        <v>2539</v>
      </c>
      <c r="B8" s="408"/>
      <c r="C8" s="413" t="s">
        <v>2540</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75" t="s">
        <v>2541</v>
      </c>
      <c r="Q8" s="3276"/>
      <c r="R8" s="768" t="s">
        <v>17</v>
      </c>
      <c r="S8" s="769">
        <f t="shared" si="0"/>
        <v>0</v>
      </c>
      <c r="T8" s="768" t="s">
        <v>17</v>
      </c>
      <c r="U8" s="769">
        <f t="shared" si="1"/>
        <v>0</v>
      </c>
      <c r="V8" s="768" t="s">
        <v>17</v>
      </c>
      <c r="W8" s="769">
        <f t="shared" si="2"/>
        <v>0</v>
      </c>
      <c r="X8" s="770"/>
      <c r="Y8" s="3275" t="s">
        <v>2541</v>
      </c>
      <c r="Z8" s="3276"/>
      <c r="AA8" s="771" t="e">
        <f t="shared" ref="AA8:AA40" si="3">D8/F8</f>
        <v>#DIV/0!</v>
      </c>
      <c r="AB8" s="771" t="e">
        <f t="shared" ref="AB8:AB40" si="4">D8/H8</f>
        <v>#DIV/0!</v>
      </c>
      <c r="AC8" s="771" t="e">
        <f t="shared" ref="AC8:AC40" si="5">D8/J8</f>
        <v>#DIV/0!</v>
      </c>
    </row>
    <row r="9" spans="1:29" s="116" customFormat="1">
      <c r="A9" s="414" t="s">
        <v>2542</v>
      </c>
      <c r="B9" s="70" t="s">
        <v>2543</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236" t="s">
        <v>2544</v>
      </c>
      <c r="Q9" s="1793" t="str">
        <f t="shared" ref="Q9:Q15" si="6">B9</f>
        <v>用途</v>
      </c>
      <c r="R9" s="768" t="s">
        <v>17</v>
      </c>
      <c r="S9" s="769">
        <f t="shared" si="0"/>
        <v>100</v>
      </c>
      <c r="T9" s="768" t="s">
        <v>17</v>
      </c>
      <c r="U9" s="769">
        <f t="shared" si="1"/>
        <v>100</v>
      </c>
      <c r="V9" s="768" t="s">
        <v>17</v>
      </c>
      <c r="W9" s="769">
        <f t="shared" si="2"/>
        <v>100</v>
      </c>
      <c r="X9" s="770"/>
      <c r="Y9" s="3067" t="s">
        <v>2545</v>
      </c>
      <c r="Z9" s="54" t="str">
        <f t="shared" ref="Z9:Z15" si="7">Q9</f>
        <v>用途</v>
      </c>
      <c r="AA9" s="771">
        <f t="shared" si="3"/>
        <v>1</v>
      </c>
      <c r="AB9" s="771">
        <f t="shared" si="4"/>
        <v>1</v>
      </c>
      <c r="AC9" s="771">
        <f t="shared" si="5"/>
        <v>1</v>
      </c>
    </row>
    <row r="10" spans="1:29" s="426" customFormat="1" ht="27">
      <c r="A10" s="420"/>
      <c r="B10" s="421" t="s">
        <v>2546</v>
      </c>
      <c r="C10" s="431"/>
      <c r="D10" s="135">
        <v>100</v>
      </c>
      <c r="E10" s="431"/>
      <c r="F10" s="135">
        <f>ROUND(100/'数据-取费表'!G16,0)</f>
        <v>109</v>
      </c>
      <c r="G10" s="431"/>
      <c r="H10" s="135">
        <f>ROUND(100/'数据-取费表'!G16,0)</f>
        <v>109</v>
      </c>
      <c r="I10" s="431"/>
      <c r="J10" s="135">
        <f>ROUND(100/'数据-取费表'!G16,0)</f>
        <v>109</v>
      </c>
      <c r="K10" s="671"/>
      <c r="L10" s="1133"/>
      <c r="M10" s="1134"/>
      <c r="N10" s="1134"/>
      <c r="O10" s="1135"/>
      <c r="P10" s="3236"/>
      <c r="Q10" s="1793" t="str">
        <f t="shared" si="6"/>
        <v>土地使用年限（年）</v>
      </c>
      <c r="R10" s="768" t="s">
        <v>17</v>
      </c>
      <c r="S10" s="769">
        <f t="shared" si="0"/>
        <v>109</v>
      </c>
      <c r="T10" s="768" t="s">
        <v>17</v>
      </c>
      <c r="U10" s="769">
        <f t="shared" si="1"/>
        <v>109</v>
      </c>
      <c r="V10" s="768" t="s">
        <v>17</v>
      </c>
      <c r="W10" s="769">
        <f t="shared" si="2"/>
        <v>109</v>
      </c>
      <c r="X10" s="770"/>
      <c r="Y10" s="3067"/>
      <c r="Z10" s="54" t="str">
        <f t="shared" si="7"/>
        <v>土地使用年限（年）</v>
      </c>
      <c r="AA10" s="771">
        <f t="shared" si="3"/>
        <v>0.91743119266055051</v>
      </c>
      <c r="AB10" s="771">
        <f t="shared" si="4"/>
        <v>0.91743119266055051</v>
      </c>
      <c r="AC10" s="771">
        <f t="shared" si="5"/>
        <v>0.91743119266055051</v>
      </c>
    </row>
    <row r="11" spans="1:29" ht="15">
      <c r="A11" s="427"/>
      <c r="B11" s="421" t="s">
        <v>2547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36"/>
      <c r="Q11" s="1793" t="str">
        <f t="shared" si="6"/>
        <v>容积率</v>
      </c>
      <c r="R11" s="768" t="s">
        <v>17</v>
      </c>
      <c r="S11" s="769" t="e">
        <f t="shared" si="0"/>
        <v>#N/A</v>
      </c>
      <c r="T11" s="768" t="s">
        <v>17</v>
      </c>
      <c r="U11" s="769" t="e">
        <f t="shared" si="1"/>
        <v>#N/A</v>
      </c>
      <c r="V11" s="768" t="s">
        <v>17</v>
      </c>
      <c r="W11" s="769" t="e">
        <f t="shared" si="2"/>
        <v>#N/A</v>
      </c>
      <c r="X11" s="770"/>
      <c r="Y11" s="3067"/>
      <c r="Z11" s="54" t="str">
        <f t="shared" si="7"/>
        <v>容积率</v>
      </c>
      <c r="AA11" s="771" t="e">
        <f t="shared" si="3"/>
        <v>#N/A</v>
      </c>
      <c r="AB11" s="771" t="e">
        <f t="shared" si="4"/>
        <v>#N/A</v>
      </c>
      <c r="AC11" s="771"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36"/>
      <c r="Q12" s="1793">
        <f t="shared" si="6"/>
        <v>111</v>
      </c>
      <c r="R12" s="768" t="s">
        <v>17</v>
      </c>
      <c r="S12" s="769">
        <f t="shared" si="0"/>
        <v>100</v>
      </c>
      <c r="T12" s="768" t="s">
        <v>17</v>
      </c>
      <c r="U12" s="769">
        <f t="shared" si="1"/>
        <v>100</v>
      </c>
      <c r="V12" s="768" t="s">
        <v>17</v>
      </c>
      <c r="W12" s="769">
        <f t="shared" si="2"/>
        <v>100</v>
      </c>
      <c r="X12" s="770"/>
      <c r="Y12" s="3067"/>
      <c r="Z12" s="54">
        <f t="shared" si="7"/>
        <v>111</v>
      </c>
      <c r="AA12" s="771">
        <f>D12/F12</f>
        <v>1</v>
      </c>
      <c r="AB12" s="771">
        <f>D12/H12</f>
        <v>1</v>
      </c>
      <c r="AC12" s="771">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36"/>
      <c r="Q13" s="1793">
        <f t="shared" si="6"/>
        <v>111</v>
      </c>
      <c r="R13" s="768" t="s">
        <v>17</v>
      </c>
      <c r="S13" s="769">
        <f t="shared" si="0"/>
        <v>100</v>
      </c>
      <c r="T13" s="768" t="s">
        <v>17</v>
      </c>
      <c r="U13" s="769">
        <f t="shared" si="1"/>
        <v>100</v>
      </c>
      <c r="V13" s="768" t="s">
        <v>17</v>
      </c>
      <c r="W13" s="769">
        <f t="shared" si="2"/>
        <v>100</v>
      </c>
      <c r="X13" s="770"/>
      <c r="Y13" s="3067"/>
      <c r="Z13" s="54">
        <f t="shared" si="7"/>
        <v>111</v>
      </c>
      <c r="AA13" s="771">
        <f t="shared" si="3"/>
        <v>1</v>
      </c>
      <c r="AB13" s="771">
        <f t="shared" si="4"/>
        <v>1</v>
      </c>
      <c r="AC13" s="771">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36"/>
      <c r="Q14" s="1793">
        <f t="shared" si="6"/>
        <v>111</v>
      </c>
      <c r="R14" s="768" t="s">
        <v>17</v>
      </c>
      <c r="S14" s="769">
        <f t="shared" si="0"/>
        <v>100</v>
      </c>
      <c r="T14" s="768" t="s">
        <v>17</v>
      </c>
      <c r="U14" s="769">
        <f t="shared" si="1"/>
        <v>100</v>
      </c>
      <c r="V14" s="768" t="s">
        <v>17</v>
      </c>
      <c r="W14" s="769">
        <f t="shared" si="2"/>
        <v>100</v>
      </c>
      <c r="X14" s="770"/>
      <c r="Y14" s="3067"/>
      <c r="Z14" s="54">
        <f t="shared" si="7"/>
        <v>111</v>
      </c>
      <c r="AA14" s="771">
        <f t="shared" si="3"/>
        <v>1</v>
      </c>
      <c r="AB14" s="771">
        <f t="shared" si="4"/>
        <v>1</v>
      </c>
      <c r="AC14" s="771">
        <f t="shared" si="5"/>
        <v>1</v>
      </c>
    </row>
    <row r="15" spans="1:29" ht="57">
      <c r="A15" s="439" t="s">
        <v>2548</v>
      </c>
      <c r="B15" s="628" t="s">
        <v>2787</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43" t="s">
        <v>2549</v>
      </c>
      <c r="Q15" s="1808" t="str">
        <f t="shared" si="6"/>
        <v>产业集聚程度</v>
      </c>
      <c r="R15" s="772" t="s">
        <v>17</v>
      </c>
      <c r="S15" s="773">
        <f t="shared" si="0"/>
        <v>100</v>
      </c>
      <c r="T15" s="772" t="s">
        <v>17</v>
      </c>
      <c r="U15" s="773">
        <f t="shared" si="1"/>
        <v>100</v>
      </c>
      <c r="V15" s="772" t="s">
        <v>17</v>
      </c>
      <c r="W15" s="773">
        <f t="shared" si="2"/>
        <v>100</v>
      </c>
      <c r="X15" s="1811"/>
      <c r="Y15" s="3243" t="s">
        <v>2549</v>
      </c>
      <c r="Z15" s="1812" t="str">
        <f t="shared" si="7"/>
        <v>产业集聚程度</v>
      </c>
      <c r="AA15" s="1809">
        <f t="shared" si="3"/>
        <v>1</v>
      </c>
      <c r="AB15" s="1809">
        <f t="shared" si="4"/>
        <v>1</v>
      </c>
      <c r="AC15" s="1809">
        <f t="shared" si="5"/>
        <v>1</v>
      </c>
    </row>
    <row r="16" spans="1:29" ht="15">
      <c r="A16" s="427"/>
      <c r="B16" s="629"/>
      <c r="C16" s="446"/>
      <c r="D16" s="447"/>
      <c r="E16" s="2609"/>
      <c r="F16" s="447"/>
      <c r="G16" s="2609"/>
      <c r="H16" s="449"/>
      <c r="I16" s="2609"/>
      <c r="J16" s="447"/>
      <c r="K16" s="671"/>
      <c r="L16" s="1138"/>
      <c r="M16" s="1129"/>
      <c r="N16" s="1129"/>
      <c r="O16" s="1137"/>
      <c r="P16" s="3244"/>
      <c r="Q16" s="1808"/>
      <c r="R16" s="772"/>
      <c r="S16" s="773"/>
      <c r="T16" s="772"/>
      <c r="U16" s="773"/>
      <c r="V16" s="772"/>
      <c r="W16" s="773"/>
      <c r="X16" s="1811"/>
      <c r="Y16" s="3244"/>
      <c r="Z16" s="1812"/>
      <c r="AA16" s="1809">
        <v>1</v>
      </c>
      <c r="AB16" s="1809">
        <v>1</v>
      </c>
      <c r="AC16" s="1809">
        <v>1</v>
      </c>
    </row>
    <row r="17" spans="1:29" ht="85.5">
      <c r="A17" s="427"/>
      <c r="B17" s="630" t="s">
        <v>2698</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44"/>
      <c r="Q17" s="1808" t="str">
        <f>B17</f>
        <v>交通便捷度</v>
      </c>
      <c r="R17" s="772" t="s">
        <v>17</v>
      </c>
      <c r="S17" s="773">
        <f>F17</f>
        <v>100</v>
      </c>
      <c r="T17" s="772" t="s">
        <v>17</v>
      </c>
      <c r="U17" s="773">
        <f>H17</f>
        <v>100</v>
      </c>
      <c r="V17" s="772" t="s">
        <v>17</v>
      </c>
      <c r="W17" s="773">
        <f>J17</f>
        <v>100</v>
      </c>
      <c r="X17" s="1811"/>
      <c r="Y17" s="3244"/>
      <c r="Z17" s="1812" t="str">
        <f>Q17</f>
        <v>交通便捷度</v>
      </c>
      <c r="AA17" s="1809">
        <f t="shared" si="3"/>
        <v>1</v>
      </c>
      <c r="AB17" s="1809">
        <f t="shared" si="4"/>
        <v>1</v>
      </c>
      <c r="AC17" s="1809">
        <f t="shared" si="5"/>
        <v>1</v>
      </c>
    </row>
    <row r="18" spans="1:29" ht="15">
      <c r="A18" s="427"/>
      <c r="B18" s="631"/>
      <c r="C18" s="446"/>
      <c r="D18" s="447"/>
      <c r="E18" s="2603"/>
      <c r="F18" s="447"/>
      <c r="G18" s="2603"/>
      <c r="H18" s="447"/>
      <c r="I18" s="2602"/>
      <c r="J18" s="447"/>
      <c r="K18" s="671"/>
      <c r="L18" s="1138"/>
      <c r="M18" s="1129"/>
      <c r="N18" s="1129"/>
      <c r="O18" s="1137"/>
      <c r="P18" s="3244"/>
      <c r="Q18" s="1808"/>
      <c r="R18" s="772"/>
      <c r="S18" s="773"/>
      <c r="T18" s="772"/>
      <c r="U18" s="773"/>
      <c r="V18" s="772"/>
      <c r="W18" s="773"/>
      <c r="X18" s="1811"/>
      <c r="Y18" s="3244"/>
      <c r="Z18" s="1812"/>
      <c r="AA18" s="1809">
        <v>1</v>
      </c>
      <c r="AB18" s="1809">
        <v>1</v>
      </c>
      <c r="AC18" s="1809">
        <v>1</v>
      </c>
    </row>
    <row r="19" spans="1:29" ht="15">
      <c r="A19" s="427"/>
      <c r="B19" s="630" t="s">
        <v>2737</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44"/>
      <c r="Q19" s="1808" t="str">
        <f t="shared" ref="Q19:Q33" si="8">B19</f>
        <v>区域土地利用方向</v>
      </c>
      <c r="R19" s="772" t="s">
        <v>17</v>
      </c>
      <c r="S19" s="773">
        <f>F19</f>
        <v>100</v>
      </c>
      <c r="T19" s="772" t="s">
        <v>17</v>
      </c>
      <c r="U19" s="773">
        <f>H19</f>
        <v>100</v>
      </c>
      <c r="V19" s="772" t="s">
        <v>17</v>
      </c>
      <c r="W19" s="773">
        <f>J19</f>
        <v>100</v>
      </c>
      <c r="X19" s="1811"/>
      <c r="Y19" s="3244"/>
      <c r="Z19" s="1812" t="str">
        <f>Q19</f>
        <v>区域土地利用方向</v>
      </c>
      <c r="AA19" s="1809">
        <f t="shared" si="3"/>
        <v>1</v>
      </c>
      <c r="AB19" s="1809">
        <f t="shared" si="4"/>
        <v>1</v>
      </c>
      <c r="AC19" s="1809">
        <f t="shared" si="5"/>
        <v>1</v>
      </c>
    </row>
    <row r="20" spans="1:29" ht="15">
      <c r="A20" s="403"/>
      <c r="B20" s="631"/>
      <c r="C20" s="446"/>
      <c r="D20" s="447"/>
      <c r="E20" s="2603"/>
      <c r="F20" s="447"/>
      <c r="G20" s="2603"/>
      <c r="H20" s="447"/>
      <c r="I20" s="2603"/>
      <c r="J20" s="447"/>
      <c r="K20" s="810"/>
      <c r="L20" s="1138"/>
      <c r="M20" s="1129"/>
      <c r="N20" s="1129"/>
      <c r="O20" s="1137"/>
      <c r="P20" s="3244"/>
      <c r="Q20" s="1808"/>
      <c r="R20" s="772"/>
      <c r="S20" s="773"/>
      <c r="T20" s="772"/>
      <c r="U20" s="773"/>
      <c r="V20" s="772"/>
      <c r="W20" s="773"/>
      <c r="X20" s="1811"/>
      <c r="Y20" s="3244"/>
      <c r="Z20" s="1812"/>
      <c r="AA20" s="1809"/>
      <c r="AB20" s="1809"/>
      <c r="AC20" s="1809"/>
    </row>
    <row r="21" spans="1:29" ht="71.25">
      <c r="A21" s="403"/>
      <c r="B21" s="630" t="s">
        <v>2788</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44"/>
      <c r="Q21" s="1808" t="str">
        <f t="shared" si="8"/>
        <v>环境状况</v>
      </c>
      <c r="R21" s="772" t="s">
        <v>17</v>
      </c>
      <c r="S21" s="773">
        <f>F21</f>
        <v>100</v>
      </c>
      <c r="T21" s="772" t="s">
        <v>17</v>
      </c>
      <c r="U21" s="773">
        <f>H21</f>
        <v>100</v>
      </c>
      <c r="V21" s="772" t="s">
        <v>17</v>
      </c>
      <c r="W21" s="773">
        <f>J21</f>
        <v>100</v>
      </c>
      <c r="X21" s="1811"/>
      <c r="Y21" s="3244"/>
      <c r="Z21" s="1812" t="str">
        <f>Q21</f>
        <v>环境状况</v>
      </c>
      <c r="AA21" s="1809">
        <f t="shared" si="3"/>
        <v>1</v>
      </c>
      <c r="AB21" s="1809">
        <f t="shared" si="4"/>
        <v>1</v>
      </c>
      <c r="AC21" s="1809">
        <f t="shared" si="5"/>
        <v>1</v>
      </c>
    </row>
    <row r="22" spans="1:29" ht="15">
      <c r="A22" s="403"/>
      <c r="B22" s="631"/>
      <c r="C22" s="446"/>
      <c r="D22" s="447"/>
      <c r="E22" s="2609"/>
      <c r="F22" s="447"/>
      <c r="G22" s="2609"/>
      <c r="H22" s="447"/>
      <c r="I22" s="446"/>
      <c r="J22" s="447"/>
      <c r="K22" s="671"/>
      <c r="L22" s="1138"/>
      <c r="M22" s="1129"/>
      <c r="N22" s="1129"/>
      <c r="O22" s="1137"/>
      <c r="P22" s="3244"/>
      <c r="Q22" s="1808"/>
      <c r="R22" s="772"/>
      <c r="S22" s="773"/>
      <c r="T22" s="772"/>
      <c r="U22" s="773"/>
      <c r="V22" s="772"/>
      <c r="W22" s="773"/>
      <c r="X22" s="1811"/>
      <c r="Y22" s="3244"/>
      <c r="Z22" s="1812"/>
      <c r="AA22" s="1809">
        <v>1</v>
      </c>
      <c r="AB22" s="1809">
        <v>1</v>
      </c>
      <c r="AC22" s="1809">
        <v>1</v>
      </c>
    </row>
    <row r="23" spans="1:29" s="116" customFormat="1" ht="42.75">
      <c r="A23" s="648"/>
      <c r="B23" s="632" t="s">
        <v>2643</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44"/>
      <c r="Q23" s="1793" t="str">
        <f t="shared" si="8"/>
        <v>公共配套设施</v>
      </c>
      <c r="R23" s="768" t="s">
        <v>17</v>
      </c>
      <c r="S23" s="769">
        <f>F23</f>
        <v>100</v>
      </c>
      <c r="T23" s="768" t="s">
        <v>17</v>
      </c>
      <c r="U23" s="769">
        <f>H23</f>
        <v>100</v>
      </c>
      <c r="V23" s="768" t="s">
        <v>17</v>
      </c>
      <c r="W23" s="769">
        <f>J23</f>
        <v>100</v>
      </c>
      <c r="X23" s="770"/>
      <c r="Y23" s="3244"/>
      <c r="Z23" s="54" t="str">
        <f>Q23</f>
        <v>公共配套设施</v>
      </c>
      <c r="AA23" s="1809">
        <f>D23/F23</f>
        <v>1</v>
      </c>
      <c r="AB23" s="1809">
        <f>D23/H23</f>
        <v>1</v>
      </c>
      <c r="AC23" s="1809">
        <f>D23/J23</f>
        <v>1</v>
      </c>
    </row>
    <row r="24" spans="1:29" s="116" customFormat="1" ht="15">
      <c r="A24" s="648"/>
      <c r="B24" s="631"/>
      <c r="C24" s="2696"/>
      <c r="D24" s="447"/>
      <c r="E24" s="2609"/>
      <c r="F24" s="447"/>
      <c r="G24" s="2609"/>
      <c r="H24" s="447"/>
      <c r="I24" s="446"/>
      <c r="J24" s="447"/>
      <c r="K24" s="671"/>
      <c r="L24" s="1130"/>
      <c r="M24" s="1131"/>
      <c r="N24" s="1131"/>
      <c r="O24" s="1132"/>
      <c r="P24" s="3244"/>
      <c r="Q24" s="1793"/>
      <c r="R24" s="768"/>
      <c r="S24" s="769"/>
      <c r="T24" s="768"/>
      <c r="U24" s="769"/>
      <c r="V24" s="768"/>
      <c r="W24" s="769"/>
      <c r="X24" s="770"/>
      <c r="Y24" s="3244"/>
      <c r="Z24" s="54"/>
      <c r="AA24" s="771">
        <v>1</v>
      </c>
      <c r="AB24" s="771">
        <v>1</v>
      </c>
      <c r="AC24" s="771">
        <v>1</v>
      </c>
    </row>
    <row r="25" spans="1:29" s="116" customFormat="1" ht="28.5">
      <c r="A25" s="648"/>
      <c r="B25" s="632" t="s">
        <v>2644</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44"/>
      <c r="Q25" s="1793" t="str">
        <f t="shared" ref="Q25" si="9">B25</f>
        <v>基础设施水平</v>
      </c>
      <c r="R25" s="768" t="s">
        <v>17</v>
      </c>
      <c r="S25" s="769">
        <f>F25</f>
        <v>100</v>
      </c>
      <c r="T25" s="768" t="s">
        <v>17</v>
      </c>
      <c r="U25" s="769">
        <f>H25</f>
        <v>100</v>
      </c>
      <c r="V25" s="768" t="s">
        <v>17</v>
      </c>
      <c r="W25" s="769">
        <f>J25</f>
        <v>100</v>
      </c>
      <c r="X25" s="770"/>
      <c r="Y25" s="3244"/>
      <c r="Z25" s="54" t="str">
        <f>Q25</f>
        <v>基础设施水平</v>
      </c>
      <c r="AA25" s="1809">
        <f>D25/F25</f>
        <v>1</v>
      </c>
      <c r="AB25" s="1809">
        <f>D25/H25</f>
        <v>1</v>
      </c>
      <c r="AC25" s="1809">
        <f>D25/J25</f>
        <v>1</v>
      </c>
    </row>
    <row r="26" spans="1:29" s="116" customFormat="1" ht="15">
      <c r="A26" s="648"/>
      <c r="B26" s="631"/>
      <c r="C26" s="2696"/>
      <c r="D26" s="447"/>
      <c r="E26" s="2697"/>
      <c r="F26" s="447"/>
      <c r="G26" s="2697"/>
      <c r="H26" s="447"/>
      <c r="I26" s="2697"/>
      <c r="J26" s="447"/>
      <c r="K26" s="671"/>
      <c r="L26" s="1130"/>
      <c r="M26" s="1131"/>
      <c r="N26" s="1131"/>
      <c r="O26" s="1132"/>
      <c r="P26" s="3244"/>
      <c r="Q26" s="1793"/>
      <c r="R26" s="768"/>
      <c r="S26" s="769"/>
      <c r="T26" s="768"/>
      <c r="U26" s="769"/>
      <c r="V26" s="768"/>
      <c r="W26" s="769"/>
      <c r="X26" s="770"/>
      <c r="Y26" s="3244"/>
      <c r="Z26" s="54"/>
      <c r="AA26" s="771">
        <v>1</v>
      </c>
      <c r="AB26" s="771">
        <v>1</v>
      </c>
      <c r="AC26" s="771">
        <v>1</v>
      </c>
    </row>
    <row r="27" spans="1:29" ht="15">
      <c r="A27" s="427"/>
      <c r="B27" s="631" t="s">
        <v>2645</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44"/>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44"/>
      <c r="Z27" s="1812" t="str">
        <f t="shared" ref="Z27:Z40" si="13">Q27</f>
        <v>临街状况</v>
      </c>
      <c r="AA27" s="1809">
        <f t="shared" si="3"/>
        <v>1</v>
      </c>
      <c r="AB27" s="1809">
        <f t="shared" si="4"/>
        <v>1</v>
      </c>
      <c r="AC27" s="1809">
        <f t="shared" si="5"/>
        <v>1</v>
      </c>
    </row>
    <row r="28" spans="1:29" ht="27">
      <c r="A28" s="427"/>
      <c r="B28" s="632" t="s">
        <v>2680</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44"/>
      <c r="Q28" s="1808" t="str">
        <f t="shared" si="8"/>
        <v>毗邻道路的类型与等级</v>
      </c>
      <c r="R28" s="772" t="s">
        <v>17</v>
      </c>
      <c r="S28" s="773">
        <f t="shared" si="10"/>
        <v>100</v>
      </c>
      <c r="T28" s="772" t="s">
        <v>17</v>
      </c>
      <c r="U28" s="773">
        <f t="shared" si="11"/>
        <v>100</v>
      </c>
      <c r="V28" s="772" t="s">
        <v>17</v>
      </c>
      <c r="W28" s="773">
        <f t="shared" si="12"/>
        <v>100</v>
      </c>
      <c r="X28" s="1811"/>
      <c r="Y28" s="3244"/>
      <c r="Z28" s="1812" t="str">
        <f t="shared" si="13"/>
        <v>毗邻道路的类型与等级</v>
      </c>
      <c r="AA28" s="1809">
        <f t="shared" si="3"/>
        <v>1</v>
      </c>
      <c r="AB28" s="1809">
        <f t="shared" si="4"/>
        <v>1</v>
      </c>
      <c r="AC28" s="1809">
        <f t="shared" si="5"/>
        <v>1</v>
      </c>
    </row>
    <row r="29" spans="1:29" ht="15">
      <c r="A29" s="427"/>
      <c r="B29" s="631"/>
      <c r="C29" s="446"/>
      <c r="D29" s="447"/>
      <c r="E29" s="2609"/>
      <c r="F29" s="447"/>
      <c r="G29" s="2609"/>
      <c r="H29" s="447"/>
      <c r="I29" s="2609"/>
      <c r="J29" s="447"/>
      <c r="K29" s="612"/>
      <c r="L29" s="1138"/>
      <c r="M29" s="1129"/>
      <c r="N29" s="1129"/>
      <c r="O29" s="1137"/>
      <c r="P29" s="3244"/>
      <c r="Q29" s="1808"/>
      <c r="R29" s="772"/>
      <c r="S29" s="773"/>
      <c r="T29" s="772"/>
      <c r="U29" s="773"/>
      <c r="V29" s="772"/>
      <c r="W29" s="773"/>
      <c r="X29" s="1811"/>
      <c r="Y29" s="3244"/>
      <c r="Z29" s="1812"/>
      <c r="AA29" s="1809">
        <v>1</v>
      </c>
      <c r="AB29" s="1809">
        <v>1</v>
      </c>
      <c r="AC29" s="1809">
        <v>1</v>
      </c>
    </row>
    <row r="30" spans="1:29" ht="15">
      <c r="A30" s="427"/>
      <c r="B30" s="653" t="s">
        <v>2739</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44"/>
      <c r="Q30" s="1808" t="str">
        <f t="shared" si="8"/>
        <v>土地级别</v>
      </c>
      <c r="R30" s="772" t="s">
        <v>17</v>
      </c>
      <c r="S30" s="773">
        <f t="shared" si="10"/>
        <v>100</v>
      </c>
      <c r="T30" s="772" t="s">
        <v>17</v>
      </c>
      <c r="U30" s="773">
        <f t="shared" si="11"/>
        <v>100</v>
      </c>
      <c r="V30" s="772" t="s">
        <v>17</v>
      </c>
      <c r="W30" s="773">
        <f t="shared" si="12"/>
        <v>100</v>
      </c>
      <c r="X30" s="1811"/>
      <c r="Y30" s="3244"/>
      <c r="Z30" s="1812" t="str">
        <f t="shared" si="13"/>
        <v>土地级别</v>
      </c>
      <c r="AA30" s="1809">
        <f t="shared" si="3"/>
        <v>1</v>
      </c>
      <c r="AB30" s="1809">
        <f t="shared" si="4"/>
        <v>1</v>
      </c>
      <c r="AC30" s="1809">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44"/>
      <c r="Q31" s="1808">
        <f t="shared" si="8"/>
        <v>111</v>
      </c>
      <c r="R31" s="772" t="s">
        <v>17</v>
      </c>
      <c r="S31" s="773">
        <f t="shared" si="10"/>
        <v>100</v>
      </c>
      <c r="T31" s="772" t="s">
        <v>17</v>
      </c>
      <c r="U31" s="773">
        <f t="shared" si="11"/>
        <v>100</v>
      </c>
      <c r="V31" s="772" t="s">
        <v>17</v>
      </c>
      <c r="W31" s="773">
        <f t="shared" si="12"/>
        <v>100</v>
      </c>
      <c r="X31" s="1811"/>
      <c r="Y31" s="3244"/>
      <c r="Z31" s="1812">
        <f t="shared" si="13"/>
        <v>111</v>
      </c>
      <c r="AA31" s="1809">
        <f t="shared" si="3"/>
        <v>1</v>
      </c>
      <c r="AB31" s="1809">
        <f t="shared" si="4"/>
        <v>1</v>
      </c>
      <c r="AC31" s="1809">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98" t="s">
        <v>2554</v>
      </c>
      <c r="Q32" s="1808">
        <f t="shared" si="8"/>
        <v>111</v>
      </c>
      <c r="R32" s="772" t="s">
        <v>17</v>
      </c>
      <c r="S32" s="773">
        <f t="shared" si="10"/>
        <v>100</v>
      </c>
      <c r="T32" s="772" t="s">
        <v>17</v>
      </c>
      <c r="U32" s="773">
        <f t="shared" si="11"/>
        <v>100</v>
      </c>
      <c r="V32" s="772" t="s">
        <v>17</v>
      </c>
      <c r="W32" s="773">
        <f t="shared" si="12"/>
        <v>100</v>
      </c>
      <c r="X32" s="1811"/>
      <c r="Y32" s="3248" t="s">
        <v>2554</v>
      </c>
      <c r="Z32" s="1812">
        <f t="shared" si="13"/>
        <v>111</v>
      </c>
      <c r="AA32" s="1809">
        <f t="shared" si="3"/>
        <v>1</v>
      </c>
      <c r="AB32" s="1809">
        <f t="shared" si="4"/>
        <v>1</v>
      </c>
      <c r="AC32" s="1809">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48"/>
      <c r="Q33" s="1808">
        <f t="shared" si="8"/>
        <v>111</v>
      </c>
      <c r="R33" s="775" t="s">
        <v>17</v>
      </c>
      <c r="S33" s="776">
        <f t="shared" si="10"/>
        <v>100</v>
      </c>
      <c r="T33" s="775" t="s">
        <v>17</v>
      </c>
      <c r="U33" s="776">
        <f t="shared" si="11"/>
        <v>100</v>
      </c>
      <c r="V33" s="775" t="s">
        <v>17</v>
      </c>
      <c r="W33" s="776">
        <f t="shared" si="12"/>
        <v>100</v>
      </c>
      <c r="X33" s="777"/>
      <c r="Y33" s="3248"/>
      <c r="Z33" s="778">
        <f t="shared" si="13"/>
        <v>111</v>
      </c>
      <c r="AA33" s="1809">
        <f t="shared" si="3"/>
        <v>1</v>
      </c>
      <c r="AB33" s="1809">
        <f t="shared" si="4"/>
        <v>1</v>
      </c>
      <c r="AC33" s="1809">
        <f t="shared" si="5"/>
        <v>1</v>
      </c>
    </row>
    <row r="34" spans="1:29" ht="15">
      <c r="A34" s="439" t="s">
        <v>2552</v>
      </c>
      <c r="B34" s="455" t="s">
        <v>2740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48"/>
      <c r="Q34" s="1808" t="str">
        <f>B34</f>
        <v>宗地面积</v>
      </c>
      <c r="R34" s="772" t="s">
        <v>17</v>
      </c>
      <c r="S34" s="773" t="e">
        <f t="shared" si="10"/>
        <v>#N/A</v>
      </c>
      <c r="T34" s="772" t="s">
        <v>17</v>
      </c>
      <c r="U34" s="773" t="e">
        <f t="shared" si="11"/>
        <v>#N/A</v>
      </c>
      <c r="V34" s="772" t="s">
        <v>17</v>
      </c>
      <c r="W34" s="773" t="e">
        <f t="shared" si="12"/>
        <v>#N/A</v>
      </c>
      <c r="X34" s="1811"/>
      <c r="Y34" s="3248"/>
      <c r="Z34" s="1812" t="str">
        <f t="shared" si="13"/>
        <v>宗地面积</v>
      </c>
      <c r="AA34" s="1809" t="e">
        <f t="shared" si="3"/>
        <v>#N/A</v>
      </c>
      <c r="AB34" s="1809" t="e">
        <f t="shared" si="4"/>
        <v>#N/A</v>
      </c>
      <c r="AC34" s="1809" t="e">
        <f t="shared" si="5"/>
        <v>#N/A</v>
      </c>
    </row>
    <row r="35" spans="1:29" ht="15">
      <c r="A35" s="471"/>
      <c r="B35" s="421" t="s">
        <v>2741</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38"/>
      <c r="M35" s="1129"/>
      <c r="N35" s="1129"/>
      <c r="O35" s="1137"/>
      <c r="P35" s="3248"/>
      <c r="Q35" s="1808" t="str">
        <f t="shared" ref="Q35:Q40" si="14">B35</f>
        <v>宗地形状</v>
      </c>
      <c r="R35" s="772" t="s">
        <v>17</v>
      </c>
      <c r="S35" s="773">
        <f t="shared" si="10"/>
        <v>100</v>
      </c>
      <c r="T35" s="772" t="s">
        <v>17</v>
      </c>
      <c r="U35" s="773">
        <f t="shared" si="11"/>
        <v>100</v>
      </c>
      <c r="V35" s="772" t="s">
        <v>17</v>
      </c>
      <c r="W35" s="773">
        <f t="shared" si="12"/>
        <v>100</v>
      </c>
      <c r="X35" s="1811"/>
      <c r="Y35" s="3248"/>
      <c r="Z35" s="1812" t="str">
        <f t="shared" si="13"/>
        <v>宗地形状</v>
      </c>
      <c r="AA35" s="1809">
        <f t="shared" si="3"/>
        <v>1</v>
      </c>
      <c r="AB35" s="1809">
        <f t="shared" si="4"/>
        <v>1</v>
      </c>
      <c r="AC35" s="1809">
        <f t="shared" si="5"/>
        <v>1</v>
      </c>
    </row>
    <row r="36" spans="1:29" s="116" customFormat="1" ht="15">
      <c r="A36" s="472"/>
      <c r="B36" s="421" t="s">
        <v>2743</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248"/>
      <c r="Q36" s="1808" t="str">
        <f t="shared" si="14"/>
        <v>宗地开发程度</v>
      </c>
      <c r="R36" s="768" t="s">
        <v>17</v>
      </c>
      <c r="S36" s="769">
        <f t="shared" si="10"/>
        <v>100</v>
      </c>
      <c r="T36" s="768" t="s">
        <v>17</v>
      </c>
      <c r="U36" s="769">
        <f t="shared" si="11"/>
        <v>100</v>
      </c>
      <c r="V36" s="768" t="s">
        <v>17</v>
      </c>
      <c r="W36" s="769">
        <f t="shared" si="12"/>
        <v>100</v>
      </c>
      <c r="X36" s="770"/>
      <c r="Y36" s="3248"/>
      <c r="Z36" s="54" t="str">
        <f t="shared" si="13"/>
        <v>宗地开发程度</v>
      </c>
      <c r="AA36" s="771">
        <f t="shared" si="3"/>
        <v>1</v>
      </c>
      <c r="AB36" s="771">
        <f t="shared" si="4"/>
        <v>1</v>
      </c>
      <c r="AC36" s="771">
        <f t="shared" si="5"/>
        <v>1</v>
      </c>
    </row>
    <row r="37" spans="1:29" ht="15">
      <c r="A37" s="471"/>
      <c r="B37" s="421" t="s">
        <v>2744</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38"/>
      <c r="M37" s="1129"/>
      <c r="N37" s="1129"/>
      <c r="O37" s="1137"/>
      <c r="P37" s="3248" t="s">
        <v>2554</v>
      </c>
      <c r="Q37" s="1808" t="str">
        <f t="shared" si="14"/>
        <v>工程地质条件</v>
      </c>
      <c r="R37" s="772" t="s">
        <v>17</v>
      </c>
      <c r="S37" s="773">
        <f t="shared" si="10"/>
        <v>100</v>
      </c>
      <c r="T37" s="772" t="s">
        <v>17</v>
      </c>
      <c r="U37" s="773">
        <f t="shared" si="11"/>
        <v>100</v>
      </c>
      <c r="V37" s="772" t="s">
        <v>17</v>
      </c>
      <c r="W37" s="773">
        <f t="shared" si="12"/>
        <v>100</v>
      </c>
      <c r="X37" s="1811"/>
      <c r="Y37" s="3248" t="s">
        <v>2554</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48"/>
      <c r="Q38" s="1808">
        <f t="shared" si="14"/>
        <v>111</v>
      </c>
      <c r="R38" s="772" t="s">
        <v>17</v>
      </c>
      <c r="S38" s="773">
        <f t="shared" si="10"/>
        <v>100</v>
      </c>
      <c r="T38" s="772" t="s">
        <v>17</v>
      </c>
      <c r="U38" s="773">
        <f t="shared" si="11"/>
        <v>100</v>
      </c>
      <c r="V38" s="772" t="s">
        <v>17</v>
      </c>
      <c r="W38" s="773">
        <f t="shared" si="12"/>
        <v>100</v>
      </c>
      <c r="X38" s="1811"/>
      <c r="Y38" s="3248"/>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48"/>
      <c r="Q39" s="1808">
        <f t="shared" si="14"/>
        <v>111</v>
      </c>
      <c r="R39" s="772" t="s">
        <v>17</v>
      </c>
      <c r="S39" s="773">
        <f t="shared" si="10"/>
        <v>100</v>
      </c>
      <c r="T39" s="772" t="s">
        <v>17</v>
      </c>
      <c r="U39" s="773">
        <f t="shared" si="11"/>
        <v>100</v>
      </c>
      <c r="V39" s="772" t="s">
        <v>17</v>
      </c>
      <c r="W39" s="773">
        <f t="shared" si="12"/>
        <v>100</v>
      </c>
      <c r="X39" s="1811"/>
      <c r="Y39" s="3248"/>
      <c r="Z39" s="1812">
        <f t="shared" si="13"/>
        <v>111</v>
      </c>
      <c r="AA39" s="1809">
        <f t="shared" si="3"/>
        <v>1</v>
      </c>
      <c r="AB39" s="1809">
        <f t="shared" si="4"/>
        <v>1</v>
      </c>
      <c r="AC39" s="1809">
        <f t="shared" si="5"/>
        <v>1</v>
      </c>
    </row>
    <row r="40" spans="1:29" s="470" customFormat="1" ht="15.75" thickBot="1">
      <c r="A40" s="467"/>
      <c r="B40" s="1385">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48"/>
      <c r="Q40" s="1808">
        <f t="shared" si="14"/>
        <v>111</v>
      </c>
      <c r="R40" s="775" t="s">
        <v>17</v>
      </c>
      <c r="S40" s="776">
        <f t="shared" si="10"/>
        <v>100</v>
      </c>
      <c r="T40" s="775" t="s">
        <v>17</v>
      </c>
      <c r="U40" s="776">
        <f t="shared" si="11"/>
        <v>100</v>
      </c>
      <c r="V40" s="775" t="s">
        <v>17</v>
      </c>
      <c r="W40" s="776">
        <f t="shared" si="12"/>
        <v>100</v>
      </c>
      <c r="X40" s="777"/>
      <c r="Y40" s="3248"/>
      <c r="Z40" s="778">
        <f t="shared" si="13"/>
        <v>111</v>
      </c>
      <c r="AA40" s="1809">
        <f t="shared" si="3"/>
        <v>1</v>
      </c>
      <c r="AB40" s="1809">
        <f t="shared" si="4"/>
        <v>1</v>
      </c>
      <c r="AC40" s="1809">
        <f t="shared" si="5"/>
        <v>1</v>
      </c>
    </row>
    <row r="41" spans="1:29" ht="15">
      <c r="A41" s="478" t="s">
        <v>2709</v>
      </c>
      <c r="B41" s="2700" t="s">
        <v>2789</v>
      </c>
      <c r="C41" s="681" t="s">
        <v>1</v>
      </c>
      <c r="D41" s="480"/>
      <c r="E41" s="481"/>
      <c r="F41" s="482"/>
      <c r="G41" s="483"/>
      <c r="H41" s="484"/>
      <c r="I41" s="481"/>
      <c r="J41" s="484"/>
      <c r="K41" s="781"/>
      <c r="L41" s="1141"/>
      <c r="M41" s="1129"/>
      <c r="N41" s="1129"/>
      <c r="O41" s="1142"/>
      <c r="P41" s="3236" t="str">
        <f>A41</f>
        <v>成交单价</v>
      </c>
      <c r="Q41" s="3236"/>
      <c r="R41" s="3250">
        <f>E41</f>
        <v>0</v>
      </c>
      <c r="S41" s="3250"/>
      <c r="T41" s="3250">
        <f>G41</f>
        <v>0</v>
      </c>
      <c r="U41" s="3250"/>
      <c r="V41" s="3250">
        <f>I41</f>
        <v>0</v>
      </c>
      <c r="W41" s="3250"/>
      <c r="X41" s="757"/>
      <c r="Y41" s="779"/>
      <c r="Z41" s="757"/>
      <c r="AA41" s="757"/>
      <c r="AB41" s="757"/>
      <c r="AC41" s="757"/>
    </row>
    <row r="42" spans="1:29" ht="15.75" thickBot="1">
      <c r="A42" s="485" t="s">
        <v>2658</v>
      </c>
      <c r="B42" s="682"/>
      <c r="C42" s="489" t="e">
        <f>R43</f>
        <v>#DIV/0!</v>
      </c>
      <c r="D42" s="488"/>
      <c r="E42" s="489" t="e">
        <f>R42</f>
        <v>#DIV/0!</v>
      </c>
      <c r="F42" s="490"/>
      <c r="G42" s="487" t="e">
        <f>T42</f>
        <v>#DIV/0!</v>
      </c>
      <c r="H42" s="488"/>
      <c r="I42" s="489" t="e">
        <f>V42</f>
        <v>#DIV/0!</v>
      </c>
      <c r="J42" s="488"/>
      <c r="K42" s="782"/>
      <c r="L42" s="1141"/>
      <c r="M42" s="1129"/>
      <c r="N42" s="1129"/>
      <c r="O42" s="1142"/>
      <c r="P42" s="3236" t="str">
        <f>A42</f>
        <v>比较价值（元/平方米）</v>
      </c>
      <c r="Q42" s="3236"/>
      <c r="R42" s="3299" t="e">
        <f>ROUND(PRODUCT(R41,AA7:AA40),0)</f>
        <v>#DIV/0!</v>
      </c>
      <c r="S42" s="3299"/>
      <c r="T42" s="3299" t="e">
        <f>ROUND(PRODUCT(T41,AB7:AB40),0)</f>
        <v>#DIV/0!</v>
      </c>
      <c r="U42" s="3299"/>
      <c r="V42" s="3299" t="e">
        <f>ROUND(PRODUCT(V41,AC7:AC40),0)</f>
        <v>#DIV/0!</v>
      </c>
      <c r="W42" s="3299"/>
      <c r="X42" s="757"/>
      <c r="Y42" s="757"/>
      <c r="Z42" s="757"/>
      <c r="AA42" s="757"/>
      <c r="AB42" s="757"/>
      <c r="AC42" s="757"/>
    </row>
    <row r="43" spans="1:29" ht="15.75" thickBot="1">
      <c r="A43" s="491" t="s">
        <v>2659</v>
      </c>
      <c r="B43" s="492"/>
      <c r="C43" s="493" t="e">
        <f>R43</f>
        <v>#DIV/0!</v>
      </c>
      <c r="D43" s="493"/>
      <c r="E43" s="493"/>
      <c r="F43" s="493"/>
      <c r="G43" s="493"/>
      <c r="H43" s="493"/>
      <c r="I43" s="493"/>
      <c r="J43" s="493"/>
      <c r="K43" s="783"/>
      <c r="L43" s="1141"/>
      <c r="M43" s="1129"/>
      <c r="N43" s="1129"/>
      <c r="O43" s="1142"/>
      <c r="P43" s="3238" t="str">
        <f>A43</f>
        <v>估价对象XX用房的比较价值（楼面单价，元/平方米）</v>
      </c>
      <c r="Q43" s="3239"/>
      <c r="R43" s="3300" t="e">
        <f>ROUND(AVERAGE(R42:V42),0)</f>
        <v>#DIV/0!</v>
      </c>
      <c r="S43" s="3300"/>
      <c r="T43" s="3300"/>
      <c r="U43" s="3300"/>
      <c r="V43" s="3300"/>
      <c r="W43" s="3300"/>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3" t="s">
        <v>2747</v>
      </c>
      <c r="B50" s="684" t="s">
        <v>2748</v>
      </c>
      <c r="C50" s="2701" t="s">
        <v>2749</v>
      </c>
      <c r="D50" s="2702" t="s">
        <v>2750</v>
      </c>
      <c r="E50" s="685" t="s">
        <v>2751</v>
      </c>
      <c r="F50" s="686" t="s">
        <v>2752</v>
      </c>
      <c r="G50" s="3255" t="s">
        <v>2753</v>
      </c>
      <c r="H50" s="3301"/>
      <c r="I50" s="1812" t="s">
        <v>2790</v>
      </c>
      <c r="J50" s="1812">
        <f>项目基本情况!F35</f>
        <v>0</v>
      </c>
      <c r="K50" s="2704" t="s">
        <v>2755</v>
      </c>
      <c r="L50" s="1104"/>
      <c r="M50" s="1142"/>
      <c r="N50" s="1142"/>
      <c r="O50" s="1142"/>
    </row>
    <row r="51" spans="1:17" s="691" customFormat="1">
      <c r="A51" s="687" t="s">
        <v>2756</v>
      </c>
      <c r="B51" s="688" t="e">
        <f>C43</f>
        <v>#DIV/0!</v>
      </c>
      <c r="C51" s="689">
        <v>1</v>
      </c>
      <c r="D51" s="1161">
        <v>1</v>
      </c>
      <c r="E51" s="689">
        <f>'数据-汇总表'!E8+'数据-汇总表'!E9</f>
        <v>304.45</v>
      </c>
      <c r="F51" s="690" t="e">
        <f t="shared" ref="F51:F60" si="15">ROUND(B51*E51/10000,0)</f>
        <v>#DIV/0!</v>
      </c>
      <c r="G51" s="3251"/>
      <c r="H51" s="3236"/>
      <c r="I51" s="940">
        <v>1</v>
      </c>
      <c r="J51" s="940">
        <v>1</v>
      </c>
      <c r="K51" s="1143"/>
      <c r="L51" s="939"/>
      <c r="M51" s="939"/>
      <c r="N51" s="939"/>
      <c r="O51" s="939"/>
    </row>
    <row r="52" spans="1:17" s="691" customFormat="1">
      <c r="A52" s="692" t="s">
        <v>2757</v>
      </c>
      <c r="B52" s="261" t="e">
        <f>ROUND($C$43*C52*D52,0)</f>
        <v>#DIV/0!</v>
      </c>
      <c r="C52" s="199">
        <f t="shared" ref="C52:C60" si="16">IF($C$50="北京市系数",I52,J52)</f>
        <v>0</v>
      </c>
      <c r="D52" s="1162">
        <v>0.25</v>
      </c>
      <c r="E52" s="693"/>
      <c r="F52" s="690" t="e">
        <f t="shared" si="15"/>
        <v>#DIV/0!</v>
      </c>
      <c r="G52" s="3302" t="s">
        <v>2758</v>
      </c>
      <c r="H52" s="1102">
        <f>项目基本情况!B37</f>
        <v>0</v>
      </c>
      <c r="I52" s="940">
        <f>SUMIF(修正!A45:A56,H52,修正!B45:B56)</f>
        <v>0</v>
      </c>
      <c r="J52" s="941"/>
      <c r="K52" s="1142"/>
      <c r="L52" s="939"/>
      <c r="M52" s="939"/>
      <c r="N52" s="939"/>
      <c r="O52" s="939"/>
    </row>
    <row r="53" spans="1:17" s="691" customFormat="1">
      <c r="A53" s="692" t="s">
        <v>2759</v>
      </c>
      <c r="B53" s="261" t="e">
        <f t="shared" ref="B53:B60" si="17">ROUND($C$43*C53*D53,0)</f>
        <v>#DIV/0!</v>
      </c>
      <c r="C53" s="199">
        <f t="shared" si="16"/>
        <v>0</v>
      </c>
      <c r="D53" s="1162">
        <v>0.25</v>
      </c>
      <c r="E53" s="693"/>
      <c r="F53" s="690" t="e">
        <f t="shared" si="15"/>
        <v>#DIV/0!</v>
      </c>
      <c r="G53" s="3302"/>
      <c r="H53" s="1102">
        <f>项目基本情况!B37</f>
        <v>0</v>
      </c>
      <c r="I53" s="940">
        <f>SUMIF(修正!A45:A56,H53,修正!C45:C56)</f>
        <v>0</v>
      </c>
      <c r="J53" s="941"/>
      <c r="K53" s="1143"/>
      <c r="L53" s="939"/>
      <c r="M53" s="939"/>
      <c r="N53" s="939"/>
      <c r="O53" s="939"/>
    </row>
    <row r="54" spans="1:17" s="691" customFormat="1">
      <c r="A54" s="692" t="s">
        <v>2760</v>
      </c>
      <c r="B54" s="261" t="e">
        <f t="shared" si="17"/>
        <v>#DIV/0!</v>
      </c>
      <c r="C54" s="199">
        <f t="shared" si="16"/>
        <v>0</v>
      </c>
      <c r="D54" s="1162">
        <v>0.25</v>
      </c>
      <c r="E54" s="693"/>
      <c r="F54" s="690" t="e">
        <f t="shared" si="15"/>
        <v>#DIV/0!</v>
      </c>
      <c r="G54" s="3302"/>
      <c r="H54" s="1102">
        <f>项目基本情况!B37</f>
        <v>0</v>
      </c>
      <c r="I54" s="940">
        <f>SUMIF(修正!A45:A56,H54,修正!D45:D56)</f>
        <v>0</v>
      </c>
      <c r="J54" s="941"/>
      <c r="K54" s="1142"/>
      <c r="L54" s="939"/>
      <c r="M54" s="939"/>
      <c r="N54" s="939"/>
      <c r="O54" s="939"/>
    </row>
    <row r="55" spans="1:17" s="691" customFormat="1">
      <c r="A55" s="692" t="s">
        <v>2761</v>
      </c>
      <c r="B55" s="261" t="e">
        <f t="shared" si="17"/>
        <v>#DIV/0!</v>
      </c>
      <c r="C55" s="199">
        <f t="shared" si="16"/>
        <v>0</v>
      </c>
      <c r="D55" s="1162">
        <v>0.25</v>
      </c>
      <c r="E55" s="693"/>
      <c r="F55" s="690" t="e">
        <f t="shared" si="15"/>
        <v>#DIV/0!</v>
      </c>
      <c r="G55" s="3302"/>
      <c r="H55" s="1102">
        <f>项目基本情况!B37</f>
        <v>0</v>
      </c>
      <c r="I55" s="940">
        <f>SUMIF(修正!A45:A56,H55,修正!E45:E56)</f>
        <v>0</v>
      </c>
      <c r="J55" s="941"/>
      <c r="K55" s="1143"/>
      <c r="L55" s="939"/>
      <c r="M55" s="939"/>
      <c r="N55" s="939"/>
      <c r="O55" s="939"/>
    </row>
    <row r="56" spans="1:17" s="691" customFormat="1">
      <c r="A56" s="692" t="s">
        <v>2762</v>
      </c>
      <c r="B56" s="261" t="e">
        <f t="shared" si="17"/>
        <v>#DIV/0!</v>
      </c>
      <c r="C56" s="199">
        <f t="shared" si="16"/>
        <v>0.3</v>
      </c>
      <c r="D56" s="1162">
        <v>0.25</v>
      </c>
      <c r="E56" s="260">
        <f>'数据-汇总表'!E11</f>
        <v>0</v>
      </c>
      <c r="F56" s="690" t="e">
        <f t="shared" si="15"/>
        <v>#DIV/0!</v>
      </c>
      <c r="G56" s="2705" t="s">
        <v>2763</v>
      </c>
      <c r="H56" s="1102" t="str">
        <f>项目基本情况!C37</f>
        <v>二级</v>
      </c>
      <c r="I56" s="940">
        <f>SUMIF(修正!A45:A56,H56,修正!F45:F56)</f>
        <v>0.3</v>
      </c>
      <c r="J56" s="941"/>
      <c r="K56" s="1142"/>
      <c r="L56" s="939"/>
      <c r="M56" s="939"/>
      <c r="N56" s="939"/>
      <c r="O56" s="939"/>
    </row>
    <row r="57" spans="1:17" s="691" customFormat="1">
      <c r="A57" s="692" t="s">
        <v>2764</v>
      </c>
      <c r="B57" s="261" t="e">
        <f t="shared" si="17"/>
        <v>#DIV/0!</v>
      </c>
      <c r="C57" s="199">
        <f t="shared" si="16"/>
        <v>0.3</v>
      </c>
      <c r="D57" s="1162">
        <v>0.25</v>
      </c>
      <c r="E57" s="260">
        <f>'数据-汇总表'!E12</f>
        <v>0</v>
      </c>
      <c r="F57" s="690" t="e">
        <f t="shared" si="15"/>
        <v>#DIV/0!</v>
      </c>
      <c r="G57" s="1107" t="s">
        <v>2765</v>
      </c>
      <c r="H57" s="1102" t="str">
        <f>IF(G57="商业",项目基本情况!B37,IF(G57="办公",项目基本情况!C37,IF(G57="住宅",项目基本情况!D37,项目基本情况!E37)))</f>
        <v>二级</v>
      </c>
      <c r="I57" s="940">
        <f>SUMIF(修正!A45:A56,H57,修正!G45:G56)</f>
        <v>0.3</v>
      </c>
      <c r="J57" s="941"/>
      <c r="K57" s="1143"/>
      <c r="L57" s="939"/>
      <c r="M57" s="939"/>
      <c r="N57" s="939"/>
      <c r="O57" s="939"/>
    </row>
    <row r="58" spans="1:17" s="691" customFormat="1">
      <c r="A58" s="692" t="s">
        <v>2766</v>
      </c>
      <c r="B58" s="261" t="e">
        <f t="shared" si="17"/>
        <v>#DIV/0!</v>
      </c>
      <c r="C58" s="199">
        <f t="shared" si="16"/>
        <v>0.25</v>
      </c>
      <c r="D58" s="1162">
        <v>0.25</v>
      </c>
      <c r="E58" s="260">
        <f>'数据-汇总表'!E13</f>
        <v>0</v>
      </c>
      <c r="F58" s="690" t="e">
        <f t="shared" si="15"/>
        <v>#DIV/0!</v>
      </c>
      <c r="G58" s="1107" t="s">
        <v>2767</v>
      </c>
      <c r="H58" s="1102" t="str">
        <f>IF(G58="商业",项目基本情况!B37,IF(G58="办公",项目基本情况!C37,IF(G58="住宅",项目基本情况!D37,项目基本情况!E37)))</f>
        <v>二级</v>
      </c>
      <c r="I58" s="940">
        <f>SUMIF(修正!A45:A56,H58,修正!H45:H56)</f>
        <v>0.25</v>
      </c>
      <c r="J58" s="941"/>
      <c r="K58" s="1142"/>
      <c r="L58" s="939"/>
      <c r="M58" s="939"/>
      <c r="N58" s="939"/>
      <c r="O58" s="939"/>
    </row>
    <row r="59" spans="1:17" s="691" customFormat="1">
      <c r="A59" s="692" t="s">
        <v>2768</v>
      </c>
      <c r="B59" s="261" t="e">
        <f t="shared" si="17"/>
        <v>#DIV/0!</v>
      </c>
      <c r="C59" s="199">
        <f t="shared" si="16"/>
        <v>0</v>
      </c>
      <c r="D59" s="1162">
        <v>0.25</v>
      </c>
      <c r="E59" s="260">
        <f>'数据-汇总表'!E14</f>
        <v>0</v>
      </c>
      <c r="F59" s="690" t="e">
        <f t="shared" si="15"/>
        <v>#DIV/0!</v>
      </c>
      <c r="G59" s="2705" t="s">
        <v>2758</v>
      </c>
      <c r="H59" s="1102">
        <f>项目基本情况!B37</f>
        <v>0</v>
      </c>
      <c r="I59" s="940">
        <f>SUMIF(修正!A45:A56,H59,修正!H45:H56)</f>
        <v>0</v>
      </c>
      <c r="J59" s="941"/>
      <c r="K59" s="1143"/>
      <c r="L59" s="939"/>
      <c r="M59" s="939"/>
      <c r="N59" s="939"/>
      <c r="O59" s="939"/>
    </row>
    <row r="60" spans="1:17" s="691" customFormat="1" ht="15" thickBot="1">
      <c r="A60" s="692" t="s">
        <v>2769</v>
      </c>
      <c r="B60" s="261" t="e">
        <f t="shared" si="17"/>
        <v>#DIV/0!</v>
      </c>
      <c r="C60" s="199">
        <f t="shared" si="16"/>
        <v>0.25</v>
      </c>
      <c r="D60" s="1162">
        <v>0.25</v>
      </c>
      <c r="E60" s="260">
        <f>'数据-汇总表'!E15</f>
        <v>0</v>
      </c>
      <c r="F60" s="690" t="e">
        <f t="shared" si="15"/>
        <v>#DIV/0!</v>
      </c>
      <c r="G60" s="2706" t="s">
        <v>2763</v>
      </c>
      <c r="H60" s="1112" t="str">
        <f>项目基本情况!C37</f>
        <v>二级</v>
      </c>
      <c r="I60" s="940">
        <f>SUMIF(修正!A45:A56,H60,修正!H45:H56)</f>
        <v>0.25</v>
      </c>
      <c r="J60" s="941"/>
      <c r="K60" s="1142"/>
      <c r="L60" s="939"/>
      <c r="M60" s="939"/>
      <c r="N60" s="939"/>
      <c r="O60" s="939"/>
    </row>
    <row r="61" spans="1:17" s="691" customFormat="1" ht="15" thickBot="1">
      <c r="A61" s="694" t="s">
        <v>2770</v>
      </c>
      <c r="B61" s="695" t="s">
        <v>28</v>
      </c>
      <c r="C61" s="695" t="s">
        <v>29</v>
      </c>
      <c r="D61" s="695" t="s">
        <v>1026</v>
      </c>
      <c r="E61" s="695">
        <f>IF(B41="楼面地价",SUM(E51:E60),'数据-汇总表'!D3)</f>
        <v>83.97999999999999</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2019-7-1</v>
      </c>
      <c r="D63" s="759">
        <f>EDATE(C63,-3)</f>
        <v>43556</v>
      </c>
      <c r="E63" s="759">
        <f>EDATE(D63,-3)</f>
        <v>43466</v>
      </c>
      <c r="F63" s="759">
        <f t="shared" ref="F63:O63" si="18">EDATE(E63,-3)</f>
        <v>43374</v>
      </c>
      <c r="G63" s="759">
        <f t="shared" si="18"/>
        <v>43282</v>
      </c>
      <c r="H63" s="759">
        <f t="shared" si="18"/>
        <v>43191</v>
      </c>
      <c r="I63" s="759">
        <f t="shared" si="18"/>
        <v>43101</v>
      </c>
      <c r="J63" s="759">
        <f t="shared" si="18"/>
        <v>43009</v>
      </c>
      <c r="K63" s="759">
        <f t="shared" si="18"/>
        <v>42917</v>
      </c>
      <c r="L63" s="759">
        <f t="shared" si="18"/>
        <v>42826</v>
      </c>
      <c r="M63" s="759">
        <f t="shared" si="18"/>
        <v>42736</v>
      </c>
      <c r="N63" s="759">
        <f t="shared" si="18"/>
        <v>42644</v>
      </c>
      <c r="O63" s="759">
        <f t="shared" si="18"/>
        <v>42552</v>
      </c>
    </row>
    <row r="64" spans="1:17" ht="21.75" thickBot="1">
      <c r="A64" s="761" t="s">
        <v>2663</v>
      </c>
      <c r="B64" s="757"/>
      <c r="C64" s="762"/>
      <c r="D64" s="762"/>
      <c r="E64" s="762"/>
      <c r="F64" s="763"/>
      <c r="G64" s="763"/>
      <c r="H64" s="762"/>
      <c r="I64" s="762"/>
      <c r="J64" s="762"/>
      <c r="K64" s="764"/>
      <c r="L64" s="765"/>
      <c r="M64" s="762"/>
      <c r="N64" s="762"/>
      <c r="O64" s="1157"/>
      <c r="P64" s="502"/>
      <c r="Q64" s="503"/>
    </row>
    <row r="65" spans="1:17" s="507" customFormat="1" ht="15">
      <c r="A65" s="2707" t="s">
        <v>2771</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6"/>
    </row>
    <row r="66" spans="1:17" s="116" customFormat="1" ht="30.75" customHeight="1">
      <c r="A66" s="2712" t="s">
        <v>2791</v>
      </c>
      <c r="B66" s="331" t="str">
        <f>"北京市平均增长率"&amp;TEXT(基准地价修正!P24,"0.00%")</f>
        <v>北京市平均增长率1.40%</v>
      </c>
      <c r="C66" s="602">
        <v>100</v>
      </c>
      <c r="D66" s="594"/>
      <c r="E66" s="594"/>
      <c r="F66" s="594"/>
      <c r="G66" s="594"/>
      <c r="H66" s="594"/>
      <c r="I66" s="594"/>
      <c r="J66" s="594"/>
      <c r="K66" s="594"/>
      <c r="L66" s="594"/>
      <c r="M66" s="1565"/>
      <c r="N66" s="1565"/>
      <c r="O66" s="1567"/>
      <c r="P66" s="503"/>
    </row>
    <row r="67" spans="1:17" s="116" customFormat="1" ht="15.75" thickBot="1">
      <c r="A67" s="514" t="s">
        <v>2574</v>
      </c>
      <c r="B67" s="515"/>
      <c r="C67" s="516"/>
      <c r="D67" s="517"/>
      <c r="E67" s="517"/>
      <c r="F67" s="517"/>
      <c r="G67" s="517"/>
      <c r="H67" s="517"/>
      <c r="I67" s="517"/>
      <c r="J67" s="517"/>
      <c r="K67" s="517"/>
      <c r="L67" s="517"/>
      <c r="M67" s="518"/>
      <c r="N67" s="518"/>
      <c r="O67" s="519"/>
      <c r="P67" s="503"/>
      <c r="Q67" s="503"/>
    </row>
    <row r="68" spans="1:17" s="116" customFormat="1" ht="15">
      <c r="A68" s="520" t="s">
        <v>2539</v>
      </c>
      <c r="B68" s="509"/>
      <c r="C68" s="521" t="s">
        <v>2641</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2577</v>
      </c>
      <c r="B70" s="527" t="s">
        <v>2543</v>
      </c>
      <c r="C70" s="529"/>
      <c r="D70" s="529"/>
      <c r="E70" s="529"/>
      <c r="F70" s="529"/>
      <c r="G70" s="529"/>
      <c r="H70" s="529"/>
      <c r="I70" s="529"/>
      <c r="J70" s="529"/>
      <c r="K70" s="530"/>
      <c r="L70" s="531"/>
      <c r="M70" s="532"/>
      <c r="N70" s="1150"/>
      <c r="O70" s="1150"/>
      <c r="P70" s="44"/>
      <c r="Q70" s="503"/>
    </row>
    <row r="71" spans="1:17" ht="15.75" thickBot="1">
      <c r="A71" s="533"/>
      <c r="B71" s="534"/>
      <c r="C71" s="535"/>
      <c r="D71" s="535"/>
      <c r="E71" s="535"/>
      <c r="F71" s="535"/>
      <c r="G71" s="535"/>
      <c r="H71" s="535"/>
      <c r="I71" s="535"/>
      <c r="J71" s="535"/>
      <c r="K71" s="535"/>
      <c r="L71" s="535"/>
      <c r="M71" s="536"/>
      <c r="N71" s="1151"/>
      <c r="O71" s="1151"/>
      <c r="P71" s="44"/>
      <c r="Q71" s="503"/>
    </row>
    <row r="72" spans="1:17" ht="27.75" thickTop="1">
      <c r="A72" s="533"/>
      <c r="B72" s="537" t="s">
        <v>2546</v>
      </c>
      <c r="C72" s="538"/>
      <c r="D72" s="538"/>
      <c r="E72" s="538"/>
      <c r="F72" s="538"/>
      <c r="G72" s="538"/>
      <c r="H72" s="538"/>
      <c r="I72" s="538"/>
      <c r="J72" s="538"/>
      <c r="K72" s="539"/>
      <c r="L72" s="540"/>
      <c r="M72" s="541"/>
      <c r="N72" s="1150"/>
      <c r="O72" s="1150"/>
      <c r="P72" s="44"/>
      <c r="Q72" s="503"/>
    </row>
    <row r="73" spans="1:17" ht="15.75" thickBot="1">
      <c r="A73" s="533"/>
      <c r="B73" s="542"/>
      <c r="C73" s="543"/>
      <c r="D73" s="543"/>
      <c r="E73" s="543"/>
      <c r="F73" s="543"/>
      <c r="G73" s="543"/>
      <c r="H73" s="543"/>
      <c r="I73" s="543"/>
      <c r="J73" s="543"/>
      <c r="K73" s="543"/>
      <c r="L73" s="543"/>
      <c r="M73" s="544"/>
      <c r="N73" s="1151"/>
      <c r="O73" s="1151"/>
      <c r="P73" s="44"/>
      <c r="Q73" s="503"/>
    </row>
    <row r="74" spans="1:17" ht="15.75" thickTop="1">
      <c r="A74" s="533"/>
      <c r="B74" s="545" t="s">
        <v>2547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ht="15">
      <c r="A75" s="533"/>
      <c r="B75" s="547"/>
      <c r="C75" s="548"/>
      <c r="D75" s="548"/>
      <c r="E75" s="548"/>
      <c r="F75" s="548"/>
      <c r="G75" s="548"/>
      <c r="H75" s="548"/>
      <c r="I75" s="548"/>
      <c r="J75" s="548"/>
      <c r="K75" s="549"/>
      <c r="L75" s="550"/>
      <c r="M75" s="551"/>
      <c r="N75" s="1150"/>
      <c r="O75" s="1150"/>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2548</v>
      </c>
      <c r="B83" s="527" t="s">
        <v>2694</v>
      </c>
      <c r="C83" s="572" t="s">
        <v>2586</v>
      </c>
      <c r="D83" s="572" t="s">
        <v>2587</v>
      </c>
      <c r="E83" s="572" t="s">
        <v>2588</v>
      </c>
      <c r="F83" s="572" t="s">
        <v>2589</v>
      </c>
      <c r="G83" s="572" t="s">
        <v>2590</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75" thickTop="1">
      <c r="A85" s="533"/>
      <c r="B85" s="537" t="s">
        <v>2591</v>
      </c>
      <c r="C85" s="577" t="s">
        <v>2586</v>
      </c>
      <c r="D85" s="577" t="s">
        <v>2587</v>
      </c>
      <c r="E85" s="577" t="s">
        <v>2588</v>
      </c>
      <c r="F85" s="577" t="s">
        <v>2589</v>
      </c>
      <c r="G85" s="577" t="s">
        <v>2590</v>
      </c>
      <c r="H85" s="538"/>
      <c r="I85" s="538"/>
      <c r="J85" s="538"/>
      <c r="K85" s="539"/>
      <c r="L85" s="540"/>
      <c r="M85" s="541"/>
      <c r="N85" s="1150"/>
      <c r="O85" s="1150"/>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15.75" thickTop="1">
      <c r="A87" s="578"/>
      <c r="B87" s="537" t="s">
        <v>2774</v>
      </c>
      <c r="C87" s="572" t="s">
        <v>2586</v>
      </c>
      <c r="D87" s="572" t="s">
        <v>2587</v>
      </c>
      <c r="E87" s="572" t="s">
        <v>2588</v>
      </c>
      <c r="F87" s="572" t="s">
        <v>2589</v>
      </c>
      <c r="G87" s="572" t="s">
        <v>2590</v>
      </c>
      <c r="H87" s="577"/>
      <c r="I87" s="577"/>
      <c r="J87" s="577"/>
      <c r="K87" s="577"/>
      <c r="L87" s="697"/>
      <c r="M87" s="621"/>
      <c r="N87" s="1149"/>
      <c r="O87" s="1149"/>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7.75" thickTop="1">
      <c r="A89" s="578"/>
      <c r="B89" s="537" t="s">
        <v>2775</v>
      </c>
      <c r="C89" s="572" t="s">
        <v>2586</v>
      </c>
      <c r="D89" s="572" t="s">
        <v>2587</v>
      </c>
      <c r="E89" s="572" t="s">
        <v>2588</v>
      </c>
      <c r="F89" s="572" t="s">
        <v>2589</v>
      </c>
      <c r="G89" s="572" t="s">
        <v>2590</v>
      </c>
      <c r="H89" s="577"/>
      <c r="I89" s="577"/>
      <c r="J89" s="577"/>
      <c r="K89" s="577"/>
      <c r="L89" s="577"/>
      <c r="M89" s="621"/>
      <c r="N89" s="1149"/>
      <c r="O89" s="1149"/>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75" thickTop="1">
      <c r="A91" s="552"/>
      <c r="B91" s="537" t="s">
        <v>2643</v>
      </c>
      <c r="C91" s="572" t="s">
        <v>2586</v>
      </c>
      <c r="D91" s="572" t="s">
        <v>2587</v>
      </c>
      <c r="E91" s="572" t="s">
        <v>2588</v>
      </c>
      <c r="F91" s="572" t="s">
        <v>2589</v>
      </c>
      <c r="G91" s="572" t="s">
        <v>2590</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2792</v>
      </c>
      <c r="C93" s="659" t="s">
        <v>2664</v>
      </c>
      <c r="D93" s="659" t="s">
        <v>2665</v>
      </c>
      <c r="E93" s="659" t="s">
        <v>2666</v>
      </c>
      <c r="F93" s="659" t="s">
        <v>2667</v>
      </c>
      <c r="G93" s="659" t="s">
        <v>2668</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2776</v>
      </c>
      <c r="D95" s="538" t="s">
        <v>2777</v>
      </c>
      <c r="E95" s="538" t="s">
        <v>2778</v>
      </c>
      <c r="F95" s="538" t="s">
        <v>2779</v>
      </c>
      <c r="G95" s="538"/>
      <c r="H95" s="538"/>
      <c r="I95" s="538"/>
      <c r="J95" s="538"/>
      <c r="K95" s="539"/>
      <c r="L95" s="540"/>
      <c r="M95" s="541"/>
      <c r="N95" s="1150"/>
      <c r="O95" s="1150"/>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7.75" thickTop="1">
      <c r="A97" s="533"/>
      <c r="B97" s="537" t="s">
        <v>2680</v>
      </c>
      <c r="C97" s="553"/>
      <c r="D97" s="553"/>
      <c r="E97" s="553"/>
      <c r="F97" s="553"/>
      <c r="G97" s="553"/>
      <c r="H97" s="582"/>
      <c r="I97" s="582"/>
      <c r="J97" s="582"/>
      <c r="K97" s="583"/>
      <c r="L97" s="584"/>
      <c r="M97" s="585"/>
      <c r="N97" s="1150"/>
      <c r="O97" s="1150"/>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75" thickTop="1">
      <c r="A99" s="533"/>
      <c r="B99" s="537" t="s">
        <v>2739</v>
      </c>
      <c r="C99" s="582"/>
      <c r="D99" s="582"/>
      <c r="E99" s="582"/>
      <c r="F99" s="582"/>
      <c r="G99" s="582"/>
      <c r="H99" s="582"/>
      <c r="I99" s="582"/>
      <c r="J99" s="582"/>
      <c r="K99" s="583"/>
      <c r="L99" s="584"/>
      <c r="M99" s="585"/>
      <c r="N99" s="1150"/>
      <c r="O99" s="1150"/>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5.75" thickTop="1">
      <c r="A101" s="533"/>
      <c r="B101" s="545">
        <f>B31</f>
        <v>111</v>
      </c>
      <c r="C101" s="553"/>
      <c r="D101" s="553"/>
      <c r="E101" s="553"/>
      <c r="F101" s="553"/>
      <c r="G101" s="586"/>
      <c r="H101" s="586"/>
      <c r="I101" s="586"/>
      <c r="J101" s="586"/>
      <c r="K101" s="587"/>
      <c r="L101" s="588"/>
      <c r="M101" s="589"/>
      <c r="N101" s="1150"/>
      <c r="O101" s="1150"/>
      <c r="P101" s="44"/>
      <c r="Q101" s="503"/>
    </row>
    <row r="102" spans="1:17" ht="15.75" thickBot="1">
      <c r="A102" s="533"/>
      <c r="B102" s="568"/>
      <c r="C102" s="559"/>
      <c r="D102" s="535"/>
      <c r="E102" s="535"/>
      <c r="F102" s="535"/>
      <c r="G102" s="590"/>
      <c r="H102" s="590"/>
      <c r="I102" s="590"/>
      <c r="J102" s="590"/>
      <c r="K102" s="590"/>
      <c r="L102" s="590"/>
      <c r="M102" s="591"/>
      <c r="N102" s="1151"/>
      <c r="O102" s="1151"/>
      <c r="P102" s="44"/>
      <c r="Q102" s="503"/>
    </row>
    <row r="103" spans="1:17" ht="15" thickTop="1">
      <c r="A103" s="674"/>
      <c r="B103" s="537">
        <f>B32</f>
        <v>111</v>
      </c>
      <c r="C103" s="553"/>
      <c r="D103" s="553"/>
      <c r="E103" s="553"/>
      <c r="F103" s="553"/>
      <c r="G103" s="582"/>
      <c r="H103" s="582"/>
      <c r="I103" s="582"/>
      <c r="J103" s="582"/>
      <c r="K103" s="583"/>
      <c r="L103" s="584"/>
      <c r="M103" s="585"/>
      <c r="N103" s="1150"/>
      <c r="O103" s="1150"/>
      <c r="P103" s="44"/>
      <c r="Q103" s="503"/>
    </row>
    <row r="104" spans="1:17" ht="15.75" thickBot="1">
      <c r="A104" s="533"/>
      <c r="B104" s="542"/>
      <c r="C104" s="559"/>
      <c r="D104" s="559"/>
      <c r="E104" s="559"/>
      <c r="F104" s="559"/>
      <c r="G104" s="535"/>
      <c r="H104" s="535"/>
      <c r="I104" s="535"/>
      <c r="J104" s="535"/>
      <c r="K104" s="535"/>
      <c r="L104" s="535"/>
      <c r="M104" s="536"/>
      <c r="N104" s="1151"/>
      <c r="O104" s="1151"/>
      <c r="P104" s="44"/>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2552</v>
      </c>
      <c r="B107" s="527" t="s">
        <v>2780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4"/>
      <c r="Q107" s="503"/>
    </row>
    <row r="108" spans="1:17" ht="15">
      <c r="A108" s="533"/>
      <c r="B108" s="545"/>
      <c r="C108" s="594"/>
      <c r="D108" s="594"/>
      <c r="E108" s="594"/>
      <c r="F108" s="594"/>
      <c r="G108" s="594"/>
      <c r="H108" s="594"/>
      <c r="I108" s="594"/>
      <c r="J108" s="595"/>
      <c r="K108" s="595"/>
      <c r="L108" s="596"/>
      <c r="M108" s="597"/>
      <c r="N108" s="1150"/>
      <c r="O108" s="1150"/>
      <c r="P108" s="44"/>
      <c r="Q108" s="503"/>
    </row>
    <row r="109" spans="1:17" ht="15.75"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2781</v>
      </c>
      <c r="C110" s="582"/>
      <c r="D110" s="582"/>
      <c r="E110" s="582"/>
      <c r="F110" s="582"/>
      <c r="G110" s="582"/>
      <c r="H110" s="582"/>
      <c r="I110" s="582"/>
      <c r="J110" s="582"/>
      <c r="K110" s="583"/>
      <c r="L110" s="584"/>
      <c r="M110" s="585"/>
      <c r="N110" s="1150"/>
      <c r="O110" s="1150"/>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2783</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2784</v>
      </c>
      <c r="C114" s="553"/>
      <c r="D114" s="553"/>
      <c r="E114" s="582"/>
      <c r="F114" s="582"/>
      <c r="G114" s="582"/>
      <c r="H114" s="582"/>
      <c r="I114" s="582"/>
      <c r="J114" s="582"/>
      <c r="K114" s="583"/>
      <c r="L114" s="584"/>
      <c r="M114" s="585"/>
      <c r="N114" s="1150"/>
      <c r="O114" s="1150"/>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5" thickTop="1">
      <c r="A116" s="598"/>
      <c r="B116" s="537">
        <f>B38</f>
        <v>111</v>
      </c>
      <c r="C116" s="553"/>
      <c r="D116" s="553"/>
      <c r="E116" s="553"/>
      <c r="F116" s="553"/>
      <c r="G116" s="553"/>
      <c r="H116" s="582"/>
      <c r="I116" s="582"/>
      <c r="J116" s="582"/>
      <c r="K116" s="583"/>
      <c r="L116" s="584"/>
      <c r="M116" s="585"/>
      <c r="N116" s="1150"/>
      <c r="O116" s="1150"/>
      <c r="P116" s="44"/>
      <c r="Q116" s="503"/>
    </row>
    <row r="117" spans="1:17" ht="15.75" thickBot="1">
      <c r="A117" s="533"/>
      <c r="B117" s="542"/>
      <c r="C117" s="559"/>
      <c r="D117" s="535"/>
      <c r="E117" s="535"/>
      <c r="F117" s="535"/>
      <c r="G117" s="535"/>
      <c r="H117" s="535"/>
      <c r="I117" s="535"/>
      <c r="J117" s="535"/>
      <c r="K117" s="535"/>
      <c r="L117" s="535"/>
      <c r="M117" s="536"/>
      <c r="N117" s="1151"/>
      <c r="O117" s="1151"/>
      <c r="P117" s="44"/>
      <c r="Q117" s="503"/>
    </row>
    <row r="118" spans="1:17" ht="15" thickTop="1">
      <c r="A118" s="598"/>
      <c r="B118" s="537">
        <f>B39</f>
        <v>111</v>
      </c>
      <c r="C118" s="553"/>
      <c r="D118" s="553"/>
      <c r="E118" s="553"/>
      <c r="F118" s="553"/>
      <c r="G118" s="582"/>
      <c r="H118" s="582"/>
      <c r="I118" s="582"/>
      <c r="J118" s="582"/>
      <c r="K118" s="583"/>
      <c r="L118" s="584"/>
      <c r="M118" s="585"/>
      <c r="N118" s="1150"/>
      <c r="O118" s="1150"/>
      <c r="P118" s="44"/>
      <c r="Q118" s="503"/>
    </row>
    <row r="119" spans="1:17" ht="15.75" thickBot="1">
      <c r="A119" s="533"/>
      <c r="B119" s="542"/>
      <c r="C119" s="559"/>
      <c r="D119" s="559"/>
      <c r="E119" s="559"/>
      <c r="F119" s="559"/>
      <c r="G119" s="535"/>
      <c r="H119" s="535"/>
      <c r="I119" s="535"/>
      <c r="J119" s="535"/>
      <c r="K119" s="535"/>
      <c r="L119" s="535"/>
      <c r="M119" s="536"/>
      <c r="N119" s="1151"/>
      <c r="O119" s="1151"/>
      <c r="P119" s="44"/>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73" priority="14" stopIfTrue="1" operator="containsText" text="超过">
      <formula>NOT(ISERROR(SEARCH("超过",F46)))</formula>
    </cfRule>
  </conditionalFormatting>
  <conditionalFormatting sqref="J48">
    <cfRule type="containsText" dxfId="72" priority="13" stopIfTrue="1" operator="containsText" text="超过">
      <formula>NOT(ISERROR(SEARCH("超过",J48)))</formula>
    </cfRule>
  </conditionalFormatting>
  <conditionalFormatting sqref="H48">
    <cfRule type="containsText" dxfId="71" priority="12" stopIfTrue="1" operator="containsText" text="超过">
      <formula>NOT(ISERROR(SEARCH("超过",H48)))</formula>
    </cfRule>
  </conditionalFormatting>
  <conditionalFormatting sqref="F48">
    <cfRule type="containsText" dxfId="70" priority="11" stopIfTrue="1" operator="containsText" text="超过">
      <formula>NOT(ISERROR(SEARCH("超过",F48)))</formula>
    </cfRule>
  </conditionalFormatting>
  <conditionalFormatting sqref="F47 H47 J47">
    <cfRule type="containsText" dxfId="69" priority="10" stopIfTrue="1" operator="containsText" text="超过">
      <formula>NOT(ISERROR(SEARCH("超过",F47)))</formula>
    </cfRule>
  </conditionalFormatting>
  <conditionalFormatting sqref="E46">
    <cfRule type="expression" dxfId="68" priority="9" stopIfTrue="1">
      <formula>$F$46="超过30%"</formula>
    </cfRule>
  </conditionalFormatting>
  <conditionalFormatting sqref="G48">
    <cfRule type="expression" dxfId="67" priority="8" stopIfTrue="1">
      <formula>$H$48="超过30%"</formula>
    </cfRule>
  </conditionalFormatting>
  <conditionalFormatting sqref="E48">
    <cfRule type="expression" dxfId="66" priority="6" stopIfTrue="1">
      <formula>$F$48="超过30%"</formula>
    </cfRule>
  </conditionalFormatting>
  <conditionalFormatting sqref="G46">
    <cfRule type="expression" dxfId="65" priority="5" stopIfTrue="1">
      <formula>$H$46="超过30%"</formula>
    </cfRule>
  </conditionalFormatting>
  <conditionalFormatting sqref="G47">
    <cfRule type="expression" dxfId="64" priority="4" stopIfTrue="1">
      <formula>$H$47="超过20%"</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conditionalFormatting sqref="E47">
    <cfRule type="expression" dxfId="6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3037</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307" t="s">
        <v>183</v>
      </c>
      <c r="B18" s="880" t="s">
        <v>560</v>
      </c>
      <c r="C18" s="881" t="s">
        <v>561</v>
      </c>
      <c r="D18" s="882"/>
      <c r="E18" s="880">
        <v>1</v>
      </c>
      <c r="F18" s="883" t="s">
        <v>562</v>
      </c>
      <c r="G18" s="884"/>
      <c r="H18" s="876"/>
      <c r="I18" s="876"/>
    </row>
    <row r="19" spans="1:9" s="885" customFormat="1" ht="19.5" customHeight="1">
      <c r="A19" s="3307"/>
      <c r="B19" s="3307" t="s">
        <v>563</v>
      </c>
      <c r="C19" s="881" t="s">
        <v>564</v>
      </c>
      <c r="D19" s="882"/>
      <c r="E19" s="880">
        <v>0.9</v>
      </c>
      <c r="F19" s="883" t="s">
        <v>565</v>
      </c>
      <c r="G19" s="884"/>
      <c r="H19" s="876"/>
      <c r="I19" s="876"/>
    </row>
    <row r="20" spans="1:9" s="885" customFormat="1" ht="19.5" customHeight="1">
      <c r="A20" s="3307"/>
      <c r="B20" s="3307"/>
      <c r="C20" s="881" t="s">
        <v>566</v>
      </c>
      <c r="D20" s="882"/>
      <c r="E20" s="880">
        <v>1.1000000000000001</v>
      </c>
      <c r="F20" s="883" t="s">
        <v>567</v>
      </c>
      <c r="G20" s="884"/>
      <c r="H20" s="876"/>
      <c r="I20" s="876"/>
    </row>
    <row r="21" spans="1:9" s="885" customFormat="1" ht="19.5" customHeight="1">
      <c r="A21" s="3307"/>
      <c r="B21" s="3307"/>
      <c r="C21" s="881" t="s">
        <v>568</v>
      </c>
      <c r="D21" s="882"/>
      <c r="E21" s="880">
        <v>0.8</v>
      </c>
      <c r="F21" s="883" t="s">
        <v>569</v>
      </c>
      <c r="G21" s="884"/>
      <c r="H21" s="876"/>
      <c r="I21" s="876"/>
    </row>
    <row r="22" spans="1:9" s="885" customFormat="1" ht="19.5" customHeight="1">
      <c r="A22" s="3307"/>
      <c r="B22" s="3307"/>
      <c r="C22" s="881" t="s">
        <v>570</v>
      </c>
      <c r="D22" s="882"/>
      <c r="E22" s="880">
        <v>0.5</v>
      </c>
      <c r="F22" s="883"/>
      <c r="G22" s="884"/>
      <c r="H22" s="876"/>
      <c r="I22" s="876"/>
    </row>
    <row r="23" spans="1:9" s="885" customFormat="1" ht="19.5" customHeight="1">
      <c r="A23" s="3307" t="s">
        <v>184</v>
      </c>
      <c r="B23" s="880" t="s">
        <v>560</v>
      </c>
      <c r="C23" s="881" t="s">
        <v>571</v>
      </c>
      <c r="D23" s="882"/>
      <c r="E23" s="880">
        <v>1</v>
      </c>
      <c r="F23" s="883" t="s">
        <v>572</v>
      </c>
      <c r="G23" s="884"/>
      <c r="H23" s="876"/>
      <c r="I23" s="876"/>
    </row>
    <row r="24" spans="1:9" s="885" customFormat="1" ht="19.5" customHeight="1">
      <c r="A24" s="3307"/>
      <c r="B24" s="3307" t="s">
        <v>563</v>
      </c>
      <c r="C24" s="881" t="s">
        <v>573</v>
      </c>
      <c r="D24" s="882"/>
      <c r="E24" s="880">
        <v>0.5</v>
      </c>
      <c r="F24" s="883"/>
      <c r="G24" s="884"/>
      <c r="H24" s="876"/>
      <c r="I24" s="876"/>
    </row>
    <row r="25" spans="1:9" s="885" customFormat="1" ht="19.5" customHeight="1">
      <c r="A25" s="3307"/>
      <c r="B25" s="3307"/>
      <c r="C25" s="881" t="s">
        <v>574</v>
      </c>
      <c r="D25" s="882"/>
      <c r="E25" s="880">
        <v>1.1000000000000001</v>
      </c>
      <c r="F25" s="883"/>
      <c r="G25" s="884"/>
      <c r="H25" s="876"/>
      <c r="I25" s="876"/>
    </row>
    <row r="26" spans="1:9" s="885" customFormat="1" ht="19.5" customHeight="1">
      <c r="A26" s="3307"/>
      <c r="B26" s="3307"/>
      <c r="C26" s="881" t="s">
        <v>575</v>
      </c>
      <c r="D26" s="882"/>
      <c r="E26" s="880">
        <v>1.1000000000000001</v>
      </c>
      <c r="F26" s="883"/>
      <c r="G26" s="884"/>
      <c r="H26" s="876"/>
      <c r="I26" s="876"/>
    </row>
    <row r="27" spans="1:9" s="885" customFormat="1" ht="19.5" customHeight="1">
      <c r="A27" s="3307"/>
      <c r="B27" s="3307"/>
      <c r="C27" s="881" t="s">
        <v>576</v>
      </c>
      <c r="D27" s="882"/>
      <c r="E27" s="880">
        <v>0.9</v>
      </c>
      <c r="F27" s="883" t="s">
        <v>577</v>
      </c>
      <c r="G27" s="884"/>
      <c r="H27" s="876"/>
      <c r="I27" s="876"/>
    </row>
    <row r="28" spans="1:9" s="885" customFormat="1" ht="19.5" customHeight="1">
      <c r="A28" s="3307"/>
      <c r="B28" s="3307"/>
      <c r="C28" s="881" t="s">
        <v>578</v>
      </c>
      <c r="D28" s="882"/>
      <c r="E28" s="880">
        <v>0.9</v>
      </c>
      <c r="F28" s="883" t="s">
        <v>579</v>
      </c>
      <c r="G28" s="884"/>
      <c r="H28" s="876"/>
      <c r="I28" s="876"/>
    </row>
    <row r="29" spans="1:9" s="885" customFormat="1" ht="19.5" customHeight="1">
      <c r="A29" s="3307"/>
      <c r="B29" s="3307"/>
      <c r="C29" s="881" t="s">
        <v>580</v>
      </c>
      <c r="D29" s="882"/>
      <c r="E29" s="880">
        <v>0.9</v>
      </c>
      <c r="F29" s="883" t="s">
        <v>581</v>
      </c>
      <c r="G29" s="884"/>
      <c r="H29" s="876"/>
      <c r="I29" s="876"/>
    </row>
    <row r="30" spans="1:9" s="885" customFormat="1" ht="19.5" customHeight="1">
      <c r="A30" s="3307"/>
      <c r="B30" s="3307"/>
      <c r="C30" s="881" t="s">
        <v>582</v>
      </c>
      <c r="D30" s="882"/>
      <c r="E30" s="880">
        <v>0.9</v>
      </c>
      <c r="F30" s="883" t="s">
        <v>583</v>
      </c>
      <c r="G30" s="884"/>
      <c r="H30" s="876"/>
      <c r="I30" s="876"/>
    </row>
    <row r="31" spans="1:9" s="885" customFormat="1" ht="19.5" customHeight="1">
      <c r="A31" s="3307"/>
      <c r="B31" s="3307"/>
      <c r="C31" s="881" t="s">
        <v>584</v>
      </c>
      <c r="D31" s="882"/>
      <c r="E31" s="880">
        <v>0.8</v>
      </c>
      <c r="F31" s="883" t="s">
        <v>585</v>
      </c>
      <c r="G31" s="884"/>
      <c r="H31" s="876"/>
      <c r="I31" s="876"/>
    </row>
    <row r="32" spans="1:9" s="885" customFormat="1" ht="19.5" customHeight="1">
      <c r="A32" s="3307"/>
      <c r="B32" s="3307"/>
      <c r="C32" s="881" t="s">
        <v>586</v>
      </c>
      <c r="D32" s="882"/>
      <c r="E32" s="880">
        <v>0.8</v>
      </c>
      <c r="F32" s="883" t="s">
        <v>587</v>
      </c>
      <c r="G32" s="884"/>
      <c r="H32" s="876"/>
      <c r="I32" s="876"/>
    </row>
    <row r="33" spans="1:9" s="885" customFormat="1" ht="19.5" customHeight="1">
      <c r="A33" s="3307" t="s">
        <v>185</v>
      </c>
      <c r="B33" s="880" t="s">
        <v>560</v>
      </c>
      <c r="C33" s="881" t="s">
        <v>588</v>
      </c>
      <c r="D33" s="882"/>
      <c r="E33" s="880">
        <v>1</v>
      </c>
      <c r="F33" s="883" t="s">
        <v>589</v>
      </c>
      <c r="G33" s="884"/>
      <c r="H33" s="876"/>
      <c r="I33" s="876"/>
    </row>
    <row r="34" spans="1:9" s="885" customFormat="1" ht="19.5" customHeight="1">
      <c r="A34" s="3307"/>
      <c r="B34" s="880" t="s">
        <v>563</v>
      </c>
      <c r="C34" s="881" t="s">
        <v>590</v>
      </c>
      <c r="D34" s="882"/>
      <c r="E34" s="880">
        <v>1.5</v>
      </c>
      <c r="F34" s="883" t="s">
        <v>591</v>
      </c>
      <c r="G34" s="884"/>
      <c r="H34" s="876"/>
      <c r="I34" s="876"/>
    </row>
    <row r="35" spans="1:9" s="885" customFormat="1" ht="19.5" customHeight="1">
      <c r="A35" s="3307" t="s">
        <v>186</v>
      </c>
      <c r="B35" s="880" t="s">
        <v>560</v>
      </c>
      <c r="C35" s="881" t="s">
        <v>592</v>
      </c>
      <c r="D35" s="882"/>
      <c r="E35" s="880">
        <v>1</v>
      </c>
      <c r="F35" s="883" t="s">
        <v>593</v>
      </c>
      <c r="G35" s="884"/>
      <c r="H35" s="876"/>
      <c r="I35" s="876"/>
    </row>
    <row r="36" spans="1:9" s="885" customFormat="1" ht="19.5" customHeight="1">
      <c r="A36" s="3307"/>
      <c r="B36" s="3307" t="s">
        <v>563</v>
      </c>
      <c r="C36" s="881" t="s">
        <v>594</v>
      </c>
      <c r="D36" s="882"/>
      <c r="E36" s="880">
        <v>1</v>
      </c>
      <c r="F36" s="883" t="s">
        <v>595</v>
      </c>
      <c r="G36" s="884"/>
      <c r="H36" s="876"/>
      <c r="I36" s="876"/>
    </row>
    <row r="37" spans="1:9" s="885" customFormat="1" ht="19.5" customHeight="1">
      <c r="A37" s="3307"/>
      <c r="B37" s="3307"/>
      <c r="C37" s="881" t="s">
        <v>596</v>
      </c>
      <c r="D37" s="882"/>
      <c r="E37" s="880">
        <v>1.5</v>
      </c>
      <c r="F37" s="883" t="s">
        <v>597</v>
      </c>
      <c r="G37" s="884"/>
      <c r="H37" s="876"/>
      <c r="I37" s="876"/>
    </row>
    <row r="38" spans="1:9" s="885" customFormat="1" ht="19.5" customHeight="1">
      <c r="A38" s="3307"/>
      <c r="B38" s="3307"/>
      <c r="C38" s="881" t="s">
        <v>598</v>
      </c>
      <c r="D38" s="882"/>
      <c r="E38" s="880">
        <v>1</v>
      </c>
      <c r="F38" s="883" t="s">
        <v>599</v>
      </c>
      <c r="G38" s="884"/>
      <c r="H38" s="876"/>
      <c r="I38" s="876"/>
    </row>
    <row r="39" spans="1:9" s="885" customFormat="1" ht="19.5" customHeight="1">
      <c r="A39" s="3307"/>
      <c r="B39" s="3307"/>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307" t="s">
        <v>614</v>
      </c>
      <c r="C61" s="816" t="s">
        <v>615</v>
      </c>
      <c r="D61" s="816" t="s">
        <v>616</v>
      </c>
      <c r="E61" s="893">
        <v>0.5</v>
      </c>
      <c r="F61" s="880">
        <v>80</v>
      </c>
    </row>
    <row r="62" spans="1:8" s="876" customFormat="1" ht="24">
      <c r="A62" s="880">
        <v>2</v>
      </c>
      <c r="B62" s="3307"/>
      <c r="C62" s="816" t="s">
        <v>617</v>
      </c>
      <c r="D62" s="816" t="s">
        <v>618</v>
      </c>
      <c r="E62" s="893">
        <v>0.5</v>
      </c>
      <c r="F62" s="880">
        <v>80</v>
      </c>
    </row>
    <row r="63" spans="1:8" s="876" customFormat="1" ht="36">
      <c r="A63" s="880">
        <v>3</v>
      </c>
      <c r="B63" s="3307"/>
      <c r="C63" s="816" t="s">
        <v>619</v>
      </c>
      <c r="D63" s="816" t="s">
        <v>620</v>
      </c>
      <c r="E63" s="893">
        <v>0.5</v>
      </c>
      <c r="F63" s="880">
        <v>80</v>
      </c>
    </row>
    <row r="64" spans="1:8" s="876" customFormat="1" ht="36">
      <c r="A64" s="880">
        <v>4</v>
      </c>
      <c r="B64" s="3307"/>
      <c r="C64" s="816" t="s">
        <v>621</v>
      </c>
      <c r="D64" s="816" t="s">
        <v>622</v>
      </c>
      <c r="E64" s="893">
        <v>0.4</v>
      </c>
      <c r="F64" s="880">
        <v>60</v>
      </c>
    </row>
    <row r="65" spans="1:6" s="876" customFormat="1" ht="36">
      <c r="A65" s="880">
        <v>5</v>
      </c>
      <c r="B65" s="3307"/>
      <c r="C65" s="816" t="s">
        <v>623</v>
      </c>
      <c r="D65" s="816" t="s">
        <v>624</v>
      </c>
      <c r="E65" s="893">
        <v>0.2</v>
      </c>
      <c r="F65" s="880">
        <v>30</v>
      </c>
    </row>
    <row r="66" spans="1:6" s="876" customFormat="1" ht="36">
      <c r="A66" s="880">
        <v>6</v>
      </c>
      <c r="B66" s="3307"/>
      <c r="C66" s="816" t="s">
        <v>625</v>
      </c>
      <c r="D66" s="816" t="s">
        <v>626</v>
      </c>
      <c r="E66" s="893">
        <v>0.3</v>
      </c>
      <c r="F66" s="880">
        <v>50</v>
      </c>
    </row>
    <row r="67" spans="1:6" s="876" customFormat="1" ht="36">
      <c r="A67" s="880">
        <v>7</v>
      </c>
      <c r="B67" s="3307"/>
      <c r="C67" s="816" t="s">
        <v>627</v>
      </c>
      <c r="D67" s="816" t="s">
        <v>628</v>
      </c>
      <c r="E67" s="893">
        <v>0.2</v>
      </c>
      <c r="F67" s="880">
        <v>30</v>
      </c>
    </row>
    <row r="68" spans="1:6" s="876" customFormat="1" ht="36">
      <c r="A68" s="880">
        <v>8</v>
      </c>
      <c r="B68" s="3307"/>
      <c r="C68" s="816" t="s">
        <v>629</v>
      </c>
      <c r="D68" s="816" t="s">
        <v>630</v>
      </c>
      <c r="E68" s="893">
        <v>0.2</v>
      </c>
      <c r="F68" s="880">
        <v>30</v>
      </c>
    </row>
    <row r="69" spans="1:6" s="876" customFormat="1" ht="36">
      <c r="A69" s="880">
        <v>9</v>
      </c>
      <c r="B69" s="3307"/>
      <c r="C69" s="816" t="s">
        <v>631</v>
      </c>
      <c r="D69" s="816" t="s">
        <v>632</v>
      </c>
      <c r="E69" s="893">
        <v>0.2</v>
      </c>
      <c r="F69" s="880">
        <v>30</v>
      </c>
    </row>
    <row r="70" spans="1:6" s="876" customFormat="1" ht="48">
      <c r="A70" s="880">
        <v>10</v>
      </c>
      <c r="B70" s="3307"/>
      <c r="C70" s="816" t="s">
        <v>633</v>
      </c>
      <c r="D70" s="816" t="s">
        <v>634</v>
      </c>
      <c r="E70" s="893">
        <v>0.2</v>
      </c>
      <c r="F70" s="880">
        <v>30</v>
      </c>
    </row>
    <row r="71" spans="1:6" s="876" customFormat="1" ht="48">
      <c r="A71" s="880">
        <v>11</v>
      </c>
      <c r="B71" s="3307"/>
      <c r="C71" s="816" t="s">
        <v>635</v>
      </c>
      <c r="D71" s="816" t="s">
        <v>636</v>
      </c>
      <c r="E71" s="893">
        <v>0.2</v>
      </c>
      <c r="F71" s="880">
        <v>30</v>
      </c>
    </row>
    <row r="72" spans="1:6" s="876" customFormat="1" ht="36">
      <c r="A72" s="880">
        <v>12</v>
      </c>
      <c r="B72" s="3307"/>
      <c r="C72" s="816" t="s">
        <v>637</v>
      </c>
      <c r="D72" s="816" t="s">
        <v>638</v>
      </c>
      <c r="E72" s="893">
        <v>0.5</v>
      </c>
      <c r="F72" s="880">
        <v>80</v>
      </c>
    </row>
    <row r="73" spans="1:6" s="876" customFormat="1" ht="24">
      <c r="A73" s="880">
        <v>13</v>
      </c>
      <c r="B73" s="3307"/>
      <c r="C73" s="816" t="s">
        <v>639</v>
      </c>
      <c r="D73" s="816" t="s">
        <v>640</v>
      </c>
      <c r="E73" s="893">
        <v>0.4</v>
      </c>
      <c r="F73" s="880">
        <v>60</v>
      </c>
    </row>
    <row r="74" spans="1:6" s="876" customFormat="1" ht="24">
      <c r="A74" s="880">
        <v>14</v>
      </c>
      <c r="B74" s="3307"/>
      <c r="C74" s="816" t="s">
        <v>641</v>
      </c>
      <c r="D74" s="816" t="s">
        <v>642</v>
      </c>
      <c r="E74" s="893">
        <v>0.2</v>
      </c>
      <c r="F74" s="880">
        <v>30</v>
      </c>
    </row>
    <row r="75" spans="1:6" s="876" customFormat="1" ht="24">
      <c r="A75" s="880">
        <v>15</v>
      </c>
      <c r="B75" s="3307"/>
      <c r="C75" s="816" t="s">
        <v>643</v>
      </c>
      <c r="D75" s="816" t="s">
        <v>644</v>
      </c>
      <c r="E75" s="893">
        <v>0.2</v>
      </c>
      <c r="F75" s="880">
        <v>30</v>
      </c>
    </row>
    <row r="76" spans="1:6" s="876" customFormat="1" ht="24">
      <c r="A76" s="880">
        <v>16</v>
      </c>
      <c r="B76" s="3307" t="s">
        <v>645</v>
      </c>
      <c r="C76" s="816" t="s">
        <v>646</v>
      </c>
      <c r="D76" s="816" t="s">
        <v>647</v>
      </c>
      <c r="E76" s="893">
        <v>0.5</v>
      </c>
      <c r="F76" s="880">
        <v>80</v>
      </c>
    </row>
    <row r="77" spans="1:6" s="876" customFormat="1" ht="24">
      <c r="A77" s="880">
        <v>17</v>
      </c>
      <c r="B77" s="3307"/>
      <c r="C77" s="816" t="s">
        <v>648</v>
      </c>
      <c r="D77" s="816" t="s">
        <v>649</v>
      </c>
      <c r="E77" s="893">
        <v>0.5</v>
      </c>
      <c r="F77" s="880">
        <v>80</v>
      </c>
    </row>
    <row r="78" spans="1:6" s="876" customFormat="1" ht="24">
      <c r="A78" s="880">
        <v>18</v>
      </c>
      <c r="B78" s="3307"/>
      <c r="C78" s="816" t="s">
        <v>650</v>
      </c>
      <c r="D78" s="816" t="s">
        <v>651</v>
      </c>
      <c r="E78" s="893">
        <v>0.2</v>
      </c>
      <c r="F78" s="880">
        <v>30</v>
      </c>
    </row>
    <row r="79" spans="1:6" s="876" customFormat="1" ht="24">
      <c r="A79" s="880">
        <v>19</v>
      </c>
      <c r="B79" s="3307"/>
      <c r="C79" s="816" t="s">
        <v>652</v>
      </c>
      <c r="D79" s="816" t="s">
        <v>653</v>
      </c>
      <c r="E79" s="893">
        <v>0.5</v>
      </c>
      <c r="F79" s="880">
        <v>80</v>
      </c>
    </row>
    <row r="80" spans="1:6" s="876" customFormat="1" ht="36">
      <c r="A80" s="880">
        <v>20</v>
      </c>
      <c r="B80" s="3307"/>
      <c r="C80" s="816" t="s">
        <v>654</v>
      </c>
      <c r="D80" s="816" t="s">
        <v>655</v>
      </c>
      <c r="E80" s="893">
        <v>0.2</v>
      </c>
      <c r="F80" s="880">
        <v>30</v>
      </c>
    </row>
    <row r="81" spans="1:6" s="876" customFormat="1" ht="36">
      <c r="A81" s="880">
        <v>21</v>
      </c>
      <c r="B81" s="3307"/>
      <c r="C81" s="816" t="s">
        <v>656</v>
      </c>
      <c r="D81" s="816" t="s">
        <v>657</v>
      </c>
      <c r="E81" s="893">
        <v>0.2</v>
      </c>
      <c r="F81" s="880">
        <v>30</v>
      </c>
    </row>
    <row r="82" spans="1:6" s="876" customFormat="1" ht="48">
      <c r="A82" s="880">
        <v>22</v>
      </c>
      <c r="B82" s="3307"/>
      <c r="C82" s="816" t="s">
        <v>658</v>
      </c>
      <c r="D82" s="816" t="s">
        <v>659</v>
      </c>
      <c r="E82" s="893">
        <v>0.2</v>
      </c>
      <c r="F82" s="880">
        <v>30</v>
      </c>
    </row>
    <row r="83" spans="1:6" s="876" customFormat="1" ht="48">
      <c r="A83" s="880">
        <v>23</v>
      </c>
      <c r="B83" s="3307"/>
      <c r="C83" s="816" t="s">
        <v>660</v>
      </c>
      <c r="D83" s="816" t="s">
        <v>661</v>
      </c>
      <c r="E83" s="893">
        <v>0.2</v>
      </c>
      <c r="F83" s="880">
        <v>30</v>
      </c>
    </row>
    <row r="84" spans="1:6" s="876" customFormat="1" ht="36">
      <c r="A84" s="880">
        <v>24</v>
      </c>
      <c r="B84" s="3307"/>
      <c r="C84" s="816" t="s">
        <v>662</v>
      </c>
      <c r="D84" s="816" t="s">
        <v>663</v>
      </c>
      <c r="E84" s="893">
        <v>0.2</v>
      </c>
      <c r="F84" s="880">
        <v>30</v>
      </c>
    </row>
    <row r="85" spans="1:6" s="876" customFormat="1" ht="36">
      <c r="A85" s="880">
        <v>25</v>
      </c>
      <c r="B85" s="3307"/>
      <c r="C85" s="816" t="s">
        <v>664</v>
      </c>
      <c r="D85" s="816" t="s">
        <v>665</v>
      </c>
      <c r="E85" s="893">
        <v>0.5</v>
      </c>
      <c r="F85" s="880">
        <v>80</v>
      </c>
    </row>
    <row r="86" spans="1:6" s="876" customFormat="1" ht="36">
      <c r="A86" s="880">
        <v>26</v>
      </c>
      <c r="B86" s="3307"/>
      <c r="C86" s="816" t="s">
        <v>666</v>
      </c>
      <c r="D86" s="816" t="s">
        <v>667</v>
      </c>
      <c r="E86" s="893">
        <v>0.2</v>
      </c>
      <c r="F86" s="880">
        <v>30</v>
      </c>
    </row>
    <row r="87" spans="1:6" s="876" customFormat="1" ht="36">
      <c r="A87" s="880">
        <v>27</v>
      </c>
      <c r="B87" s="3307"/>
      <c r="C87" s="816" t="s">
        <v>668</v>
      </c>
      <c r="D87" s="816" t="s">
        <v>669</v>
      </c>
      <c r="E87" s="893">
        <v>0.2</v>
      </c>
      <c r="F87" s="880">
        <v>30</v>
      </c>
    </row>
    <row r="88" spans="1:6" s="876" customFormat="1" ht="36">
      <c r="A88" s="880">
        <v>28</v>
      </c>
      <c r="B88" s="3307"/>
      <c r="C88" s="816" t="s">
        <v>670</v>
      </c>
      <c r="D88" s="816" t="s">
        <v>671</v>
      </c>
      <c r="E88" s="893">
        <v>0.2</v>
      </c>
      <c r="F88" s="880">
        <v>30</v>
      </c>
    </row>
    <row r="89" spans="1:6" s="876" customFormat="1" ht="24">
      <c r="A89" s="880">
        <v>29</v>
      </c>
      <c r="B89" s="3307"/>
      <c r="C89" s="816" t="s">
        <v>672</v>
      </c>
      <c r="D89" s="816" t="s">
        <v>673</v>
      </c>
      <c r="E89" s="893">
        <v>0.2</v>
      </c>
      <c r="F89" s="880">
        <v>30</v>
      </c>
    </row>
    <row r="90" spans="1:6" s="876" customFormat="1" ht="24">
      <c r="A90" s="880">
        <v>30</v>
      </c>
      <c r="B90" s="3307"/>
      <c r="C90" s="816" t="s">
        <v>674</v>
      </c>
      <c r="D90" s="816" t="s">
        <v>675</v>
      </c>
      <c r="E90" s="893">
        <v>0.2</v>
      </c>
      <c r="F90" s="880">
        <v>30</v>
      </c>
    </row>
    <row r="91" spans="1:6" s="876" customFormat="1" ht="36">
      <c r="A91" s="880">
        <v>31</v>
      </c>
      <c r="B91" s="3307"/>
      <c r="C91" s="816" t="s">
        <v>676</v>
      </c>
      <c r="D91" s="816" t="s">
        <v>677</v>
      </c>
      <c r="E91" s="893">
        <v>0.2</v>
      </c>
      <c r="F91" s="880">
        <v>30</v>
      </c>
    </row>
    <row r="92" spans="1:6" s="876" customFormat="1" ht="24">
      <c r="A92" s="880">
        <v>32</v>
      </c>
      <c r="B92" s="3307" t="s">
        <v>678</v>
      </c>
      <c r="C92" s="880" t="s">
        <v>679</v>
      </c>
      <c r="D92" s="816" t="s">
        <v>680</v>
      </c>
      <c r="E92" s="893">
        <v>0.2</v>
      </c>
      <c r="F92" s="880">
        <v>30</v>
      </c>
    </row>
    <row r="93" spans="1:6" s="876" customFormat="1" ht="36">
      <c r="A93" s="880">
        <v>33</v>
      </c>
      <c r="B93" s="3307"/>
      <c r="C93" s="880" t="s">
        <v>681</v>
      </c>
      <c r="D93" s="816" t="s">
        <v>682</v>
      </c>
      <c r="E93" s="893">
        <v>0.2</v>
      </c>
      <c r="F93" s="880">
        <v>30</v>
      </c>
    </row>
    <row r="94" spans="1:6" s="876" customFormat="1" ht="48">
      <c r="A94" s="880">
        <v>34</v>
      </c>
      <c r="B94" s="3307"/>
      <c r="C94" s="880" t="s">
        <v>683</v>
      </c>
      <c r="D94" s="816" t="s">
        <v>684</v>
      </c>
      <c r="E94" s="893">
        <v>0.2</v>
      </c>
      <c r="F94" s="880">
        <v>30</v>
      </c>
    </row>
    <row r="95" spans="1:6" s="876" customFormat="1" ht="36">
      <c r="A95" s="880">
        <v>35</v>
      </c>
      <c r="B95" s="3307"/>
      <c r="C95" s="880" t="s">
        <v>685</v>
      </c>
      <c r="D95" s="816" t="s">
        <v>686</v>
      </c>
      <c r="E95" s="893">
        <v>0.2</v>
      </c>
      <c r="F95" s="880">
        <v>30</v>
      </c>
    </row>
    <row r="96" spans="1:6" s="876" customFormat="1" ht="48">
      <c r="A96" s="880">
        <v>36</v>
      </c>
      <c r="B96" s="3307"/>
      <c r="C96" s="816" t="s">
        <v>687</v>
      </c>
      <c r="D96" s="816" t="s">
        <v>688</v>
      </c>
      <c r="E96" s="893">
        <v>0.2</v>
      </c>
      <c r="F96" s="880">
        <v>30</v>
      </c>
    </row>
    <row r="97" spans="1:6" s="876" customFormat="1" ht="36">
      <c r="A97" s="880">
        <v>37</v>
      </c>
      <c r="B97" s="3307"/>
      <c r="C97" s="880" t="s">
        <v>689</v>
      </c>
      <c r="D97" s="816" t="s">
        <v>690</v>
      </c>
      <c r="E97" s="893">
        <v>0.2</v>
      </c>
      <c r="F97" s="880">
        <v>30</v>
      </c>
    </row>
    <row r="98" spans="1:6" s="876" customFormat="1" ht="36">
      <c r="A98" s="880">
        <v>38</v>
      </c>
      <c r="B98" s="3307"/>
      <c r="C98" s="880" t="s">
        <v>691</v>
      </c>
      <c r="D98" s="816" t="s">
        <v>692</v>
      </c>
      <c r="E98" s="893">
        <v>0.2</v>
      </c>
      <c r="F98" s="880">
        <v>30</v>
      </c>
    </row>
    <row r="99" spans="1:6" s="876" customFormat="1" ht="36">
      <c r="A99" s="880">
        <v>39</v>
      </c>
      <c r="B99" s="3307" t="s">
        <v>693</v>
      </c>
      <c r="C99" s="880" t="s">
        <v>694</v>
      </c>
      <c r="D99" s="816" t="s">
        <v>695</v>
      </c>
      <c r="E99" s="893">
        <v>0.3</v>
      </c>
      <c r="F99" s="880">
        <v>50</v>
      </c>
    </row>
    <row r="100" spans="1:6" s="876" customFormat="1" ht="24">
      <c r="A100" s="880">
        <v>40</v>
      </c>
      <c r="B100" s="3307"/>
      <c r="C100" s="880" t="s">
        <v>696</v>
      </c>
      <c r="D100" s="816" t="s">
        <v>697</v>
      </c>
      <c r="E100" s="893">
        <v>0.2</v>
      </c>
      <c r="F100" s="880">
        <v>30</v>
      </c>
    </row>
    <row r="101" spans="1:6" s="876" customFormat="1" ht="36">
      <c r="A101" s="880">
        <v>41</v>
      </c>
      <c r="B101" s="3307"/>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07" t="s">
        <v>708</v>
      </c>
      <c r="C105" s="880" t="s">
        <v>709</v>
      </c>
      <c r="D105" s="816" t="s">
        <v>710</v>
      </c>
      <c r="E105" s="893">
        <v>0.2</v>
      </c>
      <c r="F105" s="880">
        <v>30</v>
      </c>
    </row>
    <row r="106" spans="1:6" s="876" customFormat="1" ht="36">
      <c r="A106" s="880">
        <v>46</v>
      </c>
      <c r="B106" s="3307"/>
      <c r="C106" s="880" t="s">
        <v>711</v>
      </c>
      <c r="D106" s="816" t="s">
        <v>712</v>
      </c>
      <c r="E106" s="893">
        <v>0.2</v>
      </c>
      <c r="F106" s="880">
        <v>30</v>
      </c>
    </row>
    <row r="107" spans="1:6" s="876" customFormat="1" ht="36">
      <c r="A107" s="880">
        <v>47</v>
      </c>
      <c r="B107" s="3307" t="s">
        <v>713</v>
      </c>
      <c r="C107" s="880" t="s">
        <v>714</v>
      </c>
      <c r="D107" s="816" t="s">
        <v>715</v>
      </c>
      <c r="E107" s="893">
        <v>0.3</v>
      </c>
      <c r="F107" s="880">
        <v>50</v>
      </c>
    </row>
    <row r="108" spans="1:6" s="876" customFormat="1" ht="36">
      <c r="A108" s="880">
        <v>48</v>
      </c>
      <c r="B108" s="3307"/>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07" t="s">
        <v>724</v>
      </c>
      <c r="C111" s="880" t="s">
        <v>725</v>
      </c>
      <c r="D111" s="816" t="s">
        <v>726</v>
      </c>
      <c r="E111" s="893">
        <v>0.2</v>
      </c>
      <c r="F111" s="880">
        <v>30</v>
      </c>
    </row>
    <row r="112" spans="1:6" s="876" customFormat="1" ht="24">
      <c r="A112" s="880">
        <v>52</v>
      </c>
      <c r="B112" s="3307"/>
      <c r="C112" s="880" t="s">
        <v>727</v>
      </c>
      <c r="D112" s="816" t="s">
        <v>728</v>
      </c>
      <c r="E112" s="893">
        <v>0.2</v>
      </c>
      <c r="F112" s="880">
        <v>30</v>
      </c>
    </row>
    <row r="113" spans="1:6" s="876" customFormat="1" ht="24">
      <c r="A113" s="880">
        <v>53</v>
      </c>
      <c r="B113" s="3307"/>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07" t="s">
        <v>737</v>
      </c>
      <c r="C116" s="880" t="s">
        <v>738</v>
      </c>
      <c r="D116" s="816" t="s">
        <v>739</v>
      </c>
      <c r="E116" s="893">
        <v>0.2</v>
      </c>
      <c r="F116" s="880">
        <v>30</v>
      </c>
    </row>
    <row r="117" spans="1:6" ht="36">
      <c r="A117" s="880">
        <v>57</v>
      </c>
      <c r="B117" s="3307"/>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0.83140000000000003</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2991</v>
      </c>
    </row>
    <row r="2" spans="1:5" ht="15.75">
      <c r="A2" s="2898" t="s">
        <v>2983</v>
      </c>
      <c r="B2" s="2899">
        <f ca="1">SUMIF(B6:B13,"&lt;&gt;#ref!",B6:B13)</f>
        <v>857</v>
      </c>
      <c r="C2" s="2898" t="s">
        <v>2984</v>
      </c>
      <c r="D2" s="2898" t="s">
        <v>2985</v>
      </c>
      <c r="E2" s="2899">
        <f ca="1">SUMIF(E6:E13,"&lt;&gt;#ref!",E6:E13)</f>
        <v>194.47</v>
      </c>
    </row>
    <row r="3" spans="1:5" ht="15.75">
      <c r="A3" s="2898" t="s">
        <v>2986</v>
      </c>
      <c r="B3" s="2899">
        <f ca="1">ROUND(B2*10000/E2,0)</f>
        <v>44068</v>
      </c>
      <c r="C3" s="2898" t="s">
        <v>2992</v>
      </c>
      <c r="D3" s="2900"/>
      <c r="E3" s="2900"/>
    </row>
    <row r="4" spans="1:5" ht="15.75">
      <c r="A4" s="2901"/>
      <c r="B4" s="2900"/>
      <c r="C4" s="2900"/>
      <c r="D4" s="2900"/>
      <c r="E4" s="2900"/>
    </row>
    <row r="5" spans="1:5" ht="28.5">
      <c r="A5" s="2902" t="s">
        <v>2987</v>
      </c>
      <c r="B5" s="2898" t="s">
        <v>2988</v>
      </c>
      <c r="C5" s="2899"/>
      <c r="D5" s="2900"/>
      <c r="E5" s="2898" t="s">
        <v>2989</v>
      </c>
    </row>
    <row r="6" spans="1:5" ht="15.75">
      <c r="A6" s="2903" t="s">
        <v>2990</v>
      </c>
      <c r="B6" s="2899">
        <f ca="1">SUMIF(INDIRECT("'"&amp;A6&amp;"'"&amp;"!A:A"),"总价",INDIRECT("'"&amp;A6&amp;"'"&amp;"!B:B"))</f>
        <v>857</v>
      </c>
      <c r="C6" s="2898" t="s">
        <v>2984</v>
      </c>
      <c r="D6" s="2900"/>
      <c r="E6" s="2573">
        <f ca="1">SUMIF(INDIRECT("'"&amp;A6&amp;"'"&amp;"!C:C"),"建筑面积",INDIRECT("'"&amp;A6&amp;"'"&amp;"!D:D"))</f>
        <v>194.47</v>
      </c>
    </row>
    <row r="7" spans="1:5" ht="15.75">
      <c r="A7" s="2903"/>
      <c r="B7" s="2899" t="e">
        <f ca="1">SUMIF(INDIRECT("'"&amp;A7&amp;"'"&amp;"!A:A"),"总价",INDIRECT("'"&amp;A7&amp;"'"&amp;"!B:B"))</f>
        <v>#REF!</v>
      </c>
      <c r="C7" s="2898" t="s">
        <v>2984</v>
      </c>
      <c r="D7" s="2900"/>
      <c r="E7" s="2573" t="e">
        <f t="shared" ref="E7:E13" ca="1" si="0">SUMIF(INDIRECT("'"&amp;A7&amp;"'"&amp;"!C:C"),"建筑面积",INDIRECT("'"&amp;A7&amp;"'"&amp;"!D:D"))</f>
        <v>#REF!</v>
      </c>
    </row>
    <row r="8" spans="1:5" ht="15.75">
      <c r="A8" s="2903"/>
      <c r="B8" s="2899" t="e">
        <f t="shared" ref="B8:B13" ca="1" si="1">SUMIF(INDIRECT("'"&amp;A8&amp;"'"&amp;"!A:A"),"总价",INDIRECT("'"&amp;A8&amp;"'"&amp;"!B:B"))</f>
        <v>#REF!</v>
      </c>
      <c r="C8" s="2898" t="s">
        <v>2984</v>
      </c>
      <c r="D8" s="2900"/>
      <c r="E8" s="2573" t="e">
        <f t="shared" ca="1" si="0"/>
        <v>#REF!</v>
      </c>
    </row>
    <row r="9" spans="1:5" ht="15.75">
      <c r="A9" s="2903"/>
      <c r="B9" s="2899" t="e">
        <f t="shared" ca="1" si="1"/>
        <v>#REF!</v>
      </c>
      <c r="C9" s="2898" t="s">
        <v>2984</v>
      </c>
      <c r="D9" s="2900"/>
      <c r="E9" s="2573" t="e">
        <f t="shared" ca="1" si="0"/>
        <v>#REF!</v>
      </c>
    </row>
    <row r="10" spans="1:5" ht="15.75">
      <c r="A10" s="2903"/>
      <c r="B10" s="2899" t="e">
        <f t="shared" ca="1" si="1"/>
        <v>#REF!</v>
      </c>
      <c r="C10" s="2898" t="s">
        <v>2984</v>
      </c>
      <c r="D10" s="2900"/>
      <c r="E10" s="2573" t="e">
        <f t="shared" ca="1" si="0"/>
        <v>#REF!</v>
      </c>
    </row>
    <row r="11" spans="1:5" ht="15.75">
      <c r="A11" s="2903"/>
      <c r="B11" s="2899" t="e">
        <f t="shared" ca="1" si="1"/>
        <v>#REF!</v>
      </c>
      <c r="C11" s="2898" t="s">
        <v>2984</v>
      </c>
      <c r="D11" s="2900"/>
      <c r="E11" s="2573" t="e">
        <f t="shared" ca="1" si="0"/>
        <v>#REF!</v>
      </c>
    </row>
    <row r="12" spans="1:5" ht="15.75">
      <c r="A12" s="2903"/>
      <c r="B12" s="2899" t="e">
        <f t="shared" ca="1" si="1"/>
        <v>#REF!</v>
      </c>
      <c r="C12" s="2898" t="s">
        <v>2984</v>
      </c>
      <c r="D12" s="2900"/>
      <c r="E12" s="2573" t="e">
        <f t="shared" ca="1" si="0"/>
        <v>#REF!</v>
      </c>
    </row>
    <row r="13" spans="1:5" ht="15.75">
      <c r="A13" s="2903"/>
      <c r="B13" s="2899" t="e">
        <f t="shared" ca="1" si="1"/>
        <v>#REF!</v>
      </c>
      <c r="C13" s="2898" t="s">
        <v>2984</v>
      </c>
      <c r="D13" s="290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F3" sqref="F3"/>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13" t="s">
        <v>1146</v>
      </c>
      <c r="C1" s="3313"/>
      <c r="D1" s="3313"/>
      <c r="E1" s="3313"/>
      <c r="F1" s="3313"/>
      <c r="G1" s="3312" t="s">
        <v>1147</v>
      </c>
      <c r="H1" s="3312"/>
      <c r="I1" s="3312"/>
      <c r="J1" s="3312"/>
      <c r="K1" s="3312"/>
      <c r="L1" s="3312"/>
      <c r="N1" s="3312" t="s">
        <v>1148</v>
      </c>
      <c r="O1" s="3312"/>
      <c r="P1" s="3312"/>
      <c r="Q1" s="3312"/>
      <c r="R1" s="1444"/>
      <c r="S1" s="3312" t="s">
        <v>1149</v>
      </c>
      <c r="T1" s="3312"/>
      <c r="U1" s="3312"/>
      <c r="V1" s="3312"/>
      <c r="X1" s="3311" t="s">
        <v>1150</v>
      </c>
      <c r="Y1" s="3312"/>
      <c r="Z1" s="3312"/>
      <c r="AA1" s="3312"/>
      <c r="AB1" s="3312"/>
      <c r="AD1" s="3311" t="s">
        <v>1151</v>
      </c>
      <c r="AE1" s="3312"/>
      <c r="AF1" s="3312"/>
      <c r="AG1" s="3312"/>
      <c r="AH1" s="3312"/>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4" customFormat="1" ht="14.25">
      <c r="A3" s="2923" t="s">
        <v>3023</v>
      </c>
      <c r="B3" s="2915"/>
      <c r="C3" s="2915"/>
      <c r="D3" s="2916"/>
      <c r="E3" s="2916"/>
      <c r="F3" s="2915"/>
      <c r="G3" s="2917"/>
      <c r="H3" s="2918"/>
      <c r="I3" s="2919">
        <f>ROUND(AVERAGE($I4:$I27),2)</f>
        <v>2.04</v>
      </c>
      <c r="J3" s="2919">
        <f>ROUND(AVERAGE($J4:$J27),2)</f>
        <v>1.44</v>
      </c>
      <c r="K3" s="2919">
        <f>ROUND(AVERAGE($K4:$K27),2)</f>
        <v>2.23</v>
      </c>
      <c r="L3" s="2919">
        <f>ROUND(AVERAGE($L4:$L27),2)</f>
        <v>1.4</v>
      </c>
      <c r="N3" s="2917"/>
      <c r="O3" s="2920"/>
      <c r="P3" s="2920"/>
      <c r="Q3" s="2920"/>
      <c r="R3" s="2920"/>
      <c r="S3" s="2917"/>
      <c r="T3" s="2920"/>
      <c r="U3" s="2920"/>
      <c r="V3" s="2920"/>
      <c r="W3" s="2912"/>
      <c r="X3" s="2921">
        <f>ROUND(SUMPRODUCT(PRODUCT(1+N3:N$26)),4)</f>
        <v>1.5422</v>
      </c>
      <c r="Y3" s="2921">
        <f>ROUND(SUMPRODUCT(PRODUCT(1+O3:O$26)),4)</f>
        <v>1.3557999999999999</v>
      </c>
      <c r="Z3" s="2921">
        <f t="shared" ref="Z3:Z24" si="0">Y3</f>
        <v>1.3557999999999999</v>
      </c>
      <c r="AA3" s="2921">
        <f>ROUND(SUMPRODUCT(PRODUCT(1+P3:P$26)),4)</f>
        <v>1.6036999999999999</v>
      </c>
      <c r="AB3" s="2921">
        <f>ROUND(SUMPRODUCT(PRODUCT(1+Q3:Q$26)),4)</f>
        <v>1.3573</v>
      </c>
      <c r="AD3" s="2922">
        <f>ROUND(AVERAGE(I3:I$27)/100,4)</f>
        <v>2.0400000000000001E-2</v>
      </c>
      <c r="AE3" s="2922">
        <f>ROUND(AVERAGE(J3:J$27)/100,4)</f>
        <v>1.44E-2</v>
      </c>
      <c r="AF3" s="2922">
        <f t="shared" ref="AF3:AF25" si="1">AE3</f>
        <v>1.44E-2</v>
      </c>
      <c r="AG3" s="2922">
        <f>ROUND(AVERAGE(K3:K$27)/100,4)</f>
        <v>2.23E-2</v>
      </c>
      <c r="AH3" s="2922">
        <f>ROUND(AVERAGE(L3:L$27)/100,4)</f>
        <v>1.4E-2</v>
      </c>
    </row>
    <row r="4" spans="1:34" s="1451" customFormat="1" ht="14.25">
      <c r="B4" s="1452"/>
      <c r="C4" s="1452"/>
      <c r="D4" s="1453"/>
      <c r="E4" s="1453"/>
      <c r="F4" s="1452"/>
      <c r="G4" s="1454"/>
      <c r="H4" s="1455"/>
      <c r="I4" s="2909"/>
      <c r="J4" s="2909"/>
      <c r="K4" s="2909"/>
      <c r="L4" s="290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3040</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3">
        <v>2019</v>
      </c>
      <c r="H5" s="1728">
        <v>3</v>
      </c>
      <c r="I5" s="2910">
        <v>0</v>
      </c>
      <c r="J5" s="2910">
        <v>0</v>
      </c>
      <c r="K5" s="2910">
        <v>0</v>
      </c>
      <c r="L5" s="2910">
        <v>0</v>
      </c>
      <c r="N5" s="1465">
        <f>I5/100</f>
        <v>0</v>
      </c>
      <c r="O5" s="1465">
        <f t="shared" ref="O5" si="7">J5/100</f>
        <v>0</v>
      </c>
      <c r="P5" s="1465">
        <f t="shared" ref="P5" si="8">K5/100</f>
        <v>0</v>
      </c>
      <c r="Q5" s="1465">
        <f t="shared" ref="Q5" si="9">L5/100</f>
        <v>0</v>
      </c>
      <c r="R5" s="1730"/>
      <c r="S5" s="1731"/>
      <c r="T5" s="1730"/>
      <c r="U5" s="1730"/>
      <c r="V5" s="1730"/>
      <c r="W5" s="2913" t="s">
        <v>3024</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3039</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3">
        <v>2019</v>
      </c>
      <c r="H6" s="1460">
        <v>2</v>
      </c>
      <c r="I6" s="1460">
        <v>1.53</v>
      </c>
      <c r="J6" s="1460">
        <v>1.01</v>
      </c>
      <c r="K6" s="1460">
        <v>1.62</v>
      </c>
      <c r="L6" s="1461">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3036</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7">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3041</v>
      </c>
      <c r="B8" s="2944">
        <f t="shared" ref="B8" si="35">B9*(1+N8)</f>
        <v>464.37293017158942</v>
      </c>
      <c r="C8" s="2944">
        <f t="shared" ref="C8" si="36">C9*(1+O8)</f>
        <v>344.73679941385956</v>
      </c>
      <c r="D8" s="2944">
        <f t="shared" ref="D8" si="37">C8</f>
        <v>344.73679941385956</v>
      </c>
      <c r="E8" s="2944">
        <f t="shared" ref="E8" si="38">E9*(1+P8)</f>
        <v>663.2377795103107</v>
      </c>
      <c r="F8" s="2945">
        <f t="shared" ref="F8" si="39">F9*(1+Q8)</f>
        <v>304.75936311478398</v>
      </c>
      <c r="G8" s="3309">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3030</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09"/>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3029</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09"/>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3022</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18"/>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3019</v>
      </c>
      <c r="B12" s="1467">
        <v>439</v>
      </c>
      <c r="C12" s="1467">
        <v>327</v>
      </c>
      <c r="D12" s="1467">
        <f>C12</f>
        <v>327</v>
      </c>
      <c r="E12" s="1467">
        <v>627</v>
      </c>
      <c r="F12" s="1468">
        <v>283</v>
      </c>
      <c r="G12" s="3314">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3020</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09"/>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09"/>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18"/>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14">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09"/>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09"/>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10"/>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08">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09"/>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09"/>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10"/>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08">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09"/>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09"/>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10"/>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15">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16"/>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16"/>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17"/>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08">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09"/>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09"/>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10"/>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08">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09">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09">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10">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08">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09">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09">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10">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08">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09">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09">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10">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08">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09">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09">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10">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08">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09">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09">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10">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08">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09">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09">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10">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08">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09">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09">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10">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08">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09">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09">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10">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08">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09">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09">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10">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08">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09">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09">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10">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73" zoomScale="90" zoomScaleNormal="90" workbookViewId="0">
      <selection activeCell="C14" sqref="C14:C16"/>
    </sheetView>
  </sheetViews>
  <sheetFormatPr defaultRowHeight="13.5"/>
  <sheetData/>
  <phoneticPr fontId="14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4" sqref="C14:C1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0"/>
      <c r="C1" s="1835" t="s">
        <v>27</v>
      </c>
      <c r="D1" s="1818" t="s">
        <v>70</v>
      </c>
      <c r="E1" s="1819" t="s">
        <v>1382</v>
      </c>
      <c r="F1" s="1281">
        <f ca="1">J53</f>
        <v>32.33</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1585</v>
      </c>
      <c r="B2" s="1842">
        <f ca="1">ROUND(D2/10000,0)</f>
        <v>445</v>
      </c>
      <c r="C2" s="1843" t="s">
        <v>1586</v>
      </c>
      <c r="D2" s="1936">
        <f ca="1">C40+J29+L46</f>
        <v>4453301</v>
      </c>
      <c r="E2" s="1844" t="s">
        <v>1587</v>
      </c>
      <c r="F2" s="1845"/>
      <c r="G2" s="1846"/>
      <c r="H2" s="1838"/>
      <c r="I2" s="1838"/>
      <c r="J2" s="1838"/>
      <c r="K2" s="1839"/>
      <c r="L2" s="1838"/>
      <c r="M2" s="1838"/>
    </row>
    <row r="3" spans="1:37" ht="18" customHeight="1" thickBot="1">
      <c r="A3" s="1847" t="s">
        <v>1588</v>
      </c>
      <c r="B3" s="1848">
        <f ca="1">IF(ISERROR(D2/F43),0,ROUND(D2/F43,0))</f>
        <v>40492</v>
      </c>
      <c r="C3" s="1843" t="s">
        <v>1589</v>
      </c>
      <c r="D3" s="1843"/>
      <c r="E3" s="1844"/>
      <c r="F3" s="1845"/>
      <c r="G3" s="1846"/>
      <c r="H3" s="742" t="s">
        <v>1583</v>
      </c>
      <c r="I3" s="1838"/>
      <c r="J3" s="1838"/>
      <c r="K3" s="1839"/>
      <c r="L3" s="1838"/>
      <c r="M3" s="1838"/>
    </row>
    <row r="4" spans="1:37" ht="18" customHeight="1">
      <c r="A4" s="339" t="s">
        <v>1590</v>
      </c>
      <c r="B4" s="340" t="s">
        <v>1591</v>
      </c>
      <c r="C4" s="340" t="s">
        <v>1592</v>
      </c>
      <c r="D4" s="340" t="s">
        <v>1593</v>
      </c>
      <c r="E4" s="341" t="s">
        <v>1594</v>
      </c>
      <c r="F4" s="342"/>
      <c r="G4" s="1849"/>
      <c r="H4" s="339" t="s">
        <v>1590</v>
      </c>
      <c r="I4" s="340" t="s">
        <v>1591</v>
      </c>
      <c r="J4" s="340" t="s">
        <v>1592</v>
      </c>
      <c r="K4" s="340" t="s">
        <v>1593</v>
      </c>
      <c r="L4" s="341" t="s">
        <v>1594</v>
      </c>
      <c r="M4" s="342"/>
    </row>
    <row r="5" spans="1:37" ht="18" customHeight="1">
      <c r="A5" s="343">
        <v>1</v>
      </c>
      <c r="B5" s="344" t="s">
        <v>1595</v>
      </c>
      <c r="C5" s="1290">
        <f ca="1">C6+C10+C12</f>
        <v>247881</v>
      </c>
      <c r="D5" s="1820" t="s">
        <v>1596</v>
      </c>
      <c r="E5" s="1291"/>
      <c r="F5" s="1292"/>
      <c r="G5" s="1849"/>
      <c r="H5" s="343">
        <v>1</v>
      </c>
      <c r="I5" s="344" t="s">
        <v>1595</v>
      </c>
      <c r="J5" s="1290">
        <f ca="1">J6+J10+J12</f>
        <v>0</v>
      </c>
      <c r="K5" s="1820" t="s">
        <v>1596</v>
      </c>
      <c r="L5" s="1291"/>
      <c r="M5" s="1292"/>
    </row>
    <row r="6" spans="1:37" ht="18" customHeight="1">
      <c r="A6" s="1289" t="s">
        <v>1032</v>
      </c>
      <c r="B6" s="3211" t="s">
        <v>1398</v>
      </c>
      <c r="C6" s="1294">
        <f ca="1">ROUND(F6*F8*F7*(1-F9),0)</f>
        <v>247881</v>
      </c>
      <c r="D6" s="163" t="s">
        <v>3014</v>
      </c>
      <c r="E6" s="346" t="s">
        <v>1400</v>
      </c>
      <c r="F6" s="347">
        <f ca="1">INDIRECT("'数据-取费表'!u"&amp;$G$1)</f>
        <v>6.5</v>
      </c>
      <c r="G6" s="1849"/>
      <c r="H6" s="1289" t="s">
        <v>1032</v>
      </c>
      <c r="I6" s="3211" t="s">
        <v>1398</v>
      </c>
      <c r="J6" s="345">
        <f ca="1">ROUND(M6*M8*M7*(1-M9),0)</f>
        <v>0</v>
      </c>
      <c r="K6" s="1832" t="s">
        <v>3015</v>
      </c>
      <c r="L6" s="346" t="s">
        <v>1400</v>
      </c>
      <c r="M6" s="347">
        <f ca="1">INDIRECT("'数据-取费表'!z"&amp;$G$1)</f>
        <v>0</v>
      </c>
    </row>
    <row r="7" spans="1:37" ht="18" customHeight="1">
      <c r="A7" s="1293"/>
      <c r="B7" s="3212"/>
      <c r="C7" s="1295"/>
      <c r="D7" s="351"/>
      <c r="E7" s="1296" t="s">
        <v>1401</v>
      </c>
      <c r="F7" s="347">
        <f ca="1">IF(INDIRECT("'数据-取费表'!ah"&amp;$G$1)="",INDIRECT("'数据-取费表'!k"&amp;$G$1),INDIRECT("'数据-取费表'!ah"&amp;$G$1))</f>
        <v>109.98</v>
      </c>
      <c r="G7" s="1849"/>
      <c r="H7" s="348"/>
      <c r="I7" s="3212"/>
      <c r="J7" s="350"/>
      <c r="K7" s="351"/>
      <c r="L7" s="346" t="s">
        <v>1401</v>
      </c>
      <c r="M7" s="347">
        <f ca="1">F7</f>
        <v>109.98</v>
      </c>
    </row>
    <row r="8" spans="1:37" ht="18" customHeight="1">
      <c r="A8" s="348"/>
      <c r="B8" s="3212"/>
      <c r="C8" s="350"/>
      <c r="D8" s="351"/>
      <c r="E8" s="346" t="s">
        <v>1402</v>
      </c>
      <c r="F8" s="347">
        <f ca="1">INDIRECT("'数据-取费表'!ai"&amp;$G$1)</f>
        <v>365</v>
      </c>
      <c r="G8" s="1849"/>
      <c r="H8" s="348"/>
      <c r="I8" s="3212"/>
      <c r="J8" s="350"/>
      <c r="K8" s="351"/>
      <c r="L8" s="346" t="s">
        <v>1402</v>
      </c>
      <c r="M8" s="347">
        <f ca="1">INDIRECT("'数据-取费表'!ai"&amp;$G$1)</f>
        <v>365</v>
      </c>
    </row>
    <row r="9" spans="1:37" ht="18" customHeight="1">
      <c r="A9" s="348"/>
      <c r="B9" s="3213"/>
      <c r="C9" s="350"/>
      <c r="D9" s="351"/>
      <c r="E9" s="346" t="s">
        <v>1403</v>
      </c>
      <c r="F9" s="356">
        <f ca="1">INDIRECT("'数据-取费表'!w"&amp;$G$1)</f>
        <v>0.05</v>
      </c>
      <c r="G9" s="1849"/>
      <c r="H9" s="348"/>
      <c r="I9" s="3213"/>
      <c r="J9" s="350"/>
      <c r="K9" s="351"/>
      <c r="L9" s="357" t="s">
        <v>1403</v>
      </c>
      <c r="M9" s="358">
        <f ca="1">INDIRECT("'数据-取费表'!ab"&amp;$G$1)</f>
        <v>0</v>
      </c>
    </row>
    <row r="10" spans="1:37" ht="18" customHeight="1">
      <c r="A10" s="1289" t="s">
        <v>1036</v>
      </c>
      <c r="B10" s="1821" t="s">
        <v>1404</v>
      </c>
      <c r="C10" s="360">
        <f ca="1">ROUND(IF(F10="押一",C6/12*F11,IF(F10="押二",C6/12*2*F11,IF(F10="押三",C6/12*3*F11,C11*F11))),0)</f>
        <v>0</v>
      </c>
      <c r="D10" s="1822" t="s">
        <v>3025</v>
      </c>
      <c r="E10" s="357" t="s">
        <v>1405</v>
      </c>
      <c r="F10" s="1364"/>
      <c r="G10" s="1849"/>
      <c r="H10" s="1289" t="s">
        <v>1036</v>
      </c>
      <c r="I10" s="1821" t="s">
        <v>1404</v>
      </c>
      <c r="J10" s="345">
        <f ca="1">ROUND(IF(M10="押一",J6/12*M11,IF(M10="押二",J6/12*2*M11,IF(M10="押三",J6/12*3*M11,J11*M11))),0)</f>
        <v>0</v>
      </c>
      <c r="K10" s="1833" t="s">
        <v>3027</v>
      </c>
      <c r="L10" s="357" t="s">
        <v>1405</v>
      </c>
      <c r="M10" s="1364"/>
    </row>
    <row r="11" spans="1:37" ht="18" customHeight="1">
      <c r="A11" s="352"/>
      <c r="B11" s="1823" t="s">
        <v>1597</v>
      </c>
      <c r="C11" s="1176"/>
      <c r="D11" s="351"/>
      <c r="E11" s="357" t="s">
        <v>1407</v>
      </c>
      <c r="F11" s="358">
        <f ca="1">'数据-取费表'!B39</f>
        <v>1.4999999999999999E-2</v>
      </c>
      <c r="G11" s="1849"/>
      <c r="H11" s="1297"/>
      <c r="I11" s="1823" t="s">
        <v>1598</v>
      </c>
      <c r="J11" s="1176"/>
      <c r="K11" s="746"/>
      <c r="L11" s="357"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4">
        <f ca="1">ROUND(C29*F13,0)</f>
        <v>366021</v>
      </c>
      <c r="D13" s="1329" t="s">
        <v>1410</v>
      </c>
      <c r="E13" s="1329" t="s">
        <v>1411</v>
      </c>
      <c r="F13" s="1330">
        <f ca="1">INDIRECT("'数据-取费表'!y"&amp;$G$1)</f>
        <v>0.73333333333333328</v>
      </c>
      <c r="G13" s="1849"/>
      <c r="H13" s="1327">
        <v>2</v>
      </c>
      <c r="I13" s="1328" t="s">
        <v>1409</v>
      </c>
      <c r="J13" s="1288">
        <f ca="1">ROUND(J14*J15,0)</f>
        <v>0</v>
      </c>
      <c r="K13" s="1335" t="s">
        <v>1410</v>
      </c>
      <c r="L13" s="1850"/>
      <c r="M13" s="1851"/>
    </row>
    <row r="14" spans="1:37" ht="18" customHeight="1">
      <c r="A14" s="1199" t="s">
        <v>1031</v>
      </c>
      <c r="B14" s="346" t="s">
        <v>1412</v>
      </c>
      <c r="C14" s="362">
        <f ca="1">ROUND(INDIRECT("'数据-取费表'!l"&amp;$G$1)*F43+'数据-取费表'!L14*INDIRECT("'数据-取费表'!S"&amp;$G$1),0)</f>
        <v>329940</v>
      </c>
      <c r="D14" s="1798" t="s">
        <v>1413</v>
      </c>
      <c r="E14" s="1792"/>
      <c r="F14" s="363"/>
      <c r="G14" s="1849"/>
      <c r="H14" s="1199" t="s">
        <v>1032</v>
      </c>
      <c r="I14" s="346" t="s">
        <v>1414</v>
      </c>
      <c r="J14" s="23">
        <f ca="1">C29</f>
        <v>499120</v>
      </c>
      <c r="K14" s="14"/>
      <c r="L14" s="977"/>
      <c r="M14" s="978"/>
    </row>
    <row r="15" spans="1:37" s="1856" customFormat="1" ht="18" customHeight="1" thickBot="1">
      <c r="A15" s="1199" t="s">
        <v>1033</v>
      </c>
      <c r="B15" s="346" t="s">
        <v>1415</v>
      </c>
      <c r="C15" s="23">
        <f ca="1">ROUND(C14*F15,0)</f>
        <v>16497</v>
      </c>
      <c r="D15" s="364" t="s">
        <v>1416</v>
      </c>
      <c r="E15" s="364" t="s">
        <v>1417</v>
      </c>
      <c r="F15" s="365">
        <f>'数据-取费表'!B33</f>
        <v>0.05</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6" t="s">
        <v>1418</v>
      </c>
      <c r="C16" s="23">
        <f ca="1">ROUND(INDIRECT("'数据-取费表'!l"&amp;$G$1)*F43*F16,0)</f>
        <v>0</v>
      </c>
      <c r="D16" s="346" t="s">
        <v>1416</v>
      </c>
      <c r="E16" s="346" t="s">
        <v>1417</v>
      </c>
      <c r="F16" s="366">
        <f ca="1">IF(INDIRECT("'数据-取费表'!c"&amp;$G$1)="住宅",'数据-取费表'!B34,0)</f>
        <v>0</v>
      </c>
      <c r="G16" s="1849"/>
      <c r="H16" s="1327" t="s">
        <v>1027</v>
      </c>
      <c r="I16" s="1328" t="s">
        <v>1419</v>
      </c>
      <c r="J16" s="354">
        <f ca="1">ROUND(J17+J22+J23+J24,0)</f>
        <v>7487</v>
      </c>
      <c r="K16" s="1335" t="s">
        <v>1420</v>
      </c>
      <c r="L16" s="1336"/>
      <c r="M16" s="1292"/>
    </row>
    <row r="17" spans="1:37" s="1856" customFormat="1" ht="18" customHeight="1">
      <c r="A17" s="1199" t="s">
        <v>1385</v>
      </c>
      <c r="B17" s="346" t="s">
        <v>1421</v>
      </c>
      <c r="C17" s="23">
        <f ca="1">ROUND(F17*(F43+INDIRECT("'数据-取费表'!S"&amp;$G$1)),0)</f>
        <v>21996</v>
      </c>
      <c r="D17" s="346" t="s">
        <v>1422</v>
      </c>
      <c r="E17" s="346" t="s">
        <v>1423</v>
      </c>
      <c r="F17" s="25">
        <f>'数据-取费表'!B35</f>
        <v>200</v>
      </c>
      <c r="G17" s="1852"/>
      <c r="H17" s="1199" t="s">
        <v>1032</v>
      </c>
      <c r="I17" s="346" t="s">
        <v>1424</v>
      </c>
      <c r="J17" s="23">
        <f ca="1">ROUND(IF(项目基本情况!B11="自然人",J5*M17,J18+J19+J20),0)</f>
        <v>0</v>
      </c>
      <c r="K17" s="1798" t="s">
        <v>1425</v>
      </c>
      <c r="L17" s="1796" t="s">
        <v>1426</v>
      </c>
      <c r="M17" s="367">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6" t="s">
        <v>1427</v>
      </c>
      <c r="C18" s="23">
        <f ca="1">ROUND(C14*F18,0)</f>
        <v>4949</v>
      </c>
      <c r="D18" s="346" t="s">
        <v>1416</v>
      </c>
      <c r="E18" s="346" t="s">
        <v>1417</v>
      </c>
      <c r="F18" s="366">
        <f>'数据-取费表'!B36</f>
        <v>1.4999999999999999E-2</v>
      </c>
      <c r="G18" s="1852"/>
      <c r="H18" s="1199" t="s">
        <v>1031</v>
      </c>
      <c r="I18" s="346" t="s">
        <v>1428</v>
      </c>
      <c r="J18" s="23">
        <f ca="1">ROUND(J5*M18/(1+'数据-取费表'!C42),0)</f>
        <v>0</v>
      </c>
      <c r="K18" s="1796"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1430</v>
      </c>
      <c r="C19" s="23">
        <f ca="1">SUM(C14:C18)</f>
        <v>373382</v>
      </c>
      <c r="D19" s="139" t="s">
        <v>1431</v>
      </c>
      <c r="E19" s="1816"/>
      <c r="F19" s="25"/>
      <c r="G19" s="1849"/>
      <c r="H19" s="1199" t="s">
        <v>1033</v>
      </c>
      <c r="I19" s="346" t="s">
        <v>1432</v>
      </c>
      <c r="J19" s="23">
        <f ca="1">IF(K19="按租金收入计税",ROUND(J5*M19,0),ROUND(C29*M19*0.7,0))</f>
        <v>4193</v>
      </c>
      <c r="K19" s="1826" t="s">
        <v>1433</v>
      </c>
      <c r="L19" s="346" t="s">
        <v>1417</v>
      </c>
      <c r="M19" s="366">
        <f>IF(K19="按租金收入计税",'数据-取费表'!B51,'数据-取费表'!B50)</f>
        <v>1.2E-2</v>
      </c>
    </row>
    <row r="20" spans="1:37" s="1856" customFormat="1" ht="18" customHeight="1">
      <c r="A20" s="1199" t="s">
        <v>1036</v>
      </c>
      <c r="B20" s="346" t="s">
        <v>1434</v>
      </c>
      <c r="C20" s="23">
        <f ca="1">ROUND(C19*F20,0)</f>
        <v>11201</v>
      </c>
      <c r="D20" s="368" t="s">
        <v>1435</v>
      </c>
      <c r="E20" s="346" t="s">
        <v>1417</v>
      </c>
      <c r="F20" s="366">
        <f>'数据-取费表'!B37</f>
        <v>0.03</v>
      </c>
      <c r="G20" s="1852"/>
      <c r="H20" s="1199" t="s">
        <v>1384</v>
      </c>
      <c r="I20" s="163" t="s">
        <v>1436</v>
      </c>
      <c r="J20" s="24">
        <f ca="1">ROUND(M20*M21,0)</f>
        <v>728</v>
      </c>
      <c r="K20" s="369" t="s">
        <v>1437</v>
      </c>
      <c r="L20" s="346" t="s">
        <v>1438</v>
      </c>
      <c r="M20" s="370">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1439</v>
      </c>
      <c r="C21" s="23" t="s">
        <v>1</v>
      </c>
      <c r="D21" s="368" t="s">
        <v>1440</v>
      </c>
      <c r="E21" s="346" t="s">
        <v>1441</v>
      </c>
      <c r="F21" s="366">
        <f>'数据-取费表'!B38</f>
        <v>0.02</v>
      </c>
      <c r="G21" s="1852"/>
      <c r="H21" s="371"/>
      <c r="I21" s="355"/>
      <c r="J21" s="28"/>
      <c r="K21" s="372"/>
      <c r="L21" s="346" t="s">
        <v>1442</v>
      </c>
      <c r="M21" s="347">
        <f ca="1">INDIRECT("'数据-取费表'!r"&amp;$G$1)</f>
        <v>30.34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1816"/>
      <c r="F22" s="25"/>
      <c r="G22" s="1849"/>
      <c r="H22" s="1199" t="s">
        <v>1036</v>
      </c>
      <c r="I22" s="346" t="s">
        <v>1444</v>
      </c>
      <c r="J22" s="23">
        <f ca="1">ROUND(J14*M22,0)</f>
        <v>7487</v>
      </c>
      <c r="K22" s="1796" t="s">
        <v>1445</v>
      </c>
      <c r="L22" s="346" t="s">
        <v>1417</v>
      </c>
      <c r="M22" s="373">
        <f ca="1">INDIRECT("'数据-取费表'!Ak"&amp;$G$1)</f>
        <v>1.4999999999999999E-2</v>
      </c>
    </row>
    <row r="23" spans="1:37" s="1856" customFormat="1" ht="18" customHeight="1">
      <c r="A23" s="1199" t="s">
        <v>1031</v>
      </c>
      <c r="B23" s="346" t="s">
        <v>1446</v>
      </c>
      <c r="C23" s="23">
        <f ca="1">IF('数据-取费表'!B22&lt;=1,ROUND(C19*F24*F23/2,0)+ROUND(C20*F24*F23/2,0),ROUND(C19*(POWER((1+F24),F23/2)-1),0)+ROUND(C20*(POWER((1+F24),F23/2)-1),0))</f>
        <v>18268</v>
      </c>
      <c r="D23" s="374" t="str">
        <f>IF(F23&lt;=1,"(建造成本+管理费用)×利率×(建设周期÷2)","(建造成本+管理费用)×((1+利率)^(建设周期÷2)-1)")</f>
        <v>(建造成本+管理费用)×((1+利率)^(建设周期÷2)-1)</v>
      </c>
      <c r="E23" s="346" t="s">
        <v>1447</v>
      </c>
      <c r="F23" s="370">
        <f>'数据-取费表'!B20</f>
        <v>2</v>
      </c>
      <c r="G23" s="1852"/>
      <c r="H23" s="1199" t="s">
        <v>1072</v>
      </c>
      <c r="I23" s="346" t="s">
        <v>1448</v>
      </c>
      <c r="J23" s="23">
        <f ca="1">ROUND(J13*M23,0)</f>
        <v>0</v>
      </c>
      <c r="K23" s="1796" t="s">
        <v>1449</v>
      </c>
      <c r="L23" s="346" t="s">
        <v>1450</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2"/>
      <c r="H24" s="1337" t="s">
        <v>1388</v>
      </c>
      <c r="I24" s="1338" t="s">
        <v>1434</v>
      </c>
      <c r="J24" s="1339">
        <f ca="1">ROUND(J5*M24,0)</f>
        <v>0</v>
      </c>
      <c r="K24" s="1340" t="s">
        <v>1454</v>
      </c>
      <c r="L24" s="1338" t="s">
        <v>1450</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6" t="s">
        <v>1456</v>
      </c>
      <c r="C25" s="23"/>
      <c r="D25" s="139" t="s">
        <v>1457</v>
      </c>
      <c r="E25" s="1816"/>
      <c r="F25" s="25"/>
      <c r="G25" s="1849"/>
      <c r="H25" s="1327" t="s">
        <v>1028</v>
      </c>
      <c r="I25" s="1342" t="s">
        <v>1458</v>
      </c>
      <c r="J25" s="354">
        <f ca="1">J5-J16</f>
        <v>-7487</v>
      </c>
      <c r="K25" s="1343" t="s">
        <v>1459</v>
      </c>
      <c r="L25" s="1344"/>
      <c r="M25" s="1345"/>
    </row>
    <row r="26" spans="1:37" ht="18" customHeight="1">
      <c r="A26" s="1199" t="s">
        <v>1031</v>
      </c>
      <c r="B26" s="346" t="s">
        <v>1460</v>
      </c>
      <c r="C26" s="23">
        <f ca="1">ROUND((C19+C20)*F26,0)</f>
        <v>57687</v>
      </c>
      <c r="D26" s="368" t="s">
        <v>1461</v>
      </c>
      <c r="E26" s="357" t="s">
        <v>1462</v>
      </c>
      <c r="F26" s="356">
        <f ca="1">INDIRECT("'数据-取费表'!q"&amp;$G$1)</f>
        <v>0.15</v>
      </c>
      <c r="G26" s="1849"/>
      <c r="H26" s="343" t="s">
        <v>1029</v>
      </c>
      <c r="I26" s="344" t="s">
        <v>1463</v>
      </c>
      <c r="J26" s="345">
        <f ca="1">IF(J5&lt;&gt;0,ROUND(J25*(1-((1+M28)/(1+M26))^M27)/(M26-M28),0),0)</f>
        <v>0</v>
      </c>
      <c r="K26" s="369" t="s">
        <v>1464</v>
      </c>
      <c r="L26" s="346" t="s">
        <v>1465</v>
      </c>
      <c r="M26" s="356">
        <f ca="1">INDIRECT("'数据-取费表'!I"&amp;$G$1)</f>
        <v>5.5E-2</v>
      </c>
    </row>
    <row r="27" spans="1:37" ht="18" customHeight="1">
      <c r="A27" s="1199" t="s">
        <v>1033</v>
      </c>
      <c r="B27" s="346" t="s">
        <v>1466</v>
      </c>
      <c r="C27" s="23">
        <f ca="1">ROUND(F21*F26,4)</f>
        <v>3.0000000000000001E-3</v>
      </c>
      <c r="D27" s="368" t="s">
        <v>1467</v>
      </c>
      <c r="E27" s="364"/>
      <c r="F27" s="365"/>
      <c r="G27" s="1849"/>
      <c r="H27" s="348"/>
      <c r="I27" s="349"/>
      <c r="J27" s="350"/>
      <c r="K27" s="377" t="s">
        <v>1468</v>
      </c>
      <c r="L27" s="346" t="s">
        <v>1469</v>
      </c>
      <c r="M27" s="378">
        <f ca="1">INDIRECT("'数据-取费表'!ag"&amp;$G$1)</f>
        <v>0</v>
      </c>
    </row>
    <row r="28" spans="1:37" s="1856" customFormat="1" ht="18" customHeight="1">
      <c r="A28" s="1199" t="s">
        <v>1034</v>
      </c>
      <c r="B28" s="346" t="s">
        <v>1470</v>
      </c>
      <c r="C28" s="23">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499120</v>
      </c>
      <c r="D29" s="1340"/>
      <c r="E29" s="1338"/>
      <c r="F29" s="1341"/>
      <c r="G29" s="1852"/>
      <c r="H29" s="379" t="s">
        <v>1030</v>
      </c>
      <c r="I29" s="380" t="s">
        <v>1474</v>
      </c>
      <c r="J29" s="381">
        <f ca="1">ROUND(J26/(1+F40)^F41,0)</f>
        <v>0</v>
      </c>
      <c r="K29" s="382" t="s">
        <v>1475</v>
      </c>
      <c r="L29" s="383"/>
      <c r="M29" s="384">
        <f ca="1">INDIRECT("'数据-取费表'!k"&amp;$G$1)</f>
        <v>109.98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4">
        <f ca="1">ROUND(C31+C36+C37+C38,0)</f>
        <v>41500</v>
      </c>
      <c r="D30" s="1335" t="s">
        <v>1420</v>
      </c>
      <c r="E30" s="1336"/>
      <c r="F30" s="1292"/>
      <c r="G30" s="1849"/>
      <c r="H30" s="743"/>
      <c r="I30" s="744"/>
      <c r="J30" s="745"/>
      <c r="K30" s="746"/>
      <c r="L30" s="747"/>
      <c r="M30" s="748"/>
    </row>
    <row r="31" spans="1:37" ht="18" customHeight="1">
      <c r="A31" s="1199" t="s">
        <v>1032</v>
      </c>
      <c r="B31" s="346" t="s">
        <v>1424</v>
      </c>
      <c r="C31" s="23">
        <f ca="1">ROUND(IF(项目基本情况!B11="自然人",C5*F31,C32+C33+C34),0)</f>
        <v>29746</v>
      </c>
      <c r="D31" s="1798" t="s">
        <v>1425</v>
      </c>
      <c r="E31" s="1796" t="s">
        <v>1476</v>
      </c>
      <c r="F31" s="367">
        <f ca="1">IF(项目基本情况!B11="企业","",IF(INDIRECT("'数据-取费表'!c"&amp;$G$1)="住宅",5%,IF(F6*F7*F8/12/(1+'数据-取费表'!C42)&gt;20000,12%,7%)))</f>
        <v>0.12</v>
      </c>
      <c r="G31" s="1849"/>
      <c r="H31" s="743"/>
      <c r="I31" s="744"/>
      <c r="J31" s="745"/>
      <c r="K31" s="746"/>
      <c r="L31" s="747"/>
      <c r="M31" s="748"/>
    </row>
    <row r="32" spans="1:37" ht="18" customHeight="1">
      <c r="A32" s="1199" t="s">
        <v>1031</v>
      </c>
      <c r="B32" s="346" t="s">
        <v>1428</v>
      </c>
      <c r="C32" s="23" t="str">
        <f>IF(项目基本情况!B11="自然人","——",ROUND(C5*F32/(1+'数据-取费表'!C42),0))</f>
        <v>——</v>
      </c>
      <c r="D32" s="1796" t="s">
        <v>1429</v>
      </c>
      <c r="E32" s="346" t="s">
        <v>1417</v>
      </c>
      <c r="F32" s="376">
        <f>'数据-取费表'!B41</f>
        <v>5.6000000000000001E-2</v>
      </c>
      <c r="G32" s="1849"/>
      <c r="H32" s="743"/>
      <c r="I32" s="744"/>
      <c r="J32" s="745"/>
      <c r="K32" s="746"/>
      <c r="L32" s="747"/>
      <c r="M32" s="748"/>
    </row>
    <row r="33" spans="1:18" ht="18" customHeight="1">
      <c r="A33" s="1199" t="s">
        <v>1033</v>
      </c>
      <c r="B33" s="346" t="s">
        <v>1432</v>
      </c>
      <c r="C33" s="23" t="str">
        <f ca="1">IF(项目基本情况!B11="自然人","——",IF(D33="按租金收入计税",ROUND(C5*F33,0),IF(D33="按房产原值计税",ROUND(C29*F33*0.7,0),INDIRECT("'数据-取费表'!Aj"&amp;$G$1))))</f>
        <v>——</v>
      </c>
      <c r="D33" s="1826" t="s">
        <v>3074</v>
      </c>
      <c r="E33" s="346" t="s">
        <v>1417</v>
      </c>
      <c r="F33" s="366">
        <f>IF(D33="按票据","——",IF(D33="按租金收入计税",'数据-取费表'!B51,'数据-取费表'!B50))</f>
        <v>0.12</v>
      </c>
      <c r="G33" s="1849"/>
      <c r="H33" s="1857"/>
      <c r="I33" s="1858"/>
      <c r="J33" s="1859"/>
      <c r="K33" s="1860"/>
      <c r="L33" s="1857"/>
      <c r="M33" s="1857"/>
    </row>
    <row r="34" spans="1:18" ht="18" customHeight="1">
      <c r="A34" s="1289" t="s">
        <v>1384</v>
      </c>
      <c r="B34" s="163" t="s">
        <v>1436</v>
      </c>
      <c r="C34" s="24" t="str">
        <f>IF(项目基本情况!B11="自然人","——",ROUND(F34*F35,))</f>
        <v>——</v>
      </c>
      <c r="D34" s="369" t="s">
        <v>1437</v>
      </c>
      <c r="E34" s="346" t="s">
        <v>1438</v>
      </c>
      <c r="F34" s="370">
        <f>'数据-取费表'!B52</f>
        <v>24</v>
      </c>
      <c r="G34" s="1849"/>
      <c r="H34" s="743"/>
      <c r="I34" s="1858"/>
      <c r="J34" s="1859"/>
      <c r="K34" s="1861"/>
      <c r="L34" s="1862"/>
      <c r="M34" s="1862"/>
    </row>
    <row r="35" spans="1:18" ht="18" customHeight="1">
      <c r="A35" s="1351"/>
      <c r="B35" s="1349"/>
      <c r="C35" s="28"/>
      <c r="D35" s="372"/>
      <c r="E35" s="346" t="s">
        <v>1442</v>
      </c>
      <c r="F35" s="347">
        <f ca="1">INDIRECT("'数据-取费表'!r"&amp;$G$1)</f>
        <v>30.34</v>
      </c>
      <c r="G35" s="1849"/>
      <c r="H35" s="743"/>
      <c r="I35" s="1858"/>
      <c r="J35" s="1859"/>
      <c r="K35" s="1860"/>
      <c r="L35" s="1857"/>
      <c r="M35" s="1857"/>
    </row>
    <row r="36" spans="1:18" ht="18" customHeight="1">
      <c r="A36" s="1350" t="s">
        <v>1036</v>
      </c>
      <c r="B36" s="346" t="s">
        <v>1444</v>
      </c>
      <c r="C36" s="23">
        <f ca="1">ROUND(C29*F36,0)</f>
        <v>7487</v>
      </c>
      <c r="D36" s="1796" t="s">
        <v>1477</v>
      </c>
      <c r="E36" s="346" t="s">
        <v>1417</v>
      </c>
      <c r="F36" s="373">
        <f ca="1">INDIRECT("'数据-取费表'!Ak"&amp;$G$1)</f>
        <v>1.4999999999999999E-2</v>
      </c>
      <c r="G36" s="1849"/>
      <c r="H36" s="1857"/>
      <c r="I36" s="1858"/>
      <c r="J36" s="1859"/>
      <c r="K36" s="749"/>
      <c r="L36" s="1857"/>
      <c r="M36" s="1857"/>
    </row>
    <row r="37" spans="1:18" ht="18" customHeight="1">
      <c r="A37" s="1199" t="s">
        <v>1072</v>
      </c>
      <c r="B37" s="346" t="s">
        <v>1448</v>
      </c>
      <c r="C37" s="23">
        <f ca="1">ROUND(C13*F37,0)</f>
        <v>549</v>
      </c>
      <c r="D37" s="1796" t="s">
        <v>1449</v>
      </c>
      <c r="E37" s="346" t="s">
        <v>1450</v>
      </c>
      <c r="F37" s="375">
        <f ca="1">INDIRECT("'数据-取费表'!Al"&amp;$G$1)</f>
        <v>1.5E-3</v>
      </c>
      <c r="G37" s="1849"/>
      <c r="H37" s="1857"/>
      <c r="I37" s="1858"/>
      <c r="J37" s="1859"/>
      <c r="K37" s="749"/>
      <c r="L37" s="1857"/>
      <c r="M37" s="1857"/>
    </row>
    <row r="38" spans="1:18" ht="18" customHeight="1" thickBot="1">
      <c r="A38" s="1337" t="s">
        <v>1388</v>
      </c>
      <c r="B38" s="1338" t="s">
        <v>1434</v>
      </c>
      <c r="C38" s="1339">
        <f ca="1">ROUND(C5*F38,1)</f>
        <v>3718.2</v>
      </c>
      <c r="D38" s="1340" t="s">
        <v>1454</v>
      </c>
      <c r="E38" s="1338" t="s">
        <v>1450</v>
      </c>
      <c r="F38" s="1334">
        <f ca="1">INDIRECT("'数据-取费表'!Am"&amp;$G$1)</f>
        <v>1.4999999999999999E-2</v>
      </c>
      <c r="G38" s="1849"/>
      <c r="H38" s="1857"/>
      <c r="I38" s="1858"/>
      <c r="J38" s="1859"/>
      <c r="K38" s="1863"/>
      <c r="L38" s="1857"/>
      <c r="M38" s="1857"/>
    </row>
    <row r="39" spans="1:18" ht="24.6" customHeight="1" thickTop="1">
      <c r="A39" s="1327" t="s">
        <v>1028</v>
      </c>
      <c r="B39" s="1342" t="s">
        <v>1478</v>
      </c>
      <c r="C39" s="354">
        <f ca="1">C5-C30</f>
        <v>206381</v>
      </c>
      <c r="D39" s="1343" t="s">
        <v>1479</v>
      </c>
      <c r="E39" s="1344"/>
      <c r="F39" s="1345"/>
      <c r="G39" s="1849"/>
      <c r="H39" s="1857"/>
      <c r="I39" s="1858"/>
      <c r="J39" s="1859"/>
      <c r="K39" s="1863"/>
      <c r="L39" s="1857"/>
      <c r="M39" s="1857"/>
    </row>
    <row r="40" spans="1:18" ht="18" customHeight="1">
      <c r="A40" s="343" t="s">
        <v>1029</v>
      </c>
      <c r="B40" s="344" t="s">
        <v>1480</v>
      </c>
      <c r="C40" s="345">
        <f ca="1">ROUND(C39*(1-((1+F42)/(1+F40))^F41)/(F40-F42),0)</f>
        <v>4453301</v>
      </c>
      <c r="D40" s="369" t="s">
        <v>1464</v>
      </c>
      <c r="E40" s="346" t="s">
        <v>1465</v>
      </c>
      <c r="F40" s="356">
        <f ca="1">INDIRECT("'数据-取费表'!I"&amp;$G$1)</f>
        <v>5.5E-2</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32.33</v>
      </c>
      <c r="G41" s="1849"/>
      <c r="H41" s="730"/>
      <c r="I41" s="1858"/>
      <c r="J41" s="1859"/>
      <c r="K41" s="749"/>
      <c r="L41" s="730"/>
      <c r="M41" s="730"/>
    </row>
    <row r="42" spans="1:18" ht="18" customHeight="1">
      <c r="A42" s="352"/>
      <c r="B42" s="353"/>
      <c r="C42" s="354"/>
      <c r="D42" s="372"/>
      <c r="E42" s="346" t="s">
        <v>1472</v>
      </c>
      <c r="F42" s="356">
        <f ca="1">INDIRECT("'数据-取费表'!v"&amp;$G$1)</f>
        <v>0.03</v>
      </c>
      <c r="G42" s="1849"/>
      <c r="H42" s="730"/>
      <c r="I42" s="1858"/>
      <c r="J42" s="1859"/>
      <c r="K42" s="749"/>
      <c r="L42" s="730"/>
      <c r="M42" s="730"/>
    </row>
    <row r="43" spans="1:18" ht="18" customHeight="1" thickBot="1">
      <c r="A43" s="379" t="s">
        <v>1030</v>
      </c>
      <c r="B43" s="380" t="s">
        <v>1482</v>
      </c>
      <c r="C43" s="381">
        <f ca="1">ROUND(C40/F43,0)</f>
        <v>40492</v>
      </c>
      <c r="D43" s="382" t="s">
        <v>1483</v>
      </c>
      <c r="E43" s="383" t="s">
        <v>1484</v>
      </c>
      <c r="F43" s="384">
        <f ca="1">INDIRECT("'数据-取费表'!k"&amp;$G$1)</f>
        <v>109.98</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f ca="1">C68-C40</f>
        <v>-4626702</v>
      </c>
      <c r="D45" s="1938" t="s">
        <v>1599</v>
      </c>
      <c r="E45" s="1864"/>
      <c r="F45" s="1864"/>
      <c r="O45" s="1867" t="s">
        <v>1514</v>
      </c>
      <c r="P45" s="1837"/>
      <c r="Q45" s="1837"/>
      <c r="R45" s="1837"/>
    </row>
    <row r="46" spans="1:18" s="1840" customFormat="1" ht="13.5" thickBot="1">
      <c r="A46" s="1868" t="s">
        <v>1515</v>
      </c>
      <c r="C46" s="1869">
        <f ca="1">ROUND(C45/10000,0)</f>
        <v>-463</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0"/>
      <c r="I47" s="1878" t="s">
        <v>1521</v>
      </c>
      <c r="J47" s="1879" t="s">
        <v>3075</v>
      </c>
      <c r="K47" s="1880" t="s">
        <v>1522</v>
      </c>
      <c r="L47" s="1881">
        <f ca="1">INDIRECT("'数据-取费表'!d"&amp;$G$1)</f>
        <v>50</v>
      </c>
      <c r="M47" s="1836" t="str">
        <f>IF(ISNUMBER(FIND("住宅",C1)),"住宅","非住宅")</f>
        <v>非住宅</v>
      </c>
      <c r="O47" s="1882" t="s">
        <v>1037</v>
      </c>
      <c r="P47" s="1883" t="s">
        <v>1523</v>
      </c>
      <c r="Q47" s="1884">
        <f ca="1">C40+J29</f>
        <v>4453301</v>
      </c>
      <c r="R47" s="1884" t="s">
        <v>1524</v>
      </c>
    </row>
    <row r="48" spans="1:18" s="1840" customFormat="1" ht="28.5" thickBot="1">
      <c r="A48" s="1358" t="s">
        <v>1132</v>
      </c>
      <c r="B48" s="344" t="s">
        <v>1396</v>
      </c>
      <c r="C48" s="1815">
        <f ca="1">C49+C53+C55</f>
        <v>0</v>
      </c>
      <c r="D48" s="1360"/>
      <c r="E48" s="1361"/>
      <c r="F48" s="1179"/>
      <c r="G48" s="790"/>
      <c r="H48" s="791"/>
      <c r="I48" s="1885" t="s">
        <v>1525</v>
      </c>
      <c r="J48" s="1886" t="s">
        <v>3076</v>
      </c>
      <c r="K48" s="1887" t="s">
        <v>1526</v>
      </c>
      <c r="L48" s="1888">
        <f ca="1">INDIRECT("'数据-取费表'!f"&amp;$G$1)</f>
        <v>32.33</v>
      </c>
      <c r="O48" s="1882" t="s">
        <v>1038</v>
      </c>
      <c r="P48" s="1883" t="s">
        <v>1527</v>
      </c>
      <c r="Q48" s="1884" t="str">
        <f ca="1">J60</f>
        <v>0</v>
      </c>
      <c r="R48" s="1884" t="s">
        <v>1528</v>
      </c>
    </row>
    <row r="49" spans="1:18" s="1840" customFormat="1" ht="13.5" thickBot="1">
      <c r="A49" s="1192" t="s">
        <v>1133</v>
      </c>
      <c r="B49" s="1827" t="s">
        <v>1485</v>
      </c>
      <c r="C49" s="1362">
        <f ca="1">ROUND(F49*F51*F50*(1-F52),0)</f>
        <v>0</v>
      </c>
      <c r="D49" s="1274" t="s">
        <v>1399</v>
      </c>
      <c r="E49" s="1828" t="s">
        <v>1486</v>
      </c>
      <c r="F49" s="1279"/>
      <c r="G49" s="1889"/>
      <c r="H49" s="791"/>
      <c r="I49" s="1885" t="s">
        <v>1529</v>
      </c>
      <c r="J49" s="1890">
        <v>2003</v>
      </c>
      <c r="K49" s="1887" t="s">
        <v>1530</v>
      </c>
      <c r="L49" s="1891"/>
      <c r="O49" s="1892" t="s">
        <v>1039</v>
      </c>
      <c r="P49" s="1883" t="s">
        <v>1531</v>
      </c>
      <c r="Q49" s="1884">
        <f ca="1">C29</f>
        <v>499120</v>
      </c>
      <c r="R49" s="1884" t="s">
        <v>1524</v>
      </c>
    </row>
    <row r="50" spans="1:18" s="1840" customFormat="1" ht="13.5" thickBot="1">
      <c r="A50" s="1193"/>
      <c r="B50" s="1196"/>
      <c r="C50" s="1197"/>
      <c r="D50" s="1170"/>
      <c r="E50" s="1275" t="s">
        <v>1401</v>
      </c>
      <c r="F50" s="1276">
        <f ca="1">F7</f>
        <v>109.98</v>
      </c>
      <c r="H50" s="791"/>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4"/>
      <c r="B51" s="1196"/>
      <c r="C51" s="1197"/>
      <c r="D51" s="1170"/>
      <c r="E51" s="1198" t="s">
        <v>1402</v>
      </c>
      <c r="F51" s="347">
        <f ca="1">F8</f>
        <v>365</v>
      </c>
      <c r="I51" s="1896" t="s">
        <v>1535</v>
      </c>
      <c r="J51" s="1897">
        <f>IF(J49="",J50,J49+J50-YEAR('数据-取费表'!B2))</f>
        <v>44</v>
      </c>
      <c r="K51" s="1898" t="s">
        <v>1536</v>
      </c>
      <c r="L51" s="1899">
        <f ca="1">ROUND(-PV(INDIRECT("'数据-取费表'!h"&amp;$G$1),L48,(C39-C13*C76),0),0)</f>
        <v>2810516</v>
      </c>
      <c r="M51" s="1900"/>
      <c r="O51" s="1892" t="s">
        <v>1041</v>
      </c>
      <c r="P51" s="1883" t="s">
        <v>1537</v>
      </c>
      <c r="Q51" s="1895">
        <f>J52</f>
        <v>8.5000000000000006E-2</v>
      </c>
      <c r="R51" s="1884"/>
    </row>
    <row r="52" spans="1:18" s="1840" customFormat="1" ht="13.5" thickBot="1">
      <c r="A52" s="1194"/>
      <c r="B52" s="1196"/>
      <c r="C52" s="1197"/>
      <c r="D52" s="1170"/>
      <c r="E52" s="1198" t="s">
        <v>1403</v>
      </c>
      <c r="F52" s="1273"/>
      <c r="I52" s="1901" t="s">
        <v>1538</v>
      </c>
      <c r="J52" s="1902">
        <v>8.5000000000000006E-2</v>
      </c>
      <c r="K52" s="1901" t="s">
        <v>1539</v>
      </c>
      <c r="L52" s="1902"/>
      <c r="O52" s="1892" t="s">
        <v>1042</v>
      </c>
      <c r="P52" s="1883" t="s">
        <v>1540</v>
      </c>
      <c r="Q52" s="1884">
        <f ca="1">J53</f>
        <v>32.33</v>
      </c>
      <c r="R52" s="1884" t="s">
        <v>1541</v>
      </c>
    </row>
    <row r="53" spans="1:18" s="1840" customFormat="1" ht="30.75" customHeight="1" thickBot="1">
      <c r="A53" s="1359" t="s">
        <v>1134</v>
      </c>
      <c r="B53" s="368" t="s">
        <v>1404</v>
      </c>
      <c r="C53" s="360">
        <f ca="1">ROUND(IF(F53="押一",C49/12*F11,IF(F53="押二",C49/12*2*F11,IF(F53="押三",C49/12*3*F11,C54*F11))),0)</f>
        <v>0</v>
      </c>
      <c r="D53" s="1822" t="s">
        <v>3028</v>
      </c>
      <c r="E53" s="357" t="s">
        <v>1405</v>
      </c>
      <c r="F53" s="1364"/>
      <c r="I53" s="1903" t="s">
        <v>1542</v>
      </c>
      <c r="J53" s="1904">
        <f ca="1">IF(M47="住宅",IF(D1="——",MAX(J51,L48),IF(D1="在建（套用方法）",MAX(J51,L48-'数据-取费表'!B24),MAX(J51,L48-'数据-取费表'!B20))),IF(D1="——",MIN(J51,L48),IF(D1="在建（套用方法）",MIN(J51,L48-'数据-取费表'!B24),IF(D1="土地（套用方法）",MIN(J51,L48-'数据-取费表'!B20)))))</f>
        <v>32.33</v>
      </c>
      <c r="K53" s="3209" t="s">
        <v>1543</v>
      </c>
      <c r="L53" s="3210"/>
      <c r="O53" s="1882" t="s">
        <v>1043</v>
      </c>
      <c r="P53" s="1883" t="s">
        <v>1544</v>
      </c>
      <c r="Q53" s="1884">
        <f ca="1">Q47+Q48</f>
        <v>4453301</v>
      </c>
      <c r="R53" s="1884" t="s">
        <v>1044</v>
      </c>
    </row>
    <row r="54" spans="1:18" s="1840" customFormat="1" ht="13.5" thickBot="1">
      <c r="A54" s="1192"/>
      <c r="B54" s="1939" t="s">
        <v>1598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1545</v>
      </c>
      <c r="P54" s="1837"/>
      <c r="Q54" s="1837"/>
      <c r="R54" s="1837"/>
    </row>
    <row r="55" spans="1:18" s="1840" customFormat="1" ht="13.5" thickBot="1">
      <c r="A55" s="1331" t="s">
        <v>1072</v>
      </c>
      <c r="B55" s="1825" t="s">
        <v>1408</v>
      </c>
      <c r="C55" s="1332"/>
      <c r="D55" s="1822"/>
      <c r="E55" s="1830"/>
      <c r="F55" s="1905"/>
      <c r="I55" s="1908" t="s">
        <v>1546</v>
      </c>
      <c r="J55" s="1909" t="e">
        <f ca="1">ROUND(IF(J47="钢混",J57/J50,1-(1-2%)*(J50-J57)/J50),3)</f>
        <v>#VALUE!</v>
      </c>
      <c r="K55" s="1910" t="s">
        <v>1547</v>
      </c>
      <c r="L55" s="1911"/>
      <c r="O55" s="1875" t="s">
        <v>1517</v>
      </c>
      <c r="P55" s="1876" t="s">
        <v>1518</v>
      </c>
      <c r="Q55" s="1877" t="s">
        <v>1519</v>
      </c>
      <c r="R55" s="1877" t="s">
        <v>1520</v>
      </c>
    </row>
    <row r="56" spans="1:18" s="1840" customFormat="1" ht="36" customHeight="1" thickTop="1" thickBot="1">
      <c r="A56" s="1174">
        <v>2</v>
      </c>
      <c r="B56" s="1175" t="s">
        <v>1409</v>
      </c>
      <c r="C56" s="275">
        <f ca="1">C13</f>
        <v>366021</v>
      </c>
      <c r="D56" s="1912"/>
      <c r="E56" s="1913"/>
      <c r="F56" s="1905"/>
      <c r="I56" s="1914" t="s">
        <v>1549</v>
      </c>
      <c r="J56" s="1915" t="s">
        <v>3051</v>
      </c>
      <c r="K56" s="1885" t="s">
        <v>1550</v>
      </c>
      <c r="L56" s="1888" t="str">
        <f ca="1">IF(L48&lt;J51,"——",L48-J51)</f>
        <v>——</v>
      </c>
      <c r="O56" s="1882" t="s">
        <v>1037</v>
      </c>
      <c r="P56" s="1883" t="s">
        <v>1523</v>
      </c>
      <c r="Q56" s="1884">
        <f ca="1">C40+J29</f>
        <v>4453301</v>
      </c>
      <c r="R56" s="1884" t="s">
        <v>1524</v>
      </c>
    </row>
    <row r="57" spans="1:18" s="1840" customFormat="1" ht="24.75" thickBot="1">
      <c r="A57" s="1916"/>
      <c r="B57" s="1167" t="s">
        <v>1473</v>
      </c>
      <c r="C57" s="281">
        <f ca="1">C29</f>
        <v>499120</v>
      </c>
      <c r="D57" s="1917"/>
      <c r="E57" s="1918"/>
      <c r="F57" s="1919"/>
      <c r="I57" s="1920" t="s">
        <v>1551</v>
      </c>
      <c r="J57" s="1921"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4.75" thickBot="1">
      <c r="A58" s="359" t="s">
        <v>1027</v>
      </c>
      <c r="B58" s="1175" t="s">
        <v>1419</v>
      </c>
      <c r="C58" s="360">
        <f ca="1">ROUND(C59+C64+C65+C66,0)</f>
        <v>8036</v>
      </c>
      <c r="D58" s="1177" t="s">
        <v>1420</v>
      </c>
      <c r="E58" s="1178"/>
      <c r="F58" s="1179"/>
      <c r="I58" s="1920" t="s">
        <v>1555</v>
      </c>
      <c r="J58" s="1922"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3">
        <f ca="1">ROUND(IF(项目基本情况!B11="自然人",C48*F59,C60+C61+C62),0)</f>
        <v>0</v>
      </c>
      <c r="D59" s="1180" t="s">
        <v>1425</v>
      </c>
      <c r="E59" s="1181" t="s">
        <v>1426</v>
      </c>
      <c r="F59" s="367">
        <f ca="1">IF(项目基本情况!B11="企业","",IF(INDIRECT("'数据-取费表'!c"&amp;$G$1)="住宅",5%,IF(F49*F50*F51/12/(1+'数据-取费表'!C42)&gt;20000,12%,7%)))</f>
        <v>7.0000000000000007E-2</v>
      </c>
      <c r="I59" s="1920" t="s">
        <v>1558</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3" t="str">
        <f>IF(项目基本情况!B11="自然人","——",ROUND(C48*F60/(1+'数据-取费表'!C42),0))</f>
        <v>——</v>
      </c>
      <c r="D60" s="1181" t="s">
        <v>1429</v>
      </c>
      <c r="E60" s="1167" t="s">
        <v>1417</v>
      </c>
      <c r="F60" s="376">
        <f t="shared" ref="F60:F66" si="0">F32</f>
        <v>5.6000000000000001E-2</v>
      </c>
      <c r="I60" s="1923" t="s">
        <v>1560</v>
      </c>
      <c r="J60" s="1924" t="str">
        <f ca="1">IF(OR(M47="住宅",J51&lt;L48,J56="是"),"0",ROUND(J59/(1+J52)^J53,0))</f>
        <v>0</v>
      </c>
      <c r="K60" s="1925" t="s">
        <v>1561</v>
      </c>
      <c r="L60" s="1924">
        <f ca="1">IF(OR(M47="住宅",L48&lt;J51),0,ROUND(L57*(L58/L59-1),0))</f>
        <v>0</v>
      </c>
      <c r="O60" s="1892" t="s">
        <v>1041</v>
      </c>
      <c r="P60" s="1883" t="s">
        <v>1562</v>
      </c>
      <c r="Q60" s="1884" t="e">
        <f ca="1">L58</f>
        <v>#DIV/0!</v>
      </c>
      <c r="R60" s="1884" t="s">
        <v>1563</v>
      </c>
    </row>
    <row r="61" spans="1:18" s="1840" customFormat="1" ht="13.5" thickBot="1">
      <c r="A61" s="1199" t="s">
        <v>1487</v>
      </c>
      <c r="B61" s="1167" t="s">
        <v>1488</v>
      </c>
      <c r="C61" s="23" t="str">
        <f ca="1">IF(项目基本情况!B11="自然人","——",IF(D61="按租金收入计税",ROUND(C48*F61,0),IF(D61="按房产原值计税",ROUND(C57*F61*0.7,0),INDIRECT("'数据-取费表'!Aj"&amp;$G$1))))</f>
        <v>——</v>
      </c>
      <c r="D61" s="1826" t="s">
        <v>1433</v>
      </c>
      <c r="E61" s="1167" t="s">
        <v>1489</v>
      </c>
      <c r="F61" s="366">
        <f t="shared" si="0"/>
        <v>0.12</v>
      </c>
      <c r="I61" s="1926"/>
      <c r="J61" s="1926"/>
      <c r="K61" s="1926"/>
      <c r="L61" s="1926"/>
      <c r="O61" s="1892" t="s">
        <v>1042</v>
      </c>
      <c r="P61" s="1883" t="str">
        <f>K59</f>
        <v>建筑物剩余耐用年限下的土地年期修正系数Kn</v>
      </c>
      <c r="Q61" s="1884" t="e">
        <f ca="1">L59</f>
        <v>#DIV/0!</v>
      </c>
      <c r="R61" s="1884" t="s">
        <v>1564</v>
      </c>
    </row>
    <row r="62" spans="1:18" s="1840" customFormat="1" ht="13.5" thickBot="1">
      <c r="A62" s="1199" t="s">
        <v>1490</v>
      </c>
      <c r="B62" s="1166" t="s">
        <v>1491</v>
      </c>
      <c r="C62" s="24" t="str">
        <f>IF(项目基本情况!B11="自然人","——",ROUND(F62*F63,0))</f>
        <v>——</v>
      </c>
      <c r="D62" s="1182" t="s">
        <v>1492</v>
      </c>
      <c r="E62" s="1167" t="s">
        <v>1493</v>
      </c>
      <c r="F62" s="370">
        <f t="shared" si="0"/>
        <v>24</v>
      </c>
      <c r="I62" s="1927" t="s">
        <v>1565</v>
      </c>
      <c r="J62" s="1928" t="s">
        <v>1566</v>
      </c>
      <c r="K62" s="1928" t="s">
        <v>1567</v>
      </c>
      <c r="L62" s="1928" t="s">
        <v>1568</v>
      </c>
      <c r="M62" s="1929" t="s">
        <v>1569</v>
      </c>
      <c r="O62" s="1882" t="s">
        <v>1043</v>
      </c>
      <c r="P62" s="1883" t="s">
        <v>1570</v>
      </c>
      <c r="Q62" s="1884">
        <f ca="1">Q56+Q57</f>
        <v>4453301</v>
      </c>
      <c r="R62" s="1884" t="s">
        <v>1044</v>
      </c>
    </row>
    <row r="63" spans="1:18" s="1840" customFormat="1" ht="13.5" thickBot="1">
      <c r="A63" s="371"/>
      <c r="B63" s="1173"/>
      <c r="C63" s="28"/>
      <c r="D63" s="1183"/>
      <c r="E63" s="1167" t="s">
        <v>1494</v>
      </c>
      <c r="F63" s="347">
        <f t="shared" ca="1" si="0"/>
        <v>30.34</v>
      </c>
      <c r="I63" s="1927" t="s">
        <v>1571</v>
      </c>
      <c r="J63" s="1928">
        <v>70</v>
      </c>
      <c r="K63" s="1928">
        <v>50</v>
      </c>
      <c r="L63" s="1928">
        <v>80</v>
      </c>
      <c r="M63" s="1930">
        <v>0.02</v>
      </c>
      <c r="O63" s="1867" t="s">
        <v>1572</v>
      </c>
      <c r="P63" s="1837"/>
      <c r="Q63" s="1837"/>
      <c r="R63" s="1837"/>
    </row>
    <row r="64" spans="1:18" s="1840" customFormat="1" ht="13.5" thickBot="1">
      <c r="A64" s="1199" t="s">
        <v>1495</v>
      </c>
      <c r="B64" s="1167" t="s">
        <v>1496</v>
      </c>
      <c r="C64" s="23">
        <f ca="1">ROUND(C57*F64,0)</f>
        <v>7487</v>
      </c>
      <c r="D64" s="1181" t="s">
        <v>1497</v>
      </c>
      <c r="E64" s="1167" t="s">
        <v>1489</v>
      </c>
      <c r="F64" s="373">
        <f t="shared" ca="1" si="0"/>
        <v>1.4999999999999999E-2</v>
      </c>
      <c r="I64" s="1927" t="s">
        <v>1573</v>
      </c>
      <c r="J64" s="1928">
        <v>50</v>
      </c>
      <c r="K64" s="1928">
        <v>35</v>
      </c>
      <c r="L64" s="1928">
        <v>60</v>
      </c>
      <c r="M64" s="1929">
        <v>0</v>
      </c>
      <c r="O64" s="1875" t="s">
        <v>1517</v>
      </c>
      <c r="P64" s="1876" t="s">
        <v>1518</v>
      </c>
      <c r="Q64" s="1877" t="s">
        <v>1519</v>
      </c>
      <c r="R64" s="1877" t="s">
        <v>1520</v>
      </c>
    </row>
    <row r="65" spans="1:18" s="1840" customFormat="1" ht="13.5" thickBot="1">
      <c r="A65" s="1199" t="s">
        <v>1498</v>
      </c>
      <c r="B65" s="1167" t="s">
        <v>1448</v>
      </c>
      <c r="C65" s="23">
        <f ca="1">ROUND(C56*F65,0)</f>
        <v>549</v>
      </c>
      <c r="D65" s="1181" t="s">
        <v>1449</v>
      </c>
      <c r="E65" s="1167" t="s">
        <v>1450</v>
      </c>
      <c r="F65" s="375">
        <f t="shared" ca="1" si="0"/>
        <v>1.5E-3</v>
      </c>
      <c r="I65" s="1927" t="s">
        <v>1574</v>
      </c>
      <c r="J65" s="1928">
        <v>40</v>
      </c>
      <c r="K65" s="1928">
        <v>30</v>
      </c>
      <c r="L65" s="1928">
        <v>50</v>
      </c>
      <c r="M65" s="1930">
        <v>0.02</v>
      </c>
      <c r="O65" s="1882" t="s">
        <v>1037</v>
      </c>
      <c r="P65" s="1883" t="s">
        <v>1575</v>
      </c>
      <c r="Q65" s="1884">
        <f ca="1">C40+J29</f>
        <v>4453301</v>
      </c>
      <c r="R65" s="1884" t="s">
        <v>1524</v>
      </c>
    </row>
    <row r="66" spans="1:18" s="1840" customFormat="1" ht="16.5" thickBot="1">
      <c r="A66" s="1199" t="s">
        <v>1499</v>
      </c>
      <c r="B66" s="1167" t="s">
        <v>1434</v>
      </c>
      <c r="C66" s="23">
        <f ca="1">ROUND(C48*F66,0)</f>
        <v>0</v>
      </c>
      <c r="D66" s="1181" t="s">
        <v>1500</v>
      </c>
      <c r="E66" s="1167" t="s">
        <v>1417</v>
      </c>
      <c r="F66" s="356">
        <f t="shared" ca="1" si="0"/>
        <v>1.4999999999999999E-2</v>
      </c>
      <c r="O66" s="1882" t="s">
        <v>1038</v>
      </c>
      <c r="P66" s="1883" t="s">
        <v>1553</v>
      </c>
      <c r="Q66" s="1884">
        <f ca="1">L60</f>
        <v>0</v>
      </c>
      <c r="R66" s="1884" t="s">
        <v>1576</v>
      </c>
    </row>
    <row r="67" spans="1:18" s="1840" customFormat="1" ht="16.5" thickBot="1">
      <c r="A67" s="1174" t="s">
        <v>1028</v>
      </c>
      <c r="B67" s="1184" t="s">
        <v>1458</v>
      </c>
      <c r="C67" s="360">
        <f ca="1">C48-C58</f>
        <v>-8036</v>
      </c>
      <c r="D67" s="1180" t="s">
        <v>1459</v>
      </c>
      <c r="E67" s="1185"/>
      <c r="F67" s="1186"/>
      <c r="O67" s="1892" t="s">
        <v>1039</v>
      </c>
      <c r="P67" s="1883" t="s">
        <v>1557</v>
      </c>
      <c r="Q67" s="1931">
        <f ca="1">L51</f>
        <v>2810516</v>
      </c>
      <c r="R67" s="1884" t="s">
        <v>1577</v>
      </c>
    </row>
    <row r="68" spans="1:18" s="1840" customFormat="1" ht="16.5" thickBot="1">
      <c r="A68" s="1164" t="s">
        <v>1029</v>
      </c>
      <c r="B68" s="1165" t="s">
        <v>1480</v>
      </c>
      <c r="C68" s="345">
        <f ca="1">ROUND(C67*(1-((1+F70)/(1+F68))^F69)/(F68-F70),0)</f>
        <v>-173401</v>
      </c>
      <c r="D68" s="1182" t="s">
        <v>1464</v>
      </c>
      <c r="E68" s="1167" t="s">
        <v>1465</v>
      </c>
      <c r="F68" s="356">
        <f ca="1">F40</f>
        <v>5.5E-2</v>
      </c>
      <c r="O68" s="1892" t="s">
        <v>1040</v>
      </c>
      <c r="P68" s="1932" t="s">
        <v>1578</v>
      </c>
      <c r="Q68" s="1884">
        <f ca="1">ROUND(Q69-Q70*Q71,0)</f>
        <v>177099</v>
      </c>
      <c r="R68" s="1884" t="s">
        <v>1048</v>
      </c>
    </row>
    <row r="69" spans="1:18" s="1840" customFormat="1" ht="13.5" thickBot="1">
      <c r="A69" s="1168"/>
      <c r="B69" s="1169"/>
      <c r="C69" s="350"/>
      <c r="D69" s="1187" t="s">
        <v>1468</v>
      </c>
      <c r="E69" s="1167" t="s">
        <v>1469</v>
      </c>
      <c r="F69" s="378">
        <f ca="1">F41</f>
        <v>32.33</v>
      </c>
      <c r="O69" s="1892" t="s">
        <v>1045</v>
      </c>
      <c r="P69" s="1932" t="s">
        <v>1579</v>
      </c>
      <c r="Q69" s="1884">
        <f ca="1">C39</f>
        <v>206381</v>
      </c>
      <c r="R69" s="1884" t="s">
        <v>1524</v>
      </c>
    </row>
    <row r="70" spans="1:18" s="1840" customFormat="1" ht="13.5" thickBot="1">
      <c r="A70" s="1171"/>
      <c r="B70" s="1172"/>
      <c r="C70" s="354"/>
      <c r="D70" s="1183"/>
      <c r="E70" s="1167" t="s">
        <v>1472</v>
      </c>
      <c r="F70" s="1273">
        <f ca="1">F42</f>
        <v>0.03</v>
      </c>
      <c r="O70" s="1892" t="s">
        <v>1046</v>
      </c>
      <c r="P70" s="1932" t="s">
        <v>1580</v>
      </c>
      <c r="Q70" s="1884">
        <f ca="1">C13</f>
        <v>366021</v>
      </c>
      <c r="R70" s="1884" t="s">
        <v>1524</v>
      </c>
    </row>
    <row r="71" spans="1:18" s="1840" customFormat="1" ht="13.5" thickBot="1">
      <c r="A71" s="1188" t="s">
        <v>1030</v>
      </c>
      <c r="B71" s="1189" t="s">
        <v>1482</v>
      </c>
      <c r="C71" s="381">
        <f ca="1">ROUND(C68/F71,0)</f>
        <v>-1577</v>
      </c>
      <c r="D71" s="1190" t="s">
        <v>1483</v>
      </c>
      <c r="E71" s="1191" t="s">
        <v>1484</v>
      </c>
      <c r="F71" s="384">
        <f ca="1">F43</f>
        <v>109.98</v>
      </c>
      <c r="O71" s="1892" t="s">
        <v>1047</v>
      </c>
      <c r="P71" s="1932" t="s">
        <v>1581</v>
      </c>
      <c r="Q71" s="1895">
        <f ca="1">C76</f>
        <v>0.08</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6" t="s">
        <v>1582</v>
      </c>
      <c r="C74" s="1934"/>
      <c r="D74" s="1840"/>
      <c r="E74" s="1840"/>
      <c r="F74" s="1840"/>
      <c r="O74" s="1892" t="s">
        <v>1049</v>
      </c>
      <c r="P74" s="1883" t="str">
        <f>K59</f>
        <v>建筑物剩余耐用年限下的土地年期修正系数Kn</v>
      </c>
      <c r="Q74" s="1884" t="e">
        <f ca="1">L59</f>
        <v>#DIV/0!</v>
      </c>
      <c r="R74" s="1884" t="s">
        <v>1564</v>
      </c>
    </row>
    <row r="75" spans="1:18" ht="13.5" thickBot="1">
      <c r="A75" s="1840"/>
      <c r="B75" s="385" t="s">
        <v>1501</v>
      </c>
      <c r="C75" s="386">
        <f ca="1">ROUND(C13*C76,0)</f>
        <v>29282</v>
      </c>
      <c r="D75" s="1840"/>
      <c r="E75" s="1840"/>
      <c r="F75" s="1840"/>
      <c r="K75" s="1866"/>
      <c r="L75" s="1840"/>
      <c r="O75" s="1882" t="s">
        <v>1043</v>
      </c>
      <c r="P75" s="1883" t="s">
        <v>1544</v>
      </c>
      <c r="Q75" s="1884">
        <f ca="1">Q65+Q66</f>
        <v>4453301</v>
      </c>
      <c r="R75" s="1884" t="s">
        <v>1044</v>
      </c>
    </row>
    <row r="76" spans="1:18">
      <c r="B76" s="387" t="s">
        <v>1502</v>
      </c>
      <c r="C76" s="388">
        <f ca="1">INDIRECT("'数据-取费表'!j"&amp;$G$1)</f>
        <v>0.08</v>
      </c>
      <c r="I76" s="1840"/>
      <c r="J76" s="1840"/>
      <c r="K76" s="1866"/>
      <c r="L76" s="1840"/>
    </row>
    <row r="77" spans="1:18">
      <c r="B77" s="389" t="s">
        <v>1503</v>
      </c>
      <c r="C77" s="390"/>
      <c r="I77" s="1840"/>
      <c r="J77" s="1840"/>
      <c r="K77" s="1866"/>
      <c r="L77" s="1840"/>
    </row>
    <row r="78" spans="1:18">
      <c r="B78" s="313" t="s">
        <v>1504</v>
      </c>
      <c r="C78" s="391"/>
    </row>
    <row r="79" spans="1:18">
      <c r="B79" s="385" t="s">
        <v>1505</v>
      </c>
      <c r="C79" s="317">
        <f ca="1">1-C80</f>
        <v>0.85799999999999998</v>
      </c>
    </row>
    <row r="80" spans="1:18">
      <c r="B80" s="385" t="s">
        <v>1506</v>
      </c>
      <c r="C80" s="317">
        <f ca="1">ROUND(C75/C39,3)</f>
        <v>0.14199999999999999</v>
      </c>
    </row>
    <row r="81" spans="2:3">
      <c r="B81" s="313" t="s">
        <v>1507</v>
      </c>
      <c r="C81" s="281"/>
    </row>
    <row r="82" spans="2:3">
      <c r="B82" s="316" t="s">
        <v>1508</v>
      </c>
      <c r="C82" s="318">
        <f ca="1">1-C83</f>
        <v>0.91800000000000004</v>
      </c>
    </row>
    <row r="83" spans="2:3">
      <c r="B83" s="316" t="s">
        <v>1509</v>
      </c>
      <c r="C83" s="317">
        <f ca="1">ROUND(C13/C40,3)</f>
        <v>8.2000000000000003E-2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59" priority="4">
      <formula>$L$48&gt;$J$51</formula>
    </cfRule>
  </conditionalFormatting>
  <conditionalFormatting sqref="I55 I60">
    <cfRule type="expression" dxfId="58" priority="5">
      <formula>$J$51&gt;$L$48</formula>
    </cfRule>
  </conditionalFormatting>
  <conditionalFormatting sqref="C11">
    <cfRule type="expression" dxfId="57" priority="3">
      <formula>$F$10="自定义"</formula>
    </cfRule>
  </conditionalFormatting>
  <conditionalFormatting sqref="J11">
    <cfRule type="expression" dxfId="56" priority="2">
      <formula>$M$10="自定义"</formula>
    </cfRule>
  </conditionalFormatting>
  <conditionalFormatting sqref="C54">
    <cfRule type="expression" dxfId="5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C14" sqref="C14:C16"/>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665" t="s">
        <v>2675</v>
      </c>
      <c r="C1" s="1618" t="s">
        <v>2519</v>
      </c>
      <c r="D1" s="1619" t="s">
        <v>27</v>
      </c>
      <c r="E1" s="1628"/>
      <c r="F1" s="2582" t="s">
        <v>3223</v>
      </c>
      <c r="G1" s="1629" t="s">
        <v>2521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1389</v>
      </c>
      <c r="B2" s="1416">
        <f>IF(C2="——",ROUND(C50*D3/10000,0),ROUND(C50*D3/10000,0)-D2)</f>
        <v>0</v>
      </c>
      <c r="C2" s="2584" t="s">
        <v>70</v>
      </c>
      <c r="D2" s="1363" t="e">
        <f ca="1">SUMIF(INDIRECT("'"&amp;F2&amp;"'"&amp;"!A:A"),"承租人权益价值",INDIRECT("'"&amp;F2&amp;"'"&amp;"!c:c"))</f>
        <v>#REF!</v>
      </c>
      <c r="E2" s="2585" t="s">
        <v>2317</v>
      </c>
      <c r="F2" s="2586"/>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1390</v>
      </c>
      <c r="B3" s="608">
        <f>IF(C2="——",C50,ROUND(B2*10000/D3,0))</f>
        <v>6.7</v>
      </c>
      <c r="C3" s="399" t="s">
        <v>2523</v>
      </c>
      <c r="D3" s="398">
        <f>IF(D1="",'数据-汇总表'!E3,SUMIF('数据-汇总表'!$C19:$C33,D1,'数据-汇总表'!$E19:$E33))</f>
        <v>109.98</v>
      </c>
      <c r="E3" s="2659"/>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2524</v>
      </c>
      <c r="B4" s="401"/>
      <c r="C4" s="3255" t="s">
        <v>2525</v>
      </c>
      <c r="D4" s="3256"/>
      <c r="E4" s="3257" t="s">
        <v>2526</v>
      </c>
      <c r="F4" s="3258"/>
      <c r="G4" s="3255" t="s">
        <v>2527</v>
      </c>
      <c r="H4" s="3256"/>
      <c r="I4" s="3255" t="s">
        <v>2528</v>
      </c>
      <c r="J4" s="3256"/>
      <c r="K4" s="609" t="s">
        <v>2529</v>
      </c>
      <c r="L4" s="1128"/>
      <c r="M4" s="1129"/>
      <c r="N4" s="1129"/>
      <c r="O4" s="1129"/>
      <c r="P4" s="3288" t="s">
        <v>2530</v>
      </c>
      <c r="Q4" s="3289"/>
      <c r="R4" s="3292" t="s">
        <v>2526</v>
      </c>
      <c r="S4" s="3293"/>
      <c r="T4" s="3292" t="s">
        <v>2527</v>
      </c>
      <c r="U4" s="3293"/>
      <c r="V4" s="3294" t="s">
        <v>2528</v>
      </c>
      <c r="W4" s="3294"/>
      <c r="X4" s="2993"/>
      <c r="Y4" s="3292" t="s">
        <v>2530</v>
      </c>
      <c r="Z4" s="3293"/>
      <c r="AA4" s="3297" t="s">
        <v>2526</v>
      </c>
      <c r="AB4" s="3297" t="s">
        <v>2527</v>
      </c>
      <c r="AC4" s="3285" t="s">
        <v>2528</v>
      </c>
    </row>
    <row r="5" spans="1:29" ht="15">
      <c r="A5" s="403"/>
      <c r="B5" s="404"/>
      <c r="C5" s="3296" t="s">
        <v>3057</v>
      </c>
      <c r="D5" s="3274"/>
      <c r="E5" s="3280" t="str">
        <f>C5</f>
        <v>银座</v>
      </c>
      <c r="F5" s="3281"/>
      <c r="G5" s="3273" t="str">
        <f>C5</f>
        <v>银座</v>
      </c>
      <c r="H5" s="3274"/>
      <c r="I5" s="3273" t="str">
        <f>C5</f>
        <v>银座</v>
      </c>
      <c r="J5" s="3274"/>
      <c r="K5" s="609"/>
      <c r="L5" s="1128"/>
      <c r="M5" s="1129"/>
      <c r="N5" s="1129"/>
      <c r="O5" s="1129"/>
      <c r="P5" s="3290"/>
      <c r="Q5" s="3262"/>
      <c r="R5" s="3267"/>
      <c r="S5" s="3268"/>
      <c r="T5" s="3267"/>
      <c r="U5" s="3268"/>
      <c r="V5" s="3250"/>
      <c r="W5" s="3250"/>
      <c r="X5" s="2988"/>
      <c r="Y5" s="3267"/>
      <c r="Z5" s="3268"/>
      <c r="AA5" s="3253"/>
      <c r="AB5" s="3253"/>
      <c r="AC5" s="3286"/>
    </row>
    <row r="6" spans="1:29" ht="15.75" thickBot="1">
      <c r="A6" s="405"/>
      <c r="B6" s="406"/>
      <c r="C6" s="3271" t="s">
        <v>2535</v>
      </c>
      <c r="D6" s="3272"/>
      <c r="E6" s="3278" t="s">
        <v>2535</v>
      </c>
      <c r="F6" s="3279"/>
      <c r="G6" s="3271" t="s">
        <v>2535</v>
      </c>
      <c r="H6" s="3272"/>
      <c r="I6" s="3271" t="s">
        <v>2535</v>
      </c>
      <c r="J6" s="3272"/>
      <c r="K6" s="609" t="s">
        <v>2536</v>
      </c>
      <c r="L6" s="1128"/>
      <c r="M6" s="1129"/>
      <c r="N6" s="1129"/>
      <c r="O6" s="1129"/>
      <c r="P6" s="3291"/>
      <c r="Q6" s="3264"/>
      <c r="R6" s="3267"/>
      <c r="S6" s="3268"/>
      <c r="T6" s="3269"/>
      <c r="U6" s="3270"/>
      <c r="V6" s="3250"/>
      <c r="W6" s="3250"/>
      <c r="X6" s="2988"/>
      <c r="Y6" s="3269"/>
      <c r="Z6" s="3270"/>
      <c r="AA6" s="3254"/>
      <c r="AB6" s="3254"/>
      <c r="AC6" s="3287"/>
    </row>
    <row r="7" spans="1:29" s="116" customFormat="1" ht="15.75" thickBot="1">
      <c r="A7" s="407" t="s">
        <v>2537</v>
      </c>
      <c r="B7" s="408"/>
      <c r="C7" s="409">
        <f>'数据-取费表'!B2</f>
        <v>43658</v>
      </c>
      <c r="D7" s="410">
        <v>100</v>
      </c>
      <c r="E7" s="411">
        <f>C7</f>
        <v>43658</v>
      </c>
      <c r="F7" s="412">
        <f>SUMIF(59:59,YEAR(E7)&amp;"-"&amp;MONTH(E7),60:60)</f>
        <v>100</v>
      </c>
      <c r="G7" s="411">
        <f>C7</f>
        <v>43658</v>
      </c>
      <c r="H7" s="410">
        <f>SUMIF(59:59,YEAR(G7)&amp;"-"&amp;MONTH(G7),60:60)</f>
        <v>100</v>
      </c>
      <c r="I7" s="411">
        <f>C7</f>
        <v>43658</v>
      </c>
      <c r="J7" s="410">
        <f>SUMIF(59:59,YEAR(I7)&amp;"-"&amp;MONTH(I7),60:60)</f>
        <v>100</v>
      </c>
      <c r="K7" s="610"/>
      <c r="L7" s="1130"/>
      <c r="M7" s="1131"/>
      <c r="N7" s="1131"/>
      <c r="O7" s="1131"/>
      <c r="P7" s="3295" t="s">
        <v>2538</v>
      </c>
      <c r="Q7" s="3277"/>
      <c r="R7" s="768" t="s">
        <v>17</v>
      </c>
      <c r="S7" s="769">
        <f t="shared" ref="S7:S15" si="0">F7</f>
        <v>100</v>
      </c>
      <c r="T7" s="768" t="s">
        <v>17</v>
      </c>
      <c r="U7" s="769">
        <f t="shared" ref="U7:U15" si="1">H7</f>
        <v>100</v>
      </c>
      <c r="V7" s="768" t="s">
        <v>17</v>
      </c>
      <c r="W7" s="769">
        <f t="shared" ref="W7:W15" si="2">J7</f>
        <v>100</v>
      </c>
      <c r="X7" s="770"/>
      <c r="Y7" s="3275" t="s">
        <v>2538</v>
      </c>
      <c r="Z7" s="3276"/>
      <c r="AA7" s="771">
        <f>D7/F7</f>
        <v>1</v>
      </c>
      <c r="AB7" s="771">
        <f>D7/H7</f>
        <v>1</v>
      </c>
      <c r="AC7" s="2667">
        <f>D7/J7</f>
        <v>1</v>
      </c>
    </row>
    <row r="8" spans="1:29" s="116" customFormat="1" ht="15.75" thickBot="1">
      <c r="A8" s="407" t="s">
        <v>2539</v>
      </c>
      <c r="B8" s="408"/>
      <c r="C8" s="413" t="s">
        <v>2576</v>
      </c>
      <c r="D8" s="410">
        <v>100</v>
      </c>
      <c r="E8" s="413" t="s">
        <v>3058</v>
      </c>
      <c r="F8" s="412">
        <f>SUMIF(62:62,E8,63:63)-SUMIF(62:62,C8,63:63)+100</f>
        <v>100</v>
      </c>
      <c r="G8" s="413" t="s">
        <v>3058</v>
      </c>
      <c r="H8" s="410">
        <f>SUMIF(62:62,G8,63:63)-SUMIF(62:62,C8,63:63)+100</f>
        <v>100</v>
      </c>
      <c r="I8" s="413" t="s">
        <v>3058</v>
      </c>
      <c r="J8" s="410">
        <f>SUMIF(62:62,I8,63:63)-SUMIF(62:62,C8,63:63)+100</f>
        <v>100</v>
      </c>
      <c r="K8" s="610"/>
      <c r="L8" s="1130"/>
      <c r="M8" s="1131"/>
      <c r="N8" s="1131"/>
      <c r="O8" s="1131"/>
      <c r="P8" s="3295" t="s">
        <v>2541</v>
      </c>
      <c r="Q8" s="3276"/>
      <c r="R8" s="768" t="s">
        <v>17</v>
      </c>
      <c r="S8" s="769">
        <f t="shared" si="0"/>
        <v>100</v>
      </c>
      <c r="T8" s="768" t="s">
        <v>17</v>
      </c>
      <c r="U8" s="769">
        <f t="shared" si="1"/>
        <v>100</v>
      </c>
      <c r="V8" s="768" t="s">
        <v>17</v>
      </c>
      <c r="W8" s="769">
        <f t="shared" si="2"/>
        <v>100</v>
      </c>
      <c r="X8" s="770"/>
      <c r="Y8" s="3275" t="s">
        <v>2541</v>
      </c>
      <c r="Z8" s="3276"/>
      <c r="AA8" s="771">
        <f t="shared" ref="AA8:AA47" si="3">D8/F8</f>
        <v>1</v>
      </c>
      <c r="AB8" s="771">
        <f t="shared" ref="AB8:AB47" si="4">D8/H8</f>
        <v>1</v>
      </c>
      <c r="AC8" s="2667">
        <f t="shared" ref="AC8:AC47" si="5">D8/J8</f>
        <v>1</v>
      </c>
    </row>
    <row r="9" spans="1:29" s="116" customFormat="1">
      <c r="A9" s="414" t="s">
        <v>2542</v>
      </c>
      <c r="B9" s="70" t="s">
        <v>2543</v>
      </c>
      <c r="C9" s="2969" t="s">
        <v>3079</v>
      </c>
      <c r="D9" s="134">
        <v>100</v>
      </c>
      <c r="E9" s="418" t="s">
        <v>27</v>
      </c>
      <c r="F9" s="134">
        <f>SUMIF(64:64,E9,65:65)-SUMIF(64:64,C9,65:65)+100</f>
        <v>100</v>
      </c>
      <c r="G9" s="416" t="s">
        <v>27</v>
      </c>
      <c r="H9" s="134">
        <f>SUMIF(64:64,G9,65:65)-SUMIF(64:64,C9,65:65)+100</f>
        <v>100</v>
      </c>
      <c r="I9" s="416" t="s">
        <v>27</v>
      </c>
      <c r="J9" s="134">
        <f>SUMIF(64:64,I9,65:65)-SUMIF(64:64,C9,65:65)+100</f>
        <v>100</v>
      </c>
      <c r="K9" s="610"/>
      <c r="L9" s="1130"/>
      <c r="M9" s="1131"/>
      <c r="N9" s="1131"/>
      <c r="O9" s="1131"/>
      <c r="P9" s="3251" t="s">
        <v>2544</v>
      </c>
      <c r="Q9" s="2985" t="str">
        <f t="shared" ref="Q9:Q15" si="6">B9</f>
        <v>用途</v>
      </c>
      <c r="R9" s="768" t="s">
        <v>17</v>
      </c>
      <c r="S9" s="769">
        <f t="shared" si="0"/>
        <v>100</v>
      </c>
      <c r="T9" s="768" t="s">
        <v>17</v>
      </c>
      <c r="U9" s="769">
        <f t="shared" si="1"/>
        <v>100</v>
      </c>
      <c r="V9" s="768" t="s">
        <v>17</v>
      </c>
      <c r="W9" s="769">
        <f t="shared" si="2"/>
        <v>100</v>
      </c>
      <c r="X9" s="770"/>
      <c r="Y9" s="3067" t="s">
        <v>2545</v>
      </c>
      <c r="Z9" s="2986" t="str">
        <f t="shared" ref="Z9:Z15" si="7">Q9</f>
        <v>用途</v>
      </c>
      <c r="AA9" s="771">
        <f t="shared" si="3"/>
        <v>1</v>
      </c>
      <c r="AB9" s="771">
        <f t="shared" si="4"/>
        <v>1</v>
      </c>
      <c r="AC9" s="2667">
        <f t="shared" si="5"/>
        <v>1</v>
      </c>
    </row>
    <row r="10" spans="1:29" s="426" customFormat="1" ht="27">
      <c r="A10" s="420"/>
      <c r="B10" s="2987" t="s">
        <v>2546</v>
      </c>
      <c r="C10" s="422" t="s">
        <v>3222</v>
      </c>
      <c r="D10" s="135">
        <v>100</v>
      </c>
      <c r="E10" s="422" t="s">
        <v>3222</v>
      </c>
      <c r="F10" s="135">
        <f>SUMIF(66:66,E10,67:67)-SUMIF(66:66,C10,67:67)+100</f>
        <v>100</v>
      </c>
      <c r="G10" s="422" t="s">
        <v>3222</v>
      </c>
      <c r="H10" s="135">
        <f>SUMIF(66:66,G10,67:67)-SUMIF(66:66,C10,67:67)+100</f>
        <v>100</v>
      </c>
      <c r="I10" s="422" t="s">
        <v>3222</v>
      </c>
      <c r="J10" s="135">
        <f>SUMIF(66:66,I10,67:67)-SUMIF(66:66,C10,67:67)+100</f>
        <v>100</v>
      </c>
      <c r="K10" s="611">
        <v>2</v>
      </c>
      <c r="L10" s="1133"/>
      <c r="M10" s="1134"/>
      <c r="N10" s="1134"/>
      <c r="O10" s="1134"/>
      <c r="P10" s="3251"/>
      <c r="Q10" s="2985" t="str">
        <f t="shared" si="6"/>
        <v>土地使用年限（年）</v>
      </c>
      <c r="R10" s="768" t="s">
        <v>17</v>
      </c>
      <c r="S10" s="769">
        <f t="shared" si="0"/>
        <v>100</v>
      </c>
      <c r="T10" s="768" t="s">
        <v>17</v>
      </c>
      <c r="U10" s="769">
        <f t="shared" si="1"/>
        <v>100</v>
      </c>
      <c r="V10" s="768" t="s">
        <v>17</v>
      </c>
      <c r="W10" s="769">
        <f t="shared" si="2"/>
        <v>100</v>
      </c>
      <c r="X10" s="770"/>
      <c r="Y10" s="3067"/>
      <c r="Z10" s="2986" t="str">
        <f t="shared" si="7"/>
        <v>土地使用年限（年）</v>
      </c>
      <c r="AA10" s="771">
        <f t="shared" si="3"/>
        <v>1</v>
      </c>
      <c r="AB10" s="771">
        <f t="shared" si="4"/>
        <v>1</v>
      </c>
      <c r="AC10" s="2667">
        <f t="shared" si="5"/>
        <v>1</v>
      </c>
    </row>
    <row r="11" spans="1:29" ht="15">
      <c r="A11" s="427"/>
      <c r="B11" s="2987" t="s">
        <v>2547</v>
      </c>
      <c r="C11" s="428">
        <v>1</v>
      </c>
      <c r="D11" s="135">
        <v>100</v>
      </c>
      <c r="E11" s="428">
        <v>1</v>
      </c>
      <c r="F11" s="135">
        <f>LOOKUP(E11,69:69,70:70)-LOOKUP(C11,69:69,70:70)+100</f>
        <v>100</v>
      </c>
      <c r="G11" s="429">
        <v>1</v>
      </c>
      <c r="H11" s="135">
        <f>LOOKUP(G11,69:69,70:70)-LOOKUP(C11,69:69,70:70)+100</f>
        <v>100</v>
      </c>
      <c r="I11" s="428">
        <v>1</v>
      </c>
      <c r="J11" s="135">
        <f>LOOKUP(I11,69:69,70:70)-LOOKUP(C11,69:69,70:70)+100</f>
        <v>100</v>
      </c>
      <c r="K11" s="611">
        <v>0</v>
      </c>
      <c r="L11" s="1136"/>
      <c r="M11" s="1129"/>
      <c r="N11" s="1129"/>
      <c r="O11" s="1129"/>
      <c r="P11" s="3251"/>
      <c r="Q11" s="2985" t="str">
        <f t="shared" si="6"/>
        <v>容积率</v>
      </c>
      <c r="R11" s="768" t="s">
        <v>17</v>
      </c>
      <c r="S11" s="769">
        <f t="shared" si="0"/>
        <v>100</v>
      </c>
      <c r="T11" s="768" t="s">
        <v>17</v>
      </c>
      <c r="U11" s="769">
        <f t="shared" si="1"/>
        <v>100</v>
      </c>
      <c r="V11" s="768" t="s">
        <v>17</v>
      </c>
      <c r="W11" s="769">
        <f t="shared" si="2"/>
        <v>100</v>
      </c>
      <c r="X11" s="770"/>
      <c r="Y11" s="3067"/>
      <c r="Z11" s="2986" t="str">
        <f t="shared" si="7"/>
        <v>容积率</v>
      </c>
      <c r="AA11" s="771">
        <f t="shared" si="3"/>
        <v>1</v>
      </c>
      <c r="AB11" s="771">
        <f t="shared" si="4"/>
        <v>1</v>
      </c>
      <c r="AC11" s="2667">
        <f t="shared" si="5"/>
        <v>1</v>
      </c>
    </row>
    <row r="12" spans="1:29" s="116" customFormat="1" ht="15">
      <c r="A12" s="430"/>
      <c r="B12" s="2598">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251"/>
      <c r="Q12" s="2985">
        <f t="shared" si="6"/>
        <v>111</v>
      </c>
      <c r="R12" s="768" t="s">
        <v>17</v>
      </c>
      <c r="S12" s="769">
        <f t="shared" si="0"/>
        <v>100</v>
      </c>
      <c r="T12" s="768" t="s">
        <v>17</v>
      </c>
      <c r="U12" s="769">
        <f t="shared" si="1"/>
        <v>100</v>
      </c>
      <c r="V12" s="768" t="s">
        <v>17</v>
      </c>
      <c r="W12" s="769">
        <f t="shared" si="2"/>
        <v>100</v>
      </c>
      <c r="X12" s="770"/>
      <c r="Y12" s="3067"/>
      <c r="Z12" s="2986">
        <f t="shared" si="7"/>
        <v>111</v>
      </c>
      <c r="AA12" s="771">
        <f>D12/F12</f>
        <v>1</v>
      </c>
      <c r="AB12" s="771">
        <f>D12/H12</f>
        <v>1</v>
      </c>
      <c r="AC12" s="2667">
        <f>D12/J12</f>
        <v>1</v>
      </c>
    </row>
    <row r="13" spans="1:29" ht="15">
      <c r="A13" s="427"/>
      <c r="B13" s="2598">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251"/>
      <c r="Q13" s="2985">
        <f t="shared" si="6"/>
        <v>111</v>
      </c>
      <c r="R13" s="768" t="s">
        <v>17</v>
      </c>
      <c r="S13" s="769">
        <f t="shared" si="0"/>
        <v>100</v>
      </c>
      <c r="T13" s="768" t="s">
        <v>17</v>
      </c>
      <c r="U13" s="769">
        <f t="shared" si="1"/>
        <v>100</v>
      </c>
      <c r="V13" s="768" t="s">
        <v>17</v>
      </c>
      <c r="W13" s="769">
        <f t="shared" si="2"/>
        <v>100</v>
      </c>
      <c r="X13" s="770"/>
      <c r="Y13" s="3067"/>
      <c r="Z13" s="2986">
        <f t="shared" si="7"/>
        <v>111</v>
      </c>
      <c r="AA13" s="771">
        <f t="shared" si="3"/>
        <v>1</v>
      </c>
      <c r="AB13" s="771">
        <f t="shared" si="4"/>
        <v>1</v>
      </c>
      <c r="AC13" s="2667">
        <f t="shared" si="5"/>
        <v>1</v>
      </c>
    </row>
    <row r="14" spans="1:29" ht="15.75" thickBot="1">
      <c r="A14" s="435"/>
      <c r="B14" s="2600">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251"/>
      <c r="Q14" s="2985">
        <f t="shared" si="6"/>
        <v>111</v>
      </c>
      <c r="R14" s="768" t="s">
        <v>17</v>
      </c>
      <c r="S14" s="769">
        <f t="shared" si="0"/>
        <v>100</v>
      </c>
      <c r="T14" s="768" t="s">
        <v>17</v>
      </c>
      <c r="U14" s="769">
        <f t="shared" si="1"/>
        <v>100</v>
      </c>
      <c r="V14" s="768" t="s">
        <v>17</v>
      </c>
      <c r="W14" s="769">
        <f t="shared" si="2"/>
        <v>100</v>
      </c>
      <c r="X14" s="770"/>
      <c r="Y14" s="3067"/>
      <c r="Z14" s="2986">
        <f t="shared" si="7"/>
        <v>111</v>
      </c>
      <c r="AA14" s="771">
        <f t="shared" si="3"/>
        <v>1</v>
      </c>
      <c r="AB14" s="771">
        <f t="shared" si="4"/>
        <v>1</v>
      </c>
      <c r="AC14" s="2667">
        <f t="shared" si="5"/>
        <v>1</v>
      </c>
    </row>
    <row r="15" spans="1:29" ht="81">
      <c r="A15" s="439" t="s">
        <v>2548</v>
      </c>
      <c r="B15" s="628" t="s">
        <v>2676</v>
      </c>
      <c r="C15" s="2669" t="str">
        <f>估价对象房地状况!C5</f>
        <v>估价对象位于东直门商圈，周边办公楼项目较多，入驻率高，办公集聚程度较好</v>
      </c>
      <c r="D15" s="440">
        <v>100</v>
      </c>
      <c r="E15" s="2999" t="s">
        <v>3217</v>
      </c>
      <c r="F15" s="440">
        <f>SUMIF(77:77,E16,78:78)-SUMIF(77:77,C16,78:78)+100</f>
        <v>100</v>
      </c>
      <c r="G15" s="3000" t="s">
        <v>3217</v>
      </c>
      <c r="H15" s="440">
        <f>SUMIF(77:77,G16,78:78)-SUMIF(77:77,C16,78:78)+100</f>
        <v>100</v>
      </c>
      <c r="I15" s="3000" t="s">
        <v>3217</v>
      </c>
      <c r="J15" s="440">
        <f>SUMIF(77:77,I16,78:78)-SUMIF(77:77,C16,78:78)+100</f>
        <v>100</v>
      </c>
      <c r="K15" s="613">
        <v>2</v>
      </c>
      <c r="L15" s="1138"/>
      <c r="M15" s="1129"/>
      <c r="N15" s="1129"/>
      <c r="O15" s="1129"/>
      <c r="P15" s="3241" t="s">
        <v>2549</v>
      </c>
      <c r="Q15" s="2990" t="str">
        <f t="shared" si="6"/>
        <v>办公集聚程度</v>
      </c>
      <c r="R15" s="772" t="s">
        <v>17</v>
      </c>
      <c r="S15" s="773">
        <f t="shared" si="0"/>
        <v>100</v>
      </c>
      <c r="T15" s="772" t="s">
        <v>17</v>
      </c>
      <c r="U15" s="773">
        <f t="shared" si="1"/>
        <v>100</v>
      </c>
      <c r="V15" s="772" t="s">
        <v>17</v>
      </c>
      <c r="W15" s="773">
        <f t="shared" si="2"/>
        <v>100</v>
      </c>
      <c r="X15" s="2988"/>
      <c r="Y15" s="3243" t="s">
        <v>2549</v>
      </c>
      <c r="Z15" s="2989" t="str">
        <f t="shared" si="7"/>
        <v>办公集聚程度</v>
      </c>
      <c r="AA15" s="2991">
        <f t="shared" si="3"/>
        <v>1</v>
      </c>
      <c r="AB15" s="2991">
        <f t="shared" si="4"/>
        <v>1</v>
      </c>
      <c r="AC15" s="2670">
        <f t="shared" si="5"/>
        <v>1</v>
      </c>
    </row>
    <row r="16" spans="1:29" ht="15">
      <c r="A16" s="427"/>
      <c r="B16" s="629"/>
      <c r="C16" s="2609" t="s">
        <v>3112</v>
      </c>
      <c r="D16" s="447"/>
      <c r="E16" s="2609" t="s">
        <v>3112</v>
      </c>
      <c r="F16" s="447"/>
      <c r="G16" s="2609" t="s">
        <v>3112</v>
      </c>
      <c r="H16" s="449"/>
      <c r="I16" s="2609" t="s">
        <v>3112</v>
      </c>
      <c r="J16" s="447"/>
      <c r="K16" s="614"/>
      <c r="L16" s="1138"/>
      <c r="M16" s="1129"/>
      <c r="N16" s="1129"/>
      <c r="O16" s="1129"/>
      <c r="P16" s="3242"/>
      <c r="Q16" s="2990"/>
      <c r="R16" s="772"/>
      <c r="S16" s="773"/>
      <c r="T16" s="772"/>
      <c r="U16" s="773"/>
      <c r="V16" s="772"/>
      <c r="W16" s="773"/>
      <c r="X16" s="2988"/>
      <c r="Y16" s="3244"/>
      <c r="Z16" s="2989"/>
      <c r="AA16" s="2991">
        <v>1</v>
      </c>
      <c r="AB16" s="2991">
        <v>1</v>
      </c>
      <c r="AC16" s="2670">
        <v>1</v>
      </c>
    </row>
    <row r="17" spans="1:29" ht="204">
      <c r="A17" s="427"/>
      <c r="B17" s="630" t="s">
        <v>2086</v>
      </c>
      <c r="C17" s="2671"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3" t="s">
        <v>3218</v>
      </c>
      <c r="F17" s="449">
        <f>SUMIF(79:79,E18,80:80)-SUMIF(79:79,C18,80:80)+100</f>
        <v>100</v>
      </c>
      <c r="G17" s="451" t="s">
        <v>3218</v>
      </c>
      <c r="H17" s="454">
        <f>SUMIF(79:79,G18,80:80)-SUMIF(79:79,C18,80:80)+100</f>
        <v>100</v>
      </c>
      <c r="I17" s="451" t="s">
        <v>3219</v>
      </c>
      <c r="J17" s="454">
        <f>SUMIF(79:79,I18,80:80)-SUMIF(79:79,C18,80:80)+100</f>
        <v>100</v>
      </c>
      <c r="K17" s="613">
        <v>2</v>
      </c>
      <c r="L17" s="1138"/>
      <c r="M17" s="1129"/>
      <c r="N17" s="1129"/>
      <c r="O17" s="1129"/>
      <c r="P17" s="3242"/>
      <c r="Q17" s="2990" t="str">
        <f>B17</f>
        <v>交通便捷度</v>
      </c>
      <c r="R17" s="772" t="s">
        <v>17</v>
      </c>
      <c r="S17" s="773">
        <f>F17</f>
        <v>100</v>
      </c>
      <c r="T17" s="772" t="s">
        <v>17</v>
      </c>
      <c r="U17" s="773">
        <f>H17</f>
        <v>100</v>
      </c>
      <c r="V17" s="772" t="s">
        <v>17</v>
      </c>
      <c r="W17" s="773">
        <f>J17</f>
        <v>100</v>
      </c>
      <c r="X17" s="2988"/>
      <c r="Y17" s="3244"/>
      <c r="Z17" s="2989" t="str">
        <f>Q17</f>
        <v>交通便捷度</v>
      </c>
      <c r="AA17" s="2991">
        <f t="shared" si="3"/>
        <v>1</v>
      </c>
      <c r="AB17" s="2991">
        <f t="shared" si="4"/>
        <v>1</v>
      </c>
      <c r="AC17" s="2670">
        <f t="shared" si="5"/>
        <v>1</v>
      </c>
    </row>
    <row r="18" spans="1:29" ht="15">
      <c r="A18" s="427"/>
      <c r="B18" s="631"/>
      <c r="C18" s="2672" t="s">
        <v>3112</v>
      </c>
      <c r="D18" s="449"/>
      <c r="E18" s="2672" t="s">
        <v>3112</v>
      </c>
      <c r="F18" s="449"/>
      <c r="G18" s="2672" t="s">
        <v>3112</v>
      </c>
      <c r="H18" s="447"/>
      <c r="I18" s="2672" t="s">
        <v>3112</v>
      </c>
      <c r="J18" s="447"/>
      <c r="K18" s="614"/>
      <c r="L18" s="1138"/>
      <c r="M18" s="1129"/>
      <c r="N18" s="1129"/>
      <c r="O18" s="1129"/>
      <c r="P18" s="3242"/>
      <c r="Q18" s="2990"/>
      <c r="R18" s="772"/>
      <c r="S18" s="773"/>
      <c r="T18" s="772"/>
      <c r="U18" s="773"/>
      <c r="V18" s="772"/>
      <c r="W18" s="773"/>
      <c r="X18" s="2988"/>
      <c r="Y18" s="3244"/>
      <c r="Z18" s="2989"/>
      <c r="AA18" s="2991">
        <v>1</v>
      </c>
      <c r="AB18" s="2991">
        <v>1</v>
      </c>
      <c r="AC18" s="2670">
        <v>1</v>
      </c>
    </row>
    <row r="19" spans="1:29" ht="108">
      <c r="A19" s="427"/>
      <c r="B19" s="630" t="s">
        <v>2677</v>
      </c>
      <c r="C19" s="2671" t="str">
        <f>估价对象房地状况!C7</f>
        <v>区域内有新中街幼儿园、西中街小学、东直门中学、北京中医药大学东直门医院、招商银行、华联超市等，公共服务设施较完善</v>
      </c>
      <c r="D19" s="454">
        <v>100</v>
      </c>
      <c r="E19" s="3001" t="s">
        <v>3220</v>
      </c>
      <c r="F19" s="454">
        <f>SUMIF(81:81,E20,82:82)-SUMIF(81:81,C20,82:82)+100</f>
        <v>100</v>
      </c>
      <c r="G19" s="3002" t="s">
        <v>3220</v>
      </c>
      <c r="H19" s="449">
        <f>SUMIF(81:81,G20,82:82)-SUMIF(81:81,C20,82:82)+100</f>
        <v>100</v>
      </c>
      <c r="I19" s="3002" t="s">
        <v>3221</v>
      </c>
      <c r="J19" s="449">
        <f>SUMIF(81:81,I20,82:82)-SUMIF(81:81,C20,82:82)+100</f>
        <v>100</v>
      </c>
      <c r="K19" s="613">
        <v>2</v>
      </c>
      <c r="L19" s="1138"/>
      <c r="M19" s="1129"/>
      <c r="N19" s="1129"/>
      <c r="O19" s="1129"/>
      <c r="P19" s="3242"/>
      <c r="Q19" s="2990" t="str">
        <f>B19</f>
        <v>公共配套设施</v>
      </c>
      <c r="R19" s="772" t="s">
        <v>17</v>
      </c>
      <c r="S19" s="773">
        <f>F19</f>
        <v>100</v>
      </c>
      <c r="T19" s="772" t="s">
        <v>17</v>
      </c>
      <c r="U19" s="773">
        <f>H19</f>
        <v>100</v>
      </c>
      <c r="V19" s="772" t="s">
        <v>17</v>
      </c>
      <c r="W19" s="773">
        <f>J19</f>
        <v>100</v>
      </c>
      <c r="X19" s="2988"/>
      <c r="Y19" s="3244"/>
      <c r="Z19" s="2989" t="str">
        <f>Q19</f>
        <v>公共配套设施</v>
      </c>
      <c r="AA19" s="2991">
        <f t="shared" si="3"/>
        <v>1</v>
      </c>
      <c r="AB19" s="2991">
        <f t="shared" si="4"/>
        <v>1</v>
      </c>
      <c r="AC19" s="2670">
        <f t="shared" si="5"/>
        <v>1</v>
      </c>
    </row>
    <row r="20" spans="1:29" ht="15">
      <c r="A20" s="427"/>
      <c r="B20" s="631"/>
      <c r="C20" s="2609" t="s">
        <v>3112</v>
      </c>
      <c r="D20" s="447"/>
      <c r="E20" s="2609" t="s">
        <v>3112</v>
      </c>
      <c r="F20" s="447"/>
      <c r="G20" s="2609" t="s">
        <v>3112</v>
      </c>
      <c r="H20" s="447"/>
      <c r="I20" s="2609" t="s">
        <v>3112</v>
      </c>
      <c r="J20" s="447"/>
      <c r="K20" s="614"/>
      <c r="L20" s="1138"/>
      <c r="M20" s="1129"/>
      <c r="N20" s="1129"/>
      <c r="O20" s="1129"/>
      <c r="P20" s="3242"/>
      <c r="Q20" s="2990"/>
      <c r="R20" s="772"/>
      <c r="S20" s="773"/>
      <c r="T20" s="772"/>
      <c r="U20" s="773"/>
      <c r="V20" s="772"/>
      <c r="W20" s="773"/>
      <c r="X20" s="2988"/>
      <c r="Y20" s="3244"/>
      <c r="Z20" s="2989"/>
      <c r="AA20" s="2991">
        <v>1</v>
      </c>
      <c r="AB20" s="2991">
        <v>1</v>
      </c>
      <c r="AC20" s="2670">
        <v>1</v>
      </c>
    </row>
    <row r="21" spans="1:29" ht="71.25">
      <c r="A21" s="427"/>
      <c r="B21" s="632" t="s">
        <v>2678</v>
      </c>
      <c r="C21" s="2671" t="str">
        <f>估价对象房地状况!C8</f>
        <v>估价对象所在区域红线内外七通，市政供暖，基础设施水平好。</v>
      </c>
      <c r="D21" s="449">
        <v>100</v>
      </c>
      <c r="E21" s="3008" t="str">
        <f>C21</f>
        <v>估价对象所在区域红线内外七通，市政供暖，基础设施水平好。</v>
      </c>
      <c r="F21" s="454">
        <f>SUMIF(83:83,E22,84:84)-SUMIF(83:83,C22,84:84)+100</f>
        <v>100</v>
      </c>
      <c r="G21" s="3008" t="str">
        <f>E21</f>
        <v>估价对象所在区域红线内外七通，市政供暖，基础设施水平好。</v>
      </c>
      <c r="H21" s="449">
        <f>SUMIF(83:83,G22,84:84)-SUMIF(83:83,C22,84:84)+100</f>
        <v>100</v>
      </c>
      <c r="I21" s="3008" t="str">
        <f>G21</f>
        <v>估价对象所在区域红线内外七通，市政供暖，基础设施水平好。</v>
      </c>
      <c r="J21" s="449">
        <f>SUMIF(83:83,I22,84:84)-SUMIF(83:83,C22,84:84)+100</f>
        <v>100</v>
      </c>
      <c r="K21" s="613">
        <v>1</v>
      </c>
      <c r="L21" s="1138"/>
      <c r="M21" s="1129"/>
      <c r="N21" s="1129"/>
      <c r="O21" s="1129"/>
      <c r="P21" s="3242"/>
      <c r="Q21" s="2990" t="str">
        <f>B21</f>
        <v>基础设施水平</v>
      </c>
      <c r="R21" s="772" t="s">
        <v>17</v>
      </c>
      <c r="S21" s="773">
        <f>F21</f>
        <v>100</v>
      </c>
      <c r="T21" s="772" t="s">
        <v>17</v>
      </c>
      <c r="U21" s="773">
        <f>H21</f>
        <v>100</v>
      </c>
      <c r="V21" s="772" t="s">
        <v>17</v>
      </c>
      <c r="W21" s="773">
        <f>J21</f>
        <v>100</v>
      </c>
      <c r="X21" s="2988"/>
      <c r="Y21" s="3244"/>
      <c r="Z21" s="2989" t="str">
        <f>Q21</f>
        <v>基础设施水平</v>
      </c>
      <c r="AA21" s="2991">
        <f t="shared" ref="AA21" si="8">D21/F21</f>
        <v>1</v>
      </c>
      <c r="AB21" s="2991">
        <f t="shared" ref="AB21" si="9">D21/H21</f>
        <v>1</v>
      </c>
      <c r="AC21" s="2670">
        <f t="shared" ref="AC21" si="10">D21/J21</f>
        <v>1</v>
      </c>
    </row>
    <row r="22" spans="1:29" ht="15">
      <c r="A22" s="427"/>
      <c r="B22" s="632"/>
      <c r="C22" s="2672" t="s">
        <v>3176</v>
      </c>
      <c r="D22" s="447"/>
      <c r="E22" s="2672" t="s">
        <v>3176</v>
      </c>
      <c r="F22" s="447"/>
      <c r="G22" s="2672" t="s">
        <v>3176</v>
      </c>
      <c r="H22" s="447"/>
      <c r="I22" s="2672" t="s">
        <v>3176</v>
      </c>
      <c r="J22" s="447"/>
      <c r="K22" s="1381"/>
      <c r="L22" s="1138"/>
      <c r="M22" s="1129"/>
      <c r="N22" s="1129"/>
      <c r="O22" s="1129"/>
      <c r="P22" s="3242"/>
      <c r="Q22" s="2990"/>
      <c r="R22" s="772"/>
      <c r="S22" s="773"/>
      <c r="T22" s="772"/>
      <c r="U22" s="773"/>
      <c r="V22" s="772"/>
      <c r="W22" s="773"/>
      <c r="X22" s="2988"/>
      <c r="Y22" s="3244"/>
      <c r="Z22" s="2989"/>
      <c r="AA22" s="2991">
        <v>1</v>
      </c>
      <c r="AB22" s="2991">
        <v>1</v>
      </c>
      <c r="AC22" s="2670">
        <v>1</v>
      </c>
    </row>
    <row r="23" spans="1:29" ht="156.75">
      <c r="A23" s="427"/>
      <c r="B23" s="630" t="s">
        <v>2679</v>
      </c>
      <c r="C23" s="2671" t="str">
        <f>估价对象房地状况!C9</f>
        <v>区域内有新中街城市森林公园等，街道整洁，相邻路段无污染源，自然环境较好；区域内有保利剧院、中国医史博物馆等，人文环境较较好；综合评价环境状况较好。</v>
      </c>
      <c r="D23" s="449">
        <v>100</v>
      </c>
      <c r="E23" s="3009" t="str">
        <f>C23</f>
        <v>区域内有新中街城市森林公园等，街道整洁，相邻路段无污染源，自然环境较好；区域内有保利剧院、中国医史博物馆等，人文环境较较好；综合评价环境状况较好。</v>
      </c>
      <c r="F23" s="449">
        <f>SUMIF(85:85,E24,86:86)-SUMIF(85:85,C24,86:86)+100</f>
        <v>100</v>
      </c>
      <c r="G23" s="3009" t="str">
        <f>E23</f>
        <v>区域内有新中街城市森林公园等，街道整洁，相邻路段无污染源，自然环境较好；区域内有保利剧院、中国医史博物馆等，人文环境较较好；综合评价环境状况较好。</v>
      </c>
      <c r="H23" s="449">
        <f>SUMIF(85:85,G24,86:86)-SUMIF(85:85,C24,86:86)+100</f>
        <v>100</v>
      </c>
      <c r="I23" s="3009" t="str">
        <f>G23</f>
        <v>区域内有新中街城市森林公园等，街道整洁，相邻路段无污染源，自然环境较好；区域内有保利剧院、中国医史博物馆等，人文环境较较好；综合评价环境状况较好。</v>
      </c>
      <c r="J23" s="449">
        <f>SUMIF(85:85,I24,86:86)-SUMIF(85:85,C24,86:86)+100</f>
        <v>100</v>
      </c>
      <c r="K23" s="613">
        <v>2</v>
      </c>
      <c r="L23" s="1138"/>
      <c r="M23" s="1129"/>
      <c r="N23" s="1129"/>
      <c r="O23" s="1129"/>
      <c r="P23" s="3242"/>
      <c r="Q23" s="2990" t="str">
        <f>B23</f>
        <v>环境质量</v>
      </c>
      <c r="R23" s="772" t="s">
        <v>17</v>
      </c>
      <c r="S23" s="773">
        <f>F23</f>
        <v>100</v>
      </c>
      <c r="T23" s="772" t="s">
        <v>17</v>
      </c>
      <c r="U23" s="773">
        <f>H23</f>
        <v>100</v>
      </c>
      <c r="V23" s="772" t="s">
        <v>17</v>
      </c>
      <c r="W23" s="773">
        <f>J23</f>
        <v>100</v>
      </c>
      <c r="X23" s="2988"/>
      <c r="Y23" s="3244"/>
      <c r="Z23" s="2989" t="str">
        <f>Q23</f>
        <v>环境质量</v>
      </c>
      <c r="AA23" s="2991">
        <f t="shared" si="3"/>
        <v>1</v>
      </c>
      <c r="AB23" s="2991">
        <f t="shared" si="4"/>
        <v>1</v>
      </c>
      <c r="AC23" s="2670">
        <f t="shared" si="5"/>
        <v>1</v>
      </c>
    </row>
    <row r="24" spans="1:29" ht="15">
      <c r="A24" s="427"/>
      <c r="B24" s="632"/>
      <c r="C24" s="446" t="s">
        <v>3112</v>
      </c>
      <c r="D24" s="447"/>
      <c r="E24" s="2609" t="s">
        <v>3112</v>
      </c>
      <c r="F24" s="447"/>
      <c r="G24" s="2609" t="s">
        <v>3112</v>
      </c>
      <c r="H24" s="447"/>
      <c r="I24" s="2609" t="s">
        <v>3112</v>
      </c>
      <c r="J24" s="447"/>
      <c r="K24" s="614"/>
      <c r="L24" s="1138"/>
      <c r="M24" s="1129"/>
      <c r="N24" s="1129"/>
      <c r="O24" s="1129"/>
      <c r="P24" s="3242"/>
      <c r="Q24" s="2990"/>
      <c r="R24" s="772"/>
      <c r="S24" s="773"/>
      <c r="T24" s="772"/>
      <c r="U24" s="773"/>
      <c r="V24" s="772"/>
      <c r="W24" s="773"/>
      <c r="X24" s="2988"/>
      <c r="Y24" s="3244"/>
      <c r="Z24" s="2989"/>
      <c r="AA24" s="2991">
        <v>1</v>
      </c>
      <c r="AB24" s="2991">
        <v>1</v>
      </c>
      <c r="AC24" s="2670">
        <v>1</v>
      </c>
    </row>
    <row r="25" spans="1:29" ht="27.75">
      <c r="A25" s="403"/>
      <c r="B25" s="630" t="s">
        <v>2680</v>
      </c>
      <c r="C25" s="2613" t="s">
        <v>3214</v>
      </c>
      <c r="D25" s="434">
        <v>100</v>
      </c>
      <c r="E25" s="2613" t="s">
        <v>3214</v>
      </c>
      <c r="F25" s="434">
        <f>SUMIF(87:87,E26,88:88)-SUMIF(87:87,C26,88:88)+100</f>
        <v>100</v>
      </c>
      <c r="G25" s="2613" t="s">
        <v>3214</v>
      </c>
      <c r="H25" s="434">
        <f>SUMIF(87:87,G26,88:88)-SUMIF(87:87,C26,88:88)+100</f>
        <v>100</v>
      </c>
      <c r="I25" s="2613" t="s">
        <v>3214</v>
      </c>
      <c r="J25" s="434">
        <f>SUMIF(87:87,I26,88:88)-SUMIF(87:87,C26,88:88)+100</f>
        <v>100</v>
      </c>
      <c r="K25" s="613">
        <v>2</v>
      </c>
      <c r="L25" s="1138"/>
      <c r="M25" s="1129"/>
      <c r="N25" s="1129"/>
      <c r="O25" s="1129"/>
      <c r="P25" s="3242"/>
      <c r="Q25" s="2990" t="str">
        <f>B25</f>
        <v>毗邻道路的类型与等级</v>
      </c>
      <c r="R25" s="772" t="s">
        <v>17</v>
      </c>
      <c r="S25" s="773">
        <f>F25</f>
        <v>100</v>
      </c>
      <c r="T25" s="772" t="s">
        <v>17</v>
      </c>
      <c r="U25" s="773">
        <f>H25</f>
        <v>100</v>
      </c>
      <c r="V25" s="772" t="s">
        <v>17</v>
      </c>
      <c r="W25" s="773">
        <f>J25</f>
        <v>100</v>
      </c>
      <c r="X25" s="2988"/>
      <c r="Y25" s="3244"/>
      <c r="Z25" s="2989" t="str">
        <f>Q25</f>
        <v>毗邻道路的类型与等级</v>
      </c>
      <c r="AA25" s="2991">
        <f t="shared" si="3"/>
        <v>1</v>
      </c>
      <c r="AB25" s="2991">
        <f t="shared" si="4"/>
        <v>1</v>
      </c>
      <c r="AC25" s="2670">
        <f t="shared" si="5"/>
        <v>1</v>
      </c>
    </row>
    <row r="26" spans="1:29" ht="15">
      <c r="A26" s="403"/>
      <c r="B26" s="631"/>
      <c r="C26" s="633" t="s">
        <v>3213</v>
      </c>
      <c r="D26" s="434"/>
      <c r="E26" s="615" t="s">
        <v>3213</v>
      </c>
      <c r="F26" s="434"/>
      <c r="G26" s="615" t="s">
        <v>3213</v>
      </c>
      <c r="H26" s="434"/>
      <c r="I26" s="615" t="s">
        <v>3213</v>
      </c>
      <c r="J26" s="434"/>
      <c r="K26" s="614"/>
      <c r="L26" s="1138"/>
      <c r="M26" s="1129"/>
      <c r="N26" s="1129"/>
      <c r="O26" s="1129"/>
      <c r="P26" s="3242"/>
      <c r="Q26" s="2990"/>
      <c r="R26" s="772"/>
      <c r="S26" s="773"/>
      <c r="T26" s="772"/>
      <c r="U26" s="773"/>
      <c r="V26" s="772"/>
      <c r="W26" s="773"/>
      <c r="X26" s="2988"/>
      <c r="Y26" s="3244"/>
      <c r="Z26" s="2989"/>
      <c r="AA26" s="2991">
        <v>1</v>
      </c>
      <c r="AB26" s="2991">
        <v>1</v>
      </c>
      <c r="AC26" s="2670">
        <v>1</v>
      </c>
    </row>
    <row r="27" spans="1:29" ht="15">
      <c r="A27" s="427"/>
      <c r="B27" s="631" t="s">
        <v>2648</v>
      </c>
      <c r="C27" s="633" t="s">
        <v>3081</v>
      </c>
      <c r="D27" s="434">
        <v>100</v>
      </c>
      <c r="E27" s="615" t="s">
        <v>3083</v>
      </c>
      <c r="F27" s="434">
        <f>SUMIF(89:89,E27,90:90)-SUMIF(89:89,C27,90:90)+100</f>
        <v>98</v>
      </c>
      <c r="G27" s="633" t="s">
        <v>3081</v>
      </c>
      <c r="H27" s="434">
        <f>SUMIF(89:89,G27,90:90)-SUMIF(89:89,C27,90:90)+100</f>
        <v>100</v>
      </c>
      <c r="I27" s="615" t="s">
        <v>3081</v>
      </c>
      <c r="J27" s="434">
        <f>SUMIF(89:89,I27,90:90)-SUMIF(89:89,C27,90:90)+100</f>
        <v>100</v>
      </c>
      <c r="K27" s="611">
        <v>2</v>
      </c>
      <c r="L27" s="1138"/>
      <c r="M27" s="1129"/>
      <c r="N27" s="1129"/>
      <c r="O27" s="1129"/>
      <c r="P27" s="3242"/>
      <c r="Q27" s="2990" t="str">
        <f t="shared" ref="Q27:Q47" si="11">B27</f>
        <v>楼层</v>
      </c>
      <c r="R27" s="772" t="s">
        <v>17</v>
      </c>
      <c r="S27" s="773">
        <f>F27</f>
        <v>98</v>
      </c>
      <c r="T27" s="772" t="s">
        <v>17</v>
      </c>
      <c r="U27" s="773">
        <f>H27</f>
        <v>100</v>
      </c>
      <c r="V27" s="772" t="s">
        <v>17</v>
      </c>
      <c r="W27" s="773">
        <f>J27</f>
        <v>100</v>
      </c>
      <c r="X27" s="2988"/>
      <c r="Y27" s="3244"/>
      <c r="Z27" s="2989" t="str">
        <f>Q27</f>
        <v>楼层</v>
      </c>
      <c r="AA27" s="2991">
        <f t="shared" si="3"/>
        <v>1.0204081632653061</v>
      </c>
      <c r="AB27" s="2991">
        <f t="shared" si="4"/>
        <v>1</v>
      </c>
      <c r="AC27" s="2670">
        <f t="shared" si="5"/>
        <v>1</v>
      </c>
    </row>
    <row r="28" spans="1:29" s="116" customFormat="1" ht="15">
      <c r="A28" s="430"/>
      <c r="B28" s="630" t="s">
        <v>2681</v>
      </c>
      <c r="C28" s="2673"/>
      <c r="D28" s="461">
        <v>100</v>
      </c>
      <c r="E28" s="2661"/>
      <c r="F28" s="461">
        <f>SUMIF(91:91,E28,92:92)-SUMIF(91:91,C28,92:92)+100</f>
        <v>100</v>
      </c>
      <c r="G28" s="2673"/>
      <c r="H28" s="461">
        <f>SUMIF(91:91,G28,92:92)-SUMIF(91:91,C28,92:92)+100</f>
        <v>100</v>
      </c>
      <c r="I28" s="2661"/>
      <c r="J28" s="461">
        <f>SUMIF(91:91,I28,92:92)-SUMIF(91:91,C28,92:92)+100</f>
        <v>100</v>
      </c>
      <c r="K28" s="611">
        <v>1</v>
      </c>
      <c r="L28" s="1130"/>
      <c r="M28" s="1131"/>
      <c r="N28" s="1131"/>
      <c r="O28" s="1131"/>
      <c r="P28" s="3242"/>
      <c r="Q28" s="2985" t="str">
        <f t="shared" si="11"/>
        <v>朝向</v>
      </c>
      <c r="R28" s="768" t="s">
        <v>17</v>
      </c>
      <c r="S28" s="769">
        <f>F28</f>
        <v>100</v>
      </c>
      <c r="T28" s="768" t="s">
        <v>17</v>
      </c>
      <c r="U28" s="769">
        <f>H28</f>
        <v>100</v>
      </c>
      <c r="V28" s="768" t="s">
        <v>17</v>
      </c>
      <c r="W28" s="769">
        <f>J28</f>
        <v>100</v>
      </c>
      <c r="X28" s="770"/>
      <c r="Y28" s="3244"/>
      <c r="Z28" s="2986" t="str">
        <f>Q28</f>
        <v>朝向</v>
      </c>
      <c r="AA28" s="2991">
        <f>D28/F28</f>
        <v>1</v>
      </c>
      <c r="AB28" s="2991">
        <f>D28/H28</f>
        <v>1</v>
      </c>
      <c r="AC28" s="2670">
        <f>D28/J28</f>
        <v>1</v>
      </c>
    </row>
    <row r="29" spans="1:29" ht="15">
      <c r="A29" s="427"/>
      <c r="B29" s="2674">
        <v>111</v>
      </c>
      <c r="C29" s="2613"/>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242"/>
      <c r="Q29" s="2990">
        <f t="shared" si="11"/>
        <v>111</v>
      </c>
      <c r="R29" s="772" t="s">
        <v>17</v>
      </c>
      <c r="S29" s="773">
        <f t="shared" ref="S29:S47" si="12">F29</f>
        <v>100</v>
      </c>
      <c r="T29" s="772" t="s">
        <v>17</v>
      </c>
      <c r="U29" s="773">
        <f t="shared" ref="U29:U47" si="13">H29</f>
        <v>100</v>
      </c>
      <c r="V29" s="772" t="s">
        <v>17</v>
      </c>
      <c r="W29" s="773">
        <f t="shared" ref="W29:W47" si="14">J29</f>
        <v>100</v>
      </c>
      <c r="X29" s="2988"/>
      <c r="Y29" s="3244"/>
      <c r="Z29" s="2989">
        <f t="shared" ref="Z29:Z47" si="15">Q29</f>
        <v>111</v>
      </c>
      <c r="AA29" s="2991">
        <f t="shared" si="3"/>
        <v>1</v>
      </c>
      <c r="AB29" s="2991">
        <f t="shared" si="4"/>
        <v>1</v>
      </c>
      <c r="AC29" s="2670">
        <f t="shared" si="5"/>
        <v>1</v>
      </c>
    </row>
    <row r="30" spans="1:29" ht="15">
      <c r="A30" s="427"/>
      <c r="B30" s="2674">
        <v>111</v>
      </c>
      <c r="C30" s="2613"/>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242"/>
      <c r="Q30" s="2990">
        <f t="shared" si="11"/>
        <v>111</v>
      </c>
      <c r="R30" s="772" t="s">
        <v>17</v>
      </c>
      <c r="S30" s="773">
        <f t="shared" si="12"/>
        <v>100</v>
      </c>
      <c r="T30" s="772" t="s">
        <v>17</v>
      </c>
      <c r="U30" s="773">
        <f t="shared" si="13"/>
        <v>100</v>
      </c>
      <c r="V30" s="772" t="s">
        <v>17</v>
      </c>
      <c r="W30" s="773">
        <f t="shared" si="14"/>
        <v>100</v>
      </c>
      <c r="X30" s="2988"/>
      <c r="Y30" s="3244"/>
      <c r="Z30" s="2989">
        <f t="shared" si="15"/>
        <v>111</v>
      </c>
      <c r="AA30" s="2991">
        <f t="shared" si="3"/>
        <v>1</v>
      </c>
      <c r="AB30" s="2991">
        <f t="shared" si="4"/>
        <v>1</v>
      </c>
      <c r="AC30" s="2670">
        <f t="shared" si="5"/>
        <v>1</v>
      </c>
    </row>
    <row r="31" spans="1:29" ht="15">
      <c r="A31" s="427"/>
      <c r="B31" s="2674">
        <v>111</v>
      </c>
      <c r="C31" s="2613"/>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242"/>
      <c r="Q31" s="2990">
        <f t="shared" si="11"/>
        <v>111</v>
      </c>
      <c r="R31" s="772" t="s">
        <v>17</v>
      </c>
      <c r="S31" s="773">
        <f t="shared" si="12"/>
        <v>100</v>
      </c>
      <c r="T31" s="772" t="s">
        <v>17</v>
      </c>
      <c r="U31" s="773">
        <f t="shared" si="13"/>
        <v>100</v>
      </c>
      <c r="V31" s="772" t="s">
        <v>17</v>
      </c>
      <c r="W31" s="773">
        <f t="shared" si="14"/>
        <v>100</v>
      </c>
      <c r="X31" s="2988"/>
      <c r="Y31" s="3244"/>
      <c r="Z31" s="2989">
        <f t="shared" si="15"/>
        <v>111</v>
      </c>
      <c r="AA31" s="2991">
        <f t="shared" si="3"/>
        <v>1</v>
      </c>
      <c r="AB31" s="2991">
        <f t="shared" si="4"/>
        <v>1</v>
      </c>
      <c r="AC31" s="2670">
        <f t="shared" si="5"/>
        <v>1</v>
      </c>
    </row>
    <row r="32" spans="1:29" ht="15.75" thickBot="1">
      <c r="A32" s="435"/>
      <c r="B32" s="634">
        <v>111</v>
      </c>
      <c r="C32" s="2614"/>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242"/>
      <c r="Q32" s="2990">
        <f t="shared" si="11"/>
        <v>111</v>
      </c>
      <c r="R32" s="772" t="s">
        <v>17</v>
      </c>
      <c r="S32" s="773">
        <f t="shared" si="12"/>
        <v>100</v>
      </c>
      <c r="T32" s="772" t="s">
        <v>17</v>
      </c>
      <c r="U32" s="773">
        <f t="shared" si="13"/>
        <v>100</v>
      </c>
      <c r="V32" s="772" t="s">
        <v>17</v>
      </c>
      <c r="W32" s="773">
        <f t="shared" si="14"/>
        <v>100</v>
      </c>
      <c r="X32" s="2988"/>
      <c r="Y32" s="3244"/>
      <c r="Z32" s="2989">
        <f t="shared" si="15"/>
        <v>111</v>
      </c>
      <c r="AA32" s="2991">
        <f t="shared" si="3"/>
        <v>1</v>
      </c>
      <c r="AB32" s="2991">
        <f t="shared" si="4"/>
        <v>1</v>
      </c>
      <c r="AC32" s="2670">
        <f t="shared" si="5"/>
        <v>1</v>
      </c>
    </row>
    <row r="33" spans="1:29" ht="15">
      <c r="A33" s="439" t="s">
        <v>2552</v>
      </c>
      <c r="B33" s="70" t="s">
        <v>2682</v>
      </c>
      <c r="C33" s="2675" t="s">
        <v>3192</v>
      </c>
      <c r="D33" s="466">
        <v>100</v>
      </c>
      <c r="E33" s="2675" t="s">
        <v>3192</v>
      </c>
      <c r="F33" s="460">
        <f>SUMIF(101:101,E33,102:102)-SUMIF(101:101,C33,102:102)+100</f>
        <v>100</v>
      </c>
      <c r="G33" s="2675" t="s">
        <v>3192</v>
      </c>
      <c r="H33" s="434">
        <f>SUMIF(101:101,G33,102:102)-SUMIF(101:101,C33,102:102)+100</f>
        <v>100</v>
      </c>
      <c r="I33" s="2675" t="s">
        <v>3192</v>
      </c>
      <c r="J33" s="466">
        <f>SUMIF(101:101,I33,102:102)-SUMIF(101:101,C33,102:102)+100</f>
        <v>100</v>
      </c>
      <c r="K33" s="611">
        <v>1</v>
      </c>
      <c r="L33" s="1138"/>
      <c r="M33" s="1129"/>
      <c r="N33" s="1129"/>
      <c r="O33" s="1129"/>
      <c r="P33" s="3245" t="s">
        <v>2554</v>
      </c>
      <c r="Q33" s="2990" t="str">
        <f t="shared" si="11"/>
        <v>建筑类型</v>
      </c>
      <c r="R33" s="772" t="s">
        <v>17</v>
      </c>
      <c r="S33" s="773">
        <f t="shared" si="12"/>
        <v>100</v>
      </c>
      <c r="T33" s="772" t="s">
        <v>17</v>
      </c>
      <c r="U33" s="773">
        <f t="shared" si="13"/>
        <v>100</v>
      </c>
      <c r="V33" s="772" t="s">
        <v>17</v>
      </c>
      <c r="W33" s="773">
        <f t="shared" si="14"/>
        <v>100</v>
      </c>
      <c r="X33" s="2988"/>
      <c r="Y33" s="3248" t="s">
        <v>2554</v>
      </c>
      <c r="Z33" s="2989" t="str">
        <f t="shared" si="15"/>
        <v>建筑类型</v>
      </c>
      <c r="AA33" s="2991">
        <f t="shared" si="3"/>
        <v>1</v>
      </c>
      <c r="AB33" s="2991">
        <f t="shared" si="4"/>
        <v>1</v>
      </c>
      <c r="AC33" s="2670">
        <f t="shared" si="5"/>
        <v>1</v>
      </c>
    </row>
    <row r="34" spans="1:29" s="470" customFormat="1" ht="15">
      <c r="A34" s="467"/>
      <c r="B34" s="2987" t="s">
        <v>2555</v>
      </c>
      <c r="C34" s="468"/>
      <c r="D34" s="135">
        <v>100</v>
      </c>
      <c r="E34" s="429"/>
      <c r="F34" s="424">
        <f>LOOKUP(E34,104:104,105:105)-LOOKUP(C34,104:104,105:105)+100</f>
        <v>100</v>
      </c>
      <c r="G34" s="428"/>
      <c r="H34" s="135">
        <f>LOOKUP(G34,104:104,105:105)-LOOKUP(C34,104:104,105:105)+100</f>
        <v>100</v>
      </c>
      <c r="I34" s="428"/>
      <c r="J34" s="135">
        <f>LOOKUP(I34,104:104,105:105)-LOOKUP(C34,104:104,105:105)+100</f>
        <v>100</v>
      </c>
      <c r="K34" s="612"/>
      <c r="L34" s="1136"/>
      <c r="M34" s="1139"/>
      <c r="N34" s="1139"/>
      <c r="O34" s="1139"/>
      <c r="P34" s="3246"/>
      <c r="Q34" s="774" t="str">
        <f t="shared" si="11"/>
        <v>项目建筑规模</v>
      </c>
      <c r="R34" s="775" t="s">
        <v>17</v>
      </c>
      <c r="S34" s="776">
        <f t="shared" si="12"/>
        <v>100</v>
      </c>
      <c r="T34" s="775" t="s">
        <v>17</v>
      </c>
      <c r="U34" s="776">
        <f t="shared" si="13"/>
        <v>100</v>
      </c>
      <c r="V34" s="775" t="s">
        <v>17</v>
      </c>
      <c r="W34" s="776">
        <f t="shared" si="14"/>
        <v>100</v>
      </c>
      <c r="X34" s="777"/>
      <c r="Y34" s="3248"/>
      <c r="Z34" s="778" t="str">
        <f t="shared" si="15"/>
        <v>项目建筑规模</v>
      </c>
      <c r="AA34" s="2991">
        <f t="shared" si="3"/>
        <v>1</v>
      </c>
      <c r="AB34" s="2991">
        <f t="shared" si="4"/>
        <v>1</v>
      </c>
      <c r="AC34" s="2670">
        <f t="shared" si="5"/>
        <v>1</v>
      </c>
    </row>
    <row r="35" spans="1:29" ht="15">
      <c r="A35" s="471"/>
      <c r="B35" s="2987" t="s">
        <v>2556</v>
      </c>
      <c r="C35" s="459" t="s">
        <v>3075</v>
      </c>
      <c r="D35" s="434">
        <v>100</v>
      </c>
      <c r="E35" s="459" t="s">
        <v>3075</v>
      </c>
      <c r="F35" s="460">
        <f>SUMIF(106:106,E35,107:107)-SUMIF(106:106,C35,107:107)+100</f>
        <v>100</v>
      </c>
      <c r="G35" s="459" t="s">
        <v>3075</v>
      </c>
      <c r="H35" s="434">
        <f>SUMIF(106:106,G35,107:107)-SUMIF(106:106,C35,107:107)+100</f>
        <v>100</v>
      </c>
      <c r="I35" s="459" t="s">
        <v>3075</v>
      </c>
      <c r="J35" s="434">
        <f>SUMIF(106:106,I35,107:107)-SUMIF(106:106,C35,107:107)+100</f>
        <v>100</v>
      </c>
      <c r="K35" s="611">
        <v>2</v>
      </c>
      <c r="L35" s="1138"/>
      <c r="M35" s="1129"/>
      <c r="N35" s="1129"/>
      <c r="O35" s="1129"/>
      <c r="P35" s="3246"/>
      <c r="Q35" s="2990" t="str">
        <f t="shared" si="11"/>
        <v>建筑结构</v>
      </c>
      <c r="R35" s="772" t="s">
        <v>17</v>
      </c>
      <c r="S35" s="773">
        <f t="shared" si="12"/>
        <v>100</v>
      </c>
      <c r="T35" s="772" t="s">
        <v>17</v>
      </c>
      <c r="U35" s="773">
        <f t="shared" si="13"/>
        <v>100</v>
      </c>
      <c r="V35" s="772" t="s">
        <v>17</v>
      </c>
      <c r="W35" s="773">
        <f t="shared" si="14"/>
        <v>100</v>
      </c>
      <c r="X35" s="2988"/>
      <c r="Y35" s="3248"/>
      <c r="Z35" s="2989" t="str">
        <f t="shared" si="15"/>
        <v>建筑结构</v>
      </c>
      <c r="AA35" s="2991">
        <f t="shared" si="3"/>
        <v>1</v>
      </c>
      <c r="AB35" s="2991">
        <f t="shared" si="4"/>
        <v>1</v>
      </c>
      <c r="AC35" s="2670">
        <f t="shared" si="5"/>
        <v>1</v>
      </c>
    </row>
    <row r="36" spans="1:29" ht="15">
      <c r="A36" s="471"/>
      <c r="B36" s="2987" t="s">
        <v>2650</v>
      </c>
      <c r="C36" s="459" t="s">
        <v>3067</v>
      </c>
      <c r="D36" s="434">
        <v>100</v>
      </c>
      <c r="E36" s="459" t="s">
        <v>3067</v>
      </c>
      <c r="F36" s="460">
        <f>SUMIF(108:108,E36,109:109)-SUMIF(108:108,C36,109:109)+100</f>
        <v>100</v>
      </c>
      <c r="G36" s="459" t="s">
        <v>3067</v>
      </c>
      <c r="H36" s="434">
        <f>SUMIF(108:108,G36,109:109)-SUMIF(108:108,C36,109:109)+100</f>
        <v>100</v>
      </c>
      <c r="I36" s="459" t="s">
        <v>3067</v>
      </c>
      <c r="J36" s="434">
        <f>SUMIF(108:108,I36,109:109)-SUMIF(108:108,C36,109:109)+100</f>
        <v>100</v>
      </c>
      <c r="K36" s="611">
        <v>2</v>
      </c>
      <c r="L36" s="1138"/>
      <c r="M36" s="1129"/>
      <c r="N36" s="1129"/>
      <c r="O36" s="1129"/>
      <c r="P36" s="3246"/>
      <c r="Q36" s="2990" t="str">
        <f t="shared" si="11"/>
        <v>公共部分装修</v>
      </c>
      <c r="R36" s="772" t="s">
        <v>17</v>
      </c>
      <c r="S36" s="773">
        <f t="shared" si="12"/>
        <v>100</v>
      </c>
      <c r="T36" s="772" t="s">
        <v>17</v>
      </c>
      <c r="U36" s="773">
        <f t="shared" si="13"/>
        <v>100</v>
      </c>
      <c r="V36" s="772" t="s">
        <v>17</v>
      </c>
      <c r="W36" s="773">
        <f t="shared" si="14"/>
        <v>100</v>
      </c>
      <c r="X36" s="2988"/>
      <c r="Y36" s="3248"/>
      <c r="Z36" s="2989" t="str">
        <f t="shared" si="15"/>
        <v>公共部分装修</v>
      </c>
      <c r="AA36" s="2991">
        <f t="shared" si="3"/>
        <v>1</v>
      </c>
      <c r="AB36" s="2991">
        <f t="shared" si="4"/>
        <v>1</v>
      </c>
      <c r="AC36" s="2670">
        <f t="shared" si="5"/>
        <v>1</v>
      </c>
    </row>
    <row r="37" spans="1:29" ht="15">
      <c r="A37" s="471"/>
      <c r="B37" s="2987" t="s">
        <v>2651</v>
      </c>
      <c r="C37" s="473">
        <f>'数据-取费表'!Y6</f>
        <v>0.73333333333333328</v>
      </c>
      <c r="D37" s="434">
        <v>100</v>
      </c>
      <c r="E37" s="473">
        <f>C37</f>
        <v>0.73333333333333328</v>
      </c>
      <c r="F37" s="460">
        <f>LOOKUP(E37,111:111,112:112)-LOOKUP(C37,111:111,112:112)+100</f>
        <v>100</v>
      </c>
      <c r="G37" s="473">
        <f>C37</f>
        <v>0.73333333333333328</v>
      </c>
      <c r="H37" s="460">
        <f>LOOKUP(G37,111:111,112:112)-LOOKUP(C37,111:111,112:112)+100</f>
        <v>100</v>
      </c>
      <c r="I37" s="473">
        <f>C37</f>
        <v>0.73333333333333328</v>
      </c>
      <c r="J37" s="434">
        <f>LOOKUP(I37,111:111,112:112)-LOOKUP(C37,111:111,112:112)+100</f>
        <v>100</v>
      </c>
      <c r="K37" s="611">
        <v>1</v>
      </c>
      <c r="L37" s="1138"/>
      <c r="M37" s="1129"/>
      <c r="N37" s="1129"/>
      <c r="O37" s="1129"/>
      <c r="P37" s="3246"/>
      <c r="Q37" s="2990" t="str">
        <f t="shared" si="11"/>
        <v>成新度</v>
      </c>
      <c r="R37" s="772" t="s">
        <v>17</v>
      </c>
      <c r="S37" s="773">
        <f t="shared" si="12"/>
        <v>100</v>
      </c>
      <c r="T37" s="772" t="s">
        <v>17</v>
      </c>
      <c r="U37" s="773">
        <f t="shared" si="13"/>
        <v>100</v>
      </c>
      <c r="V37" s="772" t="s">
        <v>17</v>
      </c>
      <c r="W37" s="773">
        <f t="shared" si="14"/>
        <v>100</v>
      </c>
      <c r="X37" s="2988"/>
      <c r="Y37" s="3248"/>
      <c r="Z37" s="2989" t="str">
        <f t="shared" si="15"/>
        <v>成新度</v>
      </c>
      <c r="AA37" s="2991">
        <f t="shared" si="3"/>
        <v>1</v>
      </c>
      <c r="AB37" s="2991">
        <f t="shared" si="4"/>
        <v>1</v>
      </c>
      <c r="AC37" s="2670">
        <f t="shared" si="5"/>
        <v>1</v>
      </c>
    </row>
    <row r="38" spans="1:29" s="116" customFormat="1" ht="15">
      <c r="A38" s="472"/>
      <c r="B38" s="2987" t="s">
        <v>2683</v>
      </c>
      <c r="C38" s="459" t="s">
        <v>3204</v>
      </c>
      <c r="D38" s="135">
        <v>100</v>
      </c>
      <c r="E38" s="459" t="s">
        <v>3204</v>
      </c>
      <c r="F38" s="460">
        <f>SUMIF(113:113,E38,114:114)-SUMIF(113:113,C38,114:114)+100</f>
        <v>100</v>
      </c>
      <c r="G38" s="459" t="s">
        <v>3204</v>
      </c>
      <c r="H38" s="434">
        <f>SUMIF(113:113,G38,114:114)-SUMIF(113:113,C38,114:114)+100</f>
        <v>100</v>
      </c>
      <c r="I38" s="459" t="s">
        <v>3204</v>
      </c>
      <c r="J38" s="434">
        <f>SUMIF(113:113,I38,114:114)-SUMIF(113:113,C38,114:114)+100</f>
        <v>100</v>
      </c>
      <c r="K38" s="611">
        <v>3</v>
      </c>
      <c r="L38" s="1130"/>
      <c r="M38" s="1131"/>
      <c r="N38" s="1131"/>
      <c r="O38" s="1131"/>
      <c r="P38" s="3246"/>
      <c r="Q38" s="2985" t="str">
        <f t="shared" si="11"/>
        <v>写字楼等级</v>
      </c>
      <c r="R38" s="768" t="s">
        <v>17</v>
      </c>
      <c r="S38" s="769">
        <f t="shared" si="12"/>
        <v>100</v>
      </c>
      <c r="T38" s="768" t="s">
        <v>17</v>
      </c>
      <c r="U38" s="769">
        <f t="shared" si="13"/>
        <v>100</v>
      </c>
      <c r="V38" s="768" t="s">
        <v>17</v>
      </c>
      <c r="W38" s="769">
        <f t="shared" si="14"/>
        <v>100</v>
      </c>
      <c r="X38" s="770"/>
      <c r="Y38" s="3248"/>
      <c r="Z38" s="2986" t="str">
        <f t="shared" si="15"/>
        <v>写字楼等级</v>
      </c>
      <c r="AA38" s="771">
        <f t="shared" si="3"/>
        <v>1</v>
      </c>
      <c r="AB38" s="771">
        <f t="shared" si="4"/>
        <v>1</v>
      </c>
      <c r="AC38" s="2667">
        <f t="shared" si="5"/>
        <v>1</v>
      </c>
    </row>
    <row r="39" spans="1:29" ht="15">
      <c r="A39" s="471"/>
      <c r="B39" s="2987" t="s">
        <v>2684</v>
      </c>
      <c r="C39" s="459" t="s">
        <v>3195</v>
      </c>
      <c r="D39" s="434">
        <v>100</v>
      </c>
      <c r="E39" s="459" t="s">
        <v>3195</v>
      </c>
      <c r="F39" s="460">
        <f>SUMIF(115:115,E39,116:116)-SUMIF(115:115,C39,116:116)+100</f>
        <v>100</v>
      </c>
      <c r="G39" s="459" t="s">
        <v>3195</v>
      </c>
      <c r="H39" s="434">
        <f>SUMIF(115:115,G39,116:116)-SUMIF(115:115,C39,116:116)+100</f>
        <v>100</v>
      </c>
      <c r="I39" s="459" t="s">
        <v>3195</v>
      </c>
      <c r="J39" s="434">
        <f>SUMIF(115:115,I39,116:116)-SUMIF(115:115,C39,116:116)+100</f>
        <v>100</v>
      </c>
      <c r="K39" s="611">
        <v>1</v>
      </c>
      <c r="L39" s="1138"/>
      <c r="M39" s="1129"/>
      <c r="N39" s="1129"/>
      <c r="O39" s="1129"/>
      <c r="P39" s="3246" t="s">
        <v>2554</v>
      </c>
      <c r="Q39" s="2990" t="str">
        <f t="shared" si="11"/>
        <v>物业管理</v>
      </c>
      <c r="R39" s="772" t="s">
        <v>17</v>
      </c>
      <c r="S39" s="773">
        <f t="shared" si="12"/>
        <v>100</v>
      </c>
      <c r="T39" s="772" t="s">
        <v>17</v>
      </c>
      <c r="U39" s="773">
        <f t="shared" si="13"/>
        <v>100</v>
      </c>
      <c r="V39" s="772" t="s">
        <v>17</v>
      </c>
      <c r="W39" s="773">
        <f t="shared" si="14"/>
        <v>100</v>
      </c>
      <c r="X39" s="2988"/>
      <c r="Y39" s="3248" t="s">
        <v>2554</v>
      </c>
      <c r="Z39" s="2989" t="str">
        <f t="shared" si="15"/>
        <v>物业管理</v>
      </c>
      <c r="AA39" s="2991">
        <f t="shared" si="3"/>
        <v>1</v>
      </c>
      <c r="AB39" s="2991">
        <f t="shared" si="4"/>
        <v>1</v>
      </c>
      <c r="AC39" s="2670">
        <f t="shared" si="5"/>
        <v>1</v>
      </c>
    </row>
    <row r="40" spans="1:29" ht="15">
      <c r="A40" s="471"/>
      <c r="B40" s="2987" t="s">
        <v>2652</v>
      </c>
      <c r="C40" s="459" t="s">
        <v>3176</v>
      </c>
      <c r="D40" s="434">
        <v>100</v>
      </c>
      <c r="E40" s="459" t="s">
        <v>3176</v>
      </c>
      <c r="F40" s="460">
        <f>SUMIF(117:117,E40,118:118)-SUMIF(117:117,C40,118:118)+100</f>
        <v>100</v>
      </c>
      <c r="G40" s="459" t="s">
        <v>3176</v>
      </c>
      <c r="H40" s="434">
        <f>SUMIF(117:117,G40,118:118)-SUMIF(117:117,C40,118:118)+100</f>
        <v>100</v>
      </c>
      <c r="I40" s="459" t="s">
        <v>3176</v>
      </c>
      <c r="J40" s="434">
        <f>SUMIF(117:117,I40,118:118)-SUMIF(117:117,C40,118:118)+100</f>
        <v>100</v>
      </c>
      <c r="K40" s="611">
        <v>1</v>
      </c>
      <c r="L40" s="1138"/>
      <c r="M40" s="1129"/>
      <c r="N40" s="1129"/>
      <c r="O40" s="1129"/>
      <c r="P40" s="3246"/>
      <c r="Q40" s="2990" t="str">
        <f t="shared" si="11"/>
        <v>市政基础设施</v>
      </c>
      <c r="R40" s="772" t="s">
        <v>17</v>
      </c>
      <c r="S40" s="773">
        <f t="shared" si="12"/>
        <v>100</v>
      </c>
      <c r="T40" s="772" t="s">
        <v>17</v>
      </c>
      <c r="U40" s="773">
        <f t="shared" si="13"/>
        <v>100</v>
      </c>
      <c r="V40" s="772" t="s">
        <v>17</v>
      </c>
      <c r="W40" s="773">
        <f t="shared" si="14"/>
        <v>100</v>
      </c>
      <c r="X40" s="2988"/>
      <c r="Y40" s="3248"/>
      <c r="Z40" s="2989" t="str">
        <f t="shared" si="15"/>
        <v>市政基础设施</v>
      </c>
      <c r="AA40" s="2991">
        <f t="shared" si="3"/>
        <v>1</v>
      </c>
      <c r="AB40" s="2991">
        <f t="shared" si="4"/>
        <v>1</v>
      </c>
      <c r="AC40" s="2670">
        <f t="shared" si="5"/>
        <v>1</v>
      </c>
    </row>
    <row r="41" spans="1:29" ht="15">
      <c r="A41" s="471"/>
      <c r="B41" s="2987" t="s">
        <v>2654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46"/>
      <c r="Q41" s="2990" t="str">
        <f t="shared" si="11"/>
        <v>层高</v>
      </c>
      <c r="R41" s="772" t="s">
        <v>17</v>
      </c>
      <c r="S41" s="773">
        <f t="shared" si="12"/>
        <v>100</v>
      </c>
      <c r="T41" s="772" t="s">
        <v>17</v>
      </c>
      <c r="U41" s="773">
        <f t="shared" si="13"/>
        <v>100</v>
      </c>
      <c r="V41" s="772" t="s">
        <v>17</v>
      </c>
      <c r="W41" s="773">
        <f t="shared" si="14"/>
        <v>100</v>
      </c>
      <c r="X41" s="2988"/>
      <c r="Y41" s="3248"/>
      <c r="Z41" s="2989" t="str">
        <f t="shared" si="15"/>
        <v>层高</v>
      </c>
      <c r="AA41" s="2991">
        <f t="shared" si="3"/>
        <v>1</v>
      </c>
      <c r="AB41" s="2991">
        <f t="shared" si="4"/>
        <v>1</v>
      </c>
      <c r="AC41" s="2670">
        <f t="shared" si="5"/>
        <v>1</v>
      </c>
    </row>
    <row r="42" spans="1:29" s="470" customFormat="1" ht="15">
      <c r="A42" s="467"/>
      <c r="B42" s="2992" t="s">
        <v>2685</v>
      </c>
      <c r="C42" s="433">
        <f>'数据-基础表'!I13</f>
        <v>109.98</v>
      </c>
      <c r="D42" s="434">
        <v>100</v>
      </c>
      <c r="E42" s="433">
        <v>111</v>
      </c>
      <c r="F42" s="460">
        <f>SUMIF(121:121,E42,122:122)-SUMIF(121:121,C42,122:122)+100</f>
        <v>100</v>
      </c>
      <c r="G42" s="433">
        <v>725</v>
      </c>
      <c r="H42" s="434">
        <f>SUMIF(121:121,G42,122:122)-SUMIF(121:121,C42,122:122)+100</f>
        <v>95</v>
      </c>
      <c r="I42" s="433">
        <v>400</v>
      </c>
      <c r="J42" s="434">
        <f>SUMIF(121:121,I42,122:122)-SUMIF(121:121,C42,122:122)+100</f>
        <v>97</v>
      </c>
      <c r="K42" s="612"/>
      <c r="L42" s="1136"/>
      <c r="M42" s="1139"/>
      <c r="N42" s="1139"/>
      <c r="O42" s="1139"/>
      <c r="P42" s="3246"/>
      <c r="Q42" s="774" t="str">
        <f t="shared" si="11"/>
        <v>单套建筑面积</v>
      </c>
      <c r="R42" s="775" t="s">
        <v>17</v>
      </c>
      <c r="S42" s="776">
        <f t="shared" si="12"/>
        <v>100</v>
      </c>
      <c r="T42" s="775" t="s">
        <v>17</v>
      </c>
      <c r="U42" s="776">
        <f t="shared" si="13"/>
        <v>95</v>
      </c>
      <c r="V42" s="775" t="s">
        <v>17</v>
      </c>
      <c r="W42" s="776">
        <f t="shared" si="14"/>
        <v>97</v>
      </c>
      <c r="X42" s="777"/>
      <c r="Y42" s="3248"/>
      <c r="Z42" s="778" t="str">
        <f t="shared" si="15"/>
        <v>单套建筑面积</v>
      </c>
      <c r="AA42" s="2991">
        <f t="shared" si="3"/>
        <v>1</v>
      </c>
      <c r="AB42" s="2991">
        <f t="shared" si="4"/>
        <v>1.0526315789473684</v>
      </c>
      <c r="AC42" s="2670">
        <f t="shared" si="5"/>
        <v>1.0309278350515463</v>
      </c>
    </row>
    <row r="43" spans="1:29" ht="15">
      <c r="A43" s="471"/>
      <c r="B43" s="2987" t="s">
        <v>2657</v>
      </c>
      <c r="C43" s="459" t="s">
        <v>3067</v>
      </c>
      <c r="D43" s="434">
        <v>100</v>
      </c>
      <c r="E43" s="459" t="s">
        <v>3065</v>
      </c>
      <c r="F43" s="460">
        <f>SUMIF(123:123,E43,124:124)-SUMIF(123:123,C43,124:124)+100</f>
        <v>101</v>
      </c>
      <c r="G43" s="459" t="s">
        <v>3065</v>
      </c>
      <c r="H43" s="434">
        <f>SUMIF(123:123,G43,124:124)-SUMIF(123:123,C43,124:124)+100</f>
        <v>101</v>
      </c>
      <c r="I43" s="459" t="s">
        <v>3067</v>
      </c>
      <c r="J43" s="434">
        <f>SUMIF(123:123,I43,124:124)-SUMIF(123:123,C43,124:124)+100</f>
        <v>100</v>
      </c>
      <c r="K43" s="611">
        <v>1</v>
      </c>
      <c r="L43" s="1138"/>
      <c r="M43" s="1129"/>
      <c r="N43" s="1129"/>
      <c r="O43" s="1129"/>
      <c r="P43" s="3246"/>
      <c r="Q43" s="2990" t="str">
        <f t="shared" si="11"/>
        <v>内部装修</v>
      </c>
      <c r="R43" s="772" t="s">
        <v>17</v>
      </c>
      <c r="S43" s="773">
        <f t="shared" si="12"/>
        <v>101</v>
      </c>
      <c r="T43" s="772" t="s">
        <v>17</v>
      </c>
      <c r="U43" s="773">
        <f t="shared" si="13"/>
        <v>101</v>
      </c>
      <c r="V43" s="772" t="s">
        <v>17</v>
      </c>
      <c r="W43" s="773">
        <f t="shared" si="14"/>
        <v>100</v>
      </c>
      <c r="X43" s="2988"/>
      <c r="Y43" s="3248"/>
      <c r="Z43" s="2989" t="str">
        <f t="shared" si="15"/>
        <v>内部装修</v>
      </c>
      <c r="AA43" s="2991">
        <f t="shared" si="3"/>
        <v>0.99009900990099009</v>
      </c>
      <c r="AB43" s="2991">
        <f t="shared" si="4"/>
        <v>0.99009900990099009</v>
      </c>
      <c r="AC43" s="2670">
        <f t="shared" si="5"/>
        <v>1</v>
      </c>
    </row>
    <row r="44" spans="1:29" ht="15">
      <c r="A44" s="471"/>
      <c r="B44" s="2987" t="s">
        <v>2565</v>
      </c>
      <c r="C44" s="459" t="s">
        <v>3072</v>
      </c>
      <c r="D44" s="434">
        <v>100</v>
      </c>
      <c r="E44" s="2611" t="s">
        <v>3072</v>
      </c>
      <c r="F44" s="460">
        <f>SUMIF(125:125,E44,126:126)-SUMIF(125:125,C44,126:126)+100</f>
        <v>100</v>
      </c>
      <c r="G44" s="2611" t="s">
        <v>3072</v>
      </c>
      <c r="H44" s="434">
        <f>SUMIF(125:125,G44,126:126)-SUMIF(125:125,C44,126:126)+100</f>
        <v>100</v>
      </c>
      <c r="I44" s="2611" t="s">
        <v>3072</v>
      </c>
      <c r="J44" s="434">
        <f>SUMIF(125:125,I44,126:126)-SUMIF(125:125,C44,126:126)+100</f>
        <v>100</v>
      </c>
      <c r="K44" s="611">
        <v>2</v>
      </c>
      <c r="L44" s="1138"/>
      <c r="M44" s="1129"/>
      <c r="N44" s="1129"/>
      <c r="O44" s="1129"/>
      <c r="P44" s="3246"/>
      <c r="Q44" s="2990" t="str">
        <f t="shared" si="11"/>
        <v>内部装修维护情况</v>
      </c>
      <c r="R44" s="772" t="s">
        <v>17</v>
      </c>
      <c r="S44" s="773">
        <f t="shared" si="12"/>
        <v>100</v>
      </c>
      <c r="T44" s="772" t="s">
        <v>17</v>
      </c>
      <c r="U44" s="773">
        <f t="shared" si="13"/>
        <v>100</v>
      </c>
      <c r="V44" s="772" t="s">
        <v>17</v>
      </c>
      <c r="W44" s="773">
        <f t="shared" si="14"/>
        <v>100</v>
      </c>
      <c r="X44" s="2988"/>
      <c r="Y44" s="3248"/>
      <c r="Z44" s="2989" t="str">
        <f t="shared" si="15"/>
        <v>内部装修维护情况</v>
      </c>
      <c r="AA44" s="2991">
        <f t="shared" si="3"/>
        <v>1</v>
      </c>
      <c r="AB44" s="2991">
        <f t="shared" si="4"/>
        <v>1</v>
      </c>
      <c r="AC44" s="2670">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46"/>
      <c r="Q45" s="2985">
        <f t="shared" si="11"/>
        <v>111</v>
      </c>
      <c r="R45" s="768" t="s">
        <v>17</v>
      </c>
      <c r="S45" s="769">
        <f t="shared" si="12"/>
        <v>100</v>
      </c>
      <c r="T45" s="768" t="s">
        <v>17</v>
      </c>
      <c r="U45" s="769">
        <f t="shared" si="13"/>
        <v>100</v>
      </c>
      <c r="V45" s="768" t="s">
        <v>17</v>
      </c>
      <c r="W45" s="769">
        <f t="shared" si="14"/>
        <v>100</v>
      </c>
      <c r="X45" s="770"/>
      <c r="Y45" s="3248"/>
      <c r="Z45" s="2986">
        <f t="shared" si="15"/>
        <v>111</v>
      </c>
      <c r="AA45" s="771">
        <f t="shared" si="3"/>
        <v>1</v>
      </c>
      <c r="AB45" s="771">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46"/>
      <c r="Q46" s="2990">
        <f t="shared" si="11"/>
        <v>111</v>
      </c>
      <c r="R46" s="772" t="s">
        <v>17</v>
      </c>
      <c r="S46" s="773">
        <f t="shared" si="12"/>
        <v>100</v>
      </c>
      <c r="T46" s="772" t="s">
        <v>17</v>
      </c>
      <c r="U46" s="773">
        <f t="shared" si="13"/>
        <v>100</v>
      </c>
      <c r="V46" s="772" t="s">
        <v>17</v>
      </c>
      <c r="W46" s="773">
        <f t="shared" si="14"/>
        <v>100</v>
      </c>
      <c r="X46" s="2988"/>
      <c r="Y46" s="3248"/>
      <c r="Z46" s="2989">
        <f t="shared" si="15"/>
        <v>111</v>
      </c>
      <c r="AA46" s="2991">
        <f t="shared" si="3"/>
        <v>1</v>
      </c>
      <c r="AB46" s="2991">
        <f t="shared" si="4"/>
        <v>1</v>
      </c>
      <c r="AC46" s="2670">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47"/>
      <c r="Q47" s="2990">
        <f t="shared" si="11"/>
        <v>111</v>
      </c>
      <c r="R47" s="772" t="s">
        <v>17</v>
      </c>
      <c r="S47" s="773">
        <f t="shared" si="12"/>
        <v>100</v>
      </c>
      <c r="T47" s="772" t="s">
        <v>17</v>
      </c>
      <c r="U47" s="773">
        <f t="shared" si="13"/>
        <v>100</v>
      </c>
      <c r="V47" s="772" t="s">
        <v>17</v>
      </c>
      <c r="W47" s="773">
        <f t="shared" si="14"/>
        <v>100</v>
      </c>
      <c r="X47" s="2988"/>
      <c r="Y47" s="3249"/>
      <c r="Z47" s="2989">
        <f t="shared" si="15"/>
        <v>111</v>
      </c>
      <c r="AA47" s="2991">
        <f t="shared" si="3"/>
        <v>1</v>
      </c>
      <c r="AB47" s="2991">
        <f t="shared" si="4"/>
        <v>1</v>
      </c>
      <c r="AC47" s="2670">
        <f t="shared" si="5"/>
        <v>1</v>
      </c>
    </row>
    <row r="48" spans="1:29" ht="15">
      <c r="A48" s="478" t="s">
        <v>2566</v>
      </c>
      <c r="B48" s="479"/>
      <c r="C48" s="1405" t="s">
        <v>1</v>
      </c>
      <c r="D48" s="1406"/>
      <c r="E48" s="1407">
        <v>6</v>
      </c>
      <c r="F48" s="1408"/>
      <c r="G48" s="1409">
        <v>7</v>
      </c>
      <c r="H48" s="1410"/>
      <c r="I48" s="1407">
        <v>6.5</v>
      </c>
      <c r="J48" s="484"/>
      <c r="K48" s="781"/>
      <c r="L48" s="1141"/>
      <c r="M48" s="1129"/>
      <c r="N48" s="1129"/>
      <c r="O48" s="1129"/>
      <c r="P48" s="3251" t="str">
        <f>A48</f>
        <v>成交单价（元/平方米）</v>
      </c>
      <c r="Q48" s="3236"/>
      <c r="R48" s="3237">
        <f>E48</f>
        <v>6</v>
      </c>
      <c r="S48" s="3237"/>
      <c r="T48" s="3237">
        <f>G48</f>
        <v>7</v>
      </c>
      <c r="U48" s="3237"/>
      <c r="V48" s="3237">
        <f>I48</f>
        <v>6.5</v>
      </c>
      <c r="W48" s="3237"/>
      <c r="X48" s="445"/>
      <c r="Y48" s="779"/>
      <c r="Z48" s="445"/>
      <c r="AA48" s="445"/>
      <c r="AB48" s="445"/>
      <c r="AC48" s="629"/>
    </row>
    <row r="49" spans="1:29" ht="15.75" thickBot="1">
      <c r="A49" s="485" t="s">
        <v>2567</v>
      </c>
      <c r="B49" s="486"/>
      <c r="C49" s="1411">
        <f>R50</f>
        <v>6.7</v>
      </c>
      <c r="D49" s="1412"/>
      <c r="E49" s="1413">
        <f>R49</f>
        <v>6.1</v>
      </c>
      <c r="F49" s="1413"/>
      <c r="G49" s="1411">
        <f>T49</f>
        <v>7.3</v>
      </c>
      <c r="H49" s="1412"/>
      <c r="I49" s="1413">
        <f>V49</f>
        <v>6.7</v>
      </c>
      <c r="J49" s="488"/>
      <c r="K49" s="782"/>
      <c r="L49" s="1141"/>
      <c r="M49" s="1129"/>
      <c r="N49" s="1129"/>
      <c r="O49" s="1129"/>
      <c r="P49" s="3251" t="str">
        <f>A49</f>
        <v>比较价值（元/平方米）</v>
      </c>
      <c r="Q49" s="3236"/>
      <c r="R49" s="3237">
        <f>IF(F1="售价",ROUND(PRODUCT(R48,AA7:AA47),0),ROUND(PRODUCT(R48,AA7:AA47),1))</f>
        <v>6.1</v>
      </c>
      <c r="S49" s="3237"/>
      <c r="T49" s="3237">
        <f>IF(F1="售价",ROUND(PRODUCT(T48,AB7:AB47),0),ROUND(PRODUCT(T48,AB7:AB47),1))</f>
        <v>7.3</v>
      </c>
      <c r="U49" s="3237"/>
      <c r="V49" s="3237">
        <f>IF(F1="售价",ROUND(PRODUCT(V48,AC7:AC47),0),ROUND(PRODUCT(V48,AC7:AC47),1))</f>
        <v>6.7</v>
      </c>
      <c r="W49" s="3237"/>
      <c r="X49" s="445"/>
      <c r="Y49" s="445"/>
      <c r="Z49" s="445"/>
      <c r="AA49" s="445"/>
      <c r="AB49" s="445"/>
      <c r="AC49" s="629"/>
    </row>
    <row r="50" spans="1:29" ht="15.75" thickBot="1">
      <c r="A50" s="491" t="s">
        <v>2568</v>
      </c>
      <c r="B50" s="492"/>
      <c r="C50" s="1415">
        <f>R50</f>
        <v>6.7</v>
      </c>
      <c r="D50" s="1415"/>
      <c r="E50" s="1415"/>
      <c r="F50" s="1415"/>
      <c r="G50" s="1415"/>
      <c r="H50" s="1415"/>
      <c r="I50" s="1415"/>
      <c r="J50" s="493"/>
      <c r="K50" s="783"/>
      <c r="L50" s="1141"/>
      <c r="M50" s="1129"/>
      <c r="N50" s="1129"/>
      <c r="O50" s="1129"/>
      <c r="P50" s="3282" t="str">
        <f>A50</f>
        <v>估价对象XX用房的比较价值（楼面单价，元/平方米）</v>
      </c>
      <c r="Q50" s="3283"/>
      <c r="R50" s="3284">
        <f>IF(F1="售价",ROUND(AVERAGE(R49:V49),0),ROUND(AVERAGE(R49:V49),1))</f>
        <v>6.7</v>
      </c>
      <c r="S50" s="3284"/>
      <c r="T50" s="3284"/>
      <c r="U50" s="3284"/>
      <c r="V50" s="3284"/>
      <c r="W50" s="3284"/>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2569</v>
      </c>
      <c r="D53" s="497"/>
      <c r="E53" s="498">
        <f>IF(E48&lt;E49,E49/E48-1,E48/E49-1)</f>
        <v>1.6666666666666607E-2</v>
      </c>
      <c r="F53" s="499" t="str">
        <f>IF(OR(E53&gt;=0.3,E53&lt;=-0.3),"超过30%","")</f>
        <v/>
      </c>
      <c r="G53" s="498">
        <f>IF(G48&lt;G49,G49/G48-1,G48/G49-1)</f>
        <v>4.2857142857142927E-2</v>
      </c>
      <c r="H53" s="499" t="str">
        <f>IF(OR(G53&gt;=0.3,G53&lt;=-0.3),"超过30%","")</f>
        <v/>
      </c>
      <c r="I53" s="498">
        <f>IF(I48&lt;I49,I49/I48-1,I48/I49-1)</f>
        <v>3.0769230769230882E-2</v>
      </c>
      <c r="J53" s="499" t="str">
        <f>IF(OR(I53&gt;=0.3,I53&lt;=-0.3),"超过30%","")</f>
        <v/>
      </c>
      <c r="K53" s="1103"/>
      <c r="L53" s="1104"/>
      <c r="M53" s="1142"/>
      <c r="N53" s="1142"/>
      <c r="O53" s="1142"/>
    </row>
    <row r="54" spans="1:29" ht="13.5" customHeight="1">
      <c r="A54" s="1142"/>
      <c r="B54" s="1142"/>
      <c r="C54" s="496" t="s">
        <v>2570</v>
      </c>
      <c r="D54" s="500"/>
      <c r="E54" s="498">
        <f>IF(E49&lt;G49,G49/E49-1,E49/G49-1)</f>
        <v>0.19672131147540983</v>
      </c>
      <c r="F54" s="499" t="str">
        <f>IF(OR(E54&gt;=0.2,E54&lt;=-0.2),"超过20%","")</f>
        <v/>
      </c>
      <c r="G54" s="498">
        <f>IF(G49&lt;I49,I49/G49-1,G49/I49-1)</f>
        <v>8.9552238805970186E-2</v>
      </c>
      <c r="H54" s="499" t="str">
        <f>IF(OR(G54&gt;=0.2,G54&lt;=-0.2),"超过20%","")</f>
        <v/>
      </c>
      <c r="I54" s="498">
        <f>IF(I49&lt;E49,E49/I49-1,I49/E49-1)</f>
        <v>9.8360655737705027E-2</v>
      </c>
      <c r="J54" s="499" t="str">
        <f>IF(OR(I54&gt;=0.2,I54&lt;=-0.2),"超过20%","")</f>
        <v/>
      </c>
      <c r="K54" s="1103"/>
      <c r="L54" s="1104"/>
      <c r="M54" s="1142"/>
      <c r="N54" s="1142"/>
      <c r="O54" s="1142"/>
    </row>
    <row r="55" spans="1:29" s="501" customFormat="1" ht="13.5" customHeight="1">
      <c r="A55" s="1143"/>
      <c r="B55" s="1143"/>
      <c r="C55" s="496" t="s">
        <v>2571</v>
      </c>
      <c r="D55" s="500"/>
      <c r="E55" s="498">
        <f>IF(E48&lt;G48,G48/E48-1,E48/G48-1)</f>
        <v>0.16666666666666674</v>
      </c>
      <c r="F55" s="499" t="str">
        <f>IF(OR(E55&gt;=0.3,E55&lt;=-0.3),"超过30%","")</f>
        <v/>
      </c>
      <c r="G55" s="498">
        <f>IF(G48&lt;I48,I48/G48-1,G48/I48-1)</f>
        <v>7.6923076923076872E-2</v>
      </c>
      <c r="H55" s="499" t="str">
        <f>IF(OR(G55&gt;=0.3,G55&lt;=-0.3),"超过30%","")</f>
        <v/>
      </c>
      <c r="I55" s="498">
        <f>IF(I48&lt;E48,E48/I48-1,I48/E48-1)</f>
        <v>8.3333333333333259E-2</v>
      </c>
      <c r="J55" s="499" t="str">
        <f>IF(OR(I55&gt;=0.3,I55&lt;=-0.3),"超过30%","")</f>
        <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1" t="s">
        <v>2572</v>
      </c>
      <c r="B58" s="757"/>
      <c r="C58" s="762"/>
      <c r="D58" s="762"/>
      <c r="E58" s="762"/>
      <c r="F58" s="763"/>
      <c r="G58" s="763"/>
      <c r="H58" s="762"/>
      <c r="I58" s="762"/>
      <c r="J58" s="762"/>
      <c r="K58" s="764"/>
      <c r="L58" s="1159"/>
      <c r="M58" s="1157"/>
      <c r="N58" s="1157"/>
      <c r="O58" s="1157"/>
      <c r="P58" s="2677"/>
      <c r="Q58" s="503"/>
    </row>
    <row r="59" spans="1:29" s="507" customFormat="1" ht="15">
      <c r="A59" s="504" t="s">
        <v>2537</v>
      </c>
      <c r="B59" s="505"/>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6" customFormat="1" ht="15">
      <c r="A60" s="508"/>
      <c r="B60" s="509"/>
      <c r="C60" s="1571">
        <v>100</v>
      </c>
      <c r="D60" s="511"/>
      <c r="E60" s="511"/>
      <c r="F60" s="511"/>
      <c r="G60" s="511"/>
      <c r="H60" s="511"/>
      <c r="I60" s="511"/>
      <c r="J60" s="511"/>
      <c r="K60" s="511"/>
      <c r="L60" s="511"/>
      <c r="M60" s="512"/>
      <c r="N60" s="511"/>
      <c r="O60" s="512"/>
      <c r="P60" s="2678"/>
    </row>
    <row r="61" spans="1:29" s="116" customFormat="1" ht="15.75" thickBot="1">
      <c r="A61" s="514" t="s">
        <v>2574</v>
      </c>
      <c r="B61" s="515"/>
      <c r="C61" s="516">
        <v>100</v>
      </c>
      <c r="D61" s="517"/>
      <c r="E61" s="517"/>
      <c r="F61" s="517"/>
      <c r="G61" s="517"/>
      <c r="H61" s="517"/>
      <c r="I61" s="517"/>
      <c r="J61" s="517"/>
      <c r="K61" s="517"/>
      <c r="L61" s="517"/>
      <c r="M61" s="518"/>
      <c r="N61" s="517"/>
      <c r="O61" s="518"/>
      <c r="P61" s="2678"/>
      <c r="Q61" s="503"/>
    </row>
    <row r="62" spans="1:29" s="116" customFormat="1" ht="15">
      <c r="A62" s="520" t="s">
        <v>2539</v>
      </c>
      <c r="B62" s="509"/>
      <c r="C62" s="521" t="s">
        <v>2576</v>
      </c>
      <c r="D62" s="522"/>
      <c r="E62" s="522"/>
      <c r="F62" s="522"/>
      <c r="G62" s="522"/>
      <c r="H62" s="522"/>
      <c r="I62" s="522"/>
      <c r="J62" s="522"/>
      <c r="K62" s="522"/>
      <c r="L62" s="523"/>
      <c r="M62" s="524"/>
      <c r="N62" s="1149"/>
      <c r="O62" s="1149"/>
      <c r="P62" s="2679"/>
      <c r="Q62" s="503"/>
    </row>
    <row r="63" spans="1:29" s="116"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2577</v>
      </c>
      <c r="B64" s="527" t="s">
        <v>2543</v>
      </c>
      <c r="C64" s="528" t="str">
        <f>C9</f>
        <v>办公</v>
      </c>
      <c r="D64" s="529"/>
      <c r="E64" s="529"/>
      <c r="F64" s="529"/>
      <c r="G64" s="529"/>
      <c r="H64" s="529"/>
      <c r="I64" s="529"/>
      <c r="J64" s="529"/>
      <c r="K64" s="530"/>
      <c r="L64" s="531"/>
      <c r="M64" s="532"/>
      <c r="N64" s="1150"/>
      <c r="O64" s="1150"/>
      <c r="P64" s="2680"/>
      <c r="Q64" s="503"/>
    </row>
    <row r="65" spans="1:17" ht="15.75" thickBot="1">
      <c r="A65" s="533"/>
      <c r="B65" s="534"/>
      <c r="C65" s="535">
        <v>100</v>
      </c>
      <c r="D65" s="535"/>
      <c r="E65" s="535"/>
      <c r="F65" s="535"/>
      <c r="G65" s="535"/>
      <c r="H65" s="535"/>
      <c r="I65" s="535"/>
      <c r="J65" s="535"/>
      <c r="K65" s="535"/>
      <c r="L65" s="535"/>
      <c r="M65" s="536"/>
      <c r="N65" s="1151"/>
      <c r="O65" s="1151"/>
      <c r="P65" s="2680"/>
      <c r="Q65" s="503"/>
    </row>
    <row r="66" spans="1:17" ht="27.75" thickTop="1">
      <c r="A66" s="533"/>
      <c r="B66" s="537" t="s">
        <v>2546</v>
      </c>
      <c r="C66" s="538" t="s">
        <v>2578</v>
      </c>
      <c r="D66" s="538" t="s">
        <v>2579</v>
      </c>
      <c r="E66" s="538" t="s">
        <v>2580</v>
      </c>
      <c r="F66" s="538" t="s">
        <v>2581</v>
      </c>
      <c r="G66" s="538" t="s">
        <v>2582</v>
      </c>
      <c r="H66" s="538" t="s">
        <v>2583</v>
      </c>
      <c r="I66" s="538" t="s">
        <v>2584</v>
      </c>
      <c r="J66" s="538"/>
      <c r="K66" s="539"/>
      <c r="L66" s="540"/>
      <c r="M66" s="541"/>
      <c r="N66" s="1150"/>
      <c r="O66" s="1150"/>
      <c r="P66" s="2680"/>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1"/>
      <c r="O67" s="1151"/>
      <c r="P67" s="2680"/>
      <c r="Q67" s="503"/>
    </row>
    <row r="68" spans="1:17" ht="15.75" thickTop="1">
      <c r="A68" s="533"/>
      <c r="B68" s="545" t="s">
        <v>2547</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v>1</v>
      </c>
      <c r="D69" s="548">
        <v>2</v>
      </c>
      <c r="E69" s="548">
        <v>3</v>
      </c>
      <c r="F69" s="548">
        <v>4</v>
      </c>
      <c r="G69" s="548"/>
      <c r="H69" s="548"/>
      <c r="I69" s="548"/>
      <c r="J69" s="548"/>
      <c r="K69" s="549"/>
      <c r="L69" s="550"/>
      <c r="M69" s="551"/>
      <c r="N69" s="1150"/>
      <c r="O69" s="1150"/>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2548</v>
      </c>
      <c r="B77" s="527" t="s">
        <v>2686</v>
      </c>
      <c r="C77" s="572" t="s">
        <v>2586</v>
      </c>
      <c r="D77" s="572" t="s">
        <v>2587</v>
      </c>
      <c r="E77" s="572" t="s">
        <v>2588</v>
      </c>
      <c r="F77" s="572" t="s">
        <v>2589</v>
      </c>
      <c r="G77" s="572" t="s">
        <v>2590</v>
      </c>
      <c r="H77" s="528"/>
      <c r="I77" s="528"/>
      <c r="J77" s="528"/>
      <c r="K77" s="573"/>
      <c r="L77" s="574"/>
      <c r="M77" s="575"/>
      <c r="N77" s="1150"/>
      <c r="O77" s="1150"/>
      <c r="P77" s="2684"/>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1"/>
      <c r="O78" s="1151"/>
      <c r="P78" s="2680"/>
      <c r="Q78" s="503"/>
    </row>
    <row r="79" spans="1:17" ht="15.75" thickTop="1">
      <c r="A79" s="533"/>
      <c r="B79" s="537" t="s">
        <v>2591</v>
      </c>
      <c r="C79" s="577" t="s">
        <v>2586</v>
      </c>
      <c r="D79" s="577" t="s">
        <v>2587</v>
      </c>
      <c r="E79" s="577" t="s">
        <v>2588</v>
      </c>
      <c r="F79" s="577" t="s">
        <v>2589</v>
      </c>
      <c r="G79" s="577" t="s">
        <v>2590</v>
      </c>
      <c r="H79" s="538"/>
      <c r="I79" s="538"/>
      <c r="J79" s="538"/>
      <c r="K79" s="539"/>
      <c r="L79" s="540"/>
      <c r="M79" s="541"/>
      <c r="N79" s="1150"/>
      <c r="O79" s="1150"/>
      <c r="P79" s="2680"/>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1"/>
      <c r="O80" s="1151"/>
      <c r="P80" s="2680"/>
      <c r="Q80" s="503"/>
    </row>
    <row r="81" spans="1:17" ht="15.75" thickTop="1">
      <c r="A81" s="533"/>
      <c r="B81" s="537" t="s">
        <v>2592</v>
      </c>
      <c r="C81" s="577" t="s">
        <v>2586</v>
      </c>
      <c r="D81" s="577" t="s">
        <v>2587</v>
      </c>
      <c r="E81" s="577" t="s">
        <v>2588</v>
      </c>
      <c r="F81" s="577" t="s">
        <v>2589</v>
      </c>
      <c r="G81" s="577" t="s">
        <v>2590</v>
      </c>
      <c r="H81" s="538"/>
      <c r="I81" s="538"/>
      <c r="J81" s="538"/>
      <c r="K81" s="539"/>
      <c r="L81" s="540"/>
      <c r="M81" s="541"/>
      <c r="N81" s="1150"/>
      <c r="O81" s="1150"/>
      <c r="P81" s="2680"/>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1"/>
      <c r="O82" s="1151"/>
      <c r="P82" s="2680"/>
      <c r="Q82" s="503"/>
    </row>
    <row r="83" spans="1:17" ht="15.75" thickTop="1">
      <c r="A83" s="533"/>
      <c r="B83" s="545" t="s">
        <v>2678</v>
      </c>
      <c r="C83" s="659" t="s">
        <v>2664</v>
      </c>
      <c r="D83" s="659" t="s">
        <v>2665</v>
      </c>
      <c r="E83" s="659" t="s">
        <v>2666</v>
      </c>
      <c r="F83" s="659" t="s">
        <v>2667</v>
      </c>
      <c r="G83" s="659" t="s">
        <v>2668</v>
      </c>
      <c r="H83" s="538"/>
      <c r="I83" s="538"/>
      <c r="J83" s="538"/>
      <c r="K83" s="538"/>
      <c r="L83" s="538"/>
      <c r="M83" s="1380"/>
      <c r="N83" s="1151"/>
      <c r="O83" s="1151"/>
      <c r="P83" s="2680"/>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1"/>
      <c r="O84" s="1151"/>
      <c r="P84" s="2680"/>
      <c r="Q84" s="503"/>
    </row>
    <row r="85" spans="1:17" ht="15.75" thickTop="1">
      <c r="A85" s="533"/>
      <c r="B85" s="537" t="s">
        <v>2687</v>
      </c>
      <c r="C85" s="577" t="s">
        <v>2586</v>
      </c>
      <c r="D85" s="577" t="s">
        <v>2587</v>
      </c>
      <c r="E85" s="577" t="s">
        <v>2588</v>
      </c>
      <c r="F85" s="577" t="s">
        <v>2589</v>
      </c>
      <c r="G85" s="577" t="s">
        <v>2590</v>
      </c>
      <c r="H85" s="538"/>
      <c r="I85" s="538"/>
      <c r="J85" s="538"/>
      <c r="K85" s="539"/>
      <c r="L85" s="540"/>
      <c r="M85" s="541"/>
      <c r="N85" s="1150"/>
      <c r="O85" s="1150"/>
      <c r="P85" s="2680"/>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1"/>
      <c r="O86" s="1151"/>
      <c r="P86" s="2680"/>
      <c r="Q86" s="503"/>
    </row>
    <row r="87" spans="1:17" s="116" customFormat="1" ht="27.75" thickTop="1">
      <c r="A87" s="578"/>
      <c r="B87" s="537" t="s">
        <v>2688</v>
      </c>
      <c r="C87" s="2970" t="s">
        <v>3165</v>
      </c>
      <c r="D87" s="2970" t="s">
        <v>3166</v>
      </c>
      <c r="E87" s="2970" t="s">
        <v>3167</v>
      </c>
      <c r="F87" s="2970" t="s">
        <v>3168</v>
      </c>
      <c r="G87" s="2970" t="s">
        <v>3169</v>
      </c>
      <c r="H87" s="553"/>
      <c r="I87" s="553"/>
      <c r="J87" s="553"/>
      <c r="K87" s="553"/>
      <c r="L87" s="579"/>
      <c r="M87" s="580"/>
      <c r="N87" s="1149"/>
      <c r="O87" s="1149"/>
      <c r="P87" s="2680"/>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1"/>
      <c r="O88" s="1151"/>
      <c r="P88" s="2680"/>
      <c r="Q88" s="503"/>
    </row>
    <row r="89" spans="1:17" s="116" customFormat="1" ht="15.75" thickTop="1">
      <c r="A89" s="578"/>
      <c r="B89" s="537" t="str">
        <f>B27</f>
        <v>楼层</v>
      </c>
      <c r="C89" s="2970" t="s">
        <v>3080</v>
      </c>
      <c r="D89" s="2970" t="s">
        <v>3082</v>
      </c>
      <c r="E89" s="2970" t="s">
        <v>3084</v>
      </c>
      <c r="F89" s="2631"/>
      <c r="G89" s="553"/>
      <c r="H89" s="553"/>
      <c r="I89" s="553"/>
      <c r="J89" s="553"/>
      <c r="K89" s="553"/>
      <c r="L89" s="553"/>
      <c r="M89" s="580"/>
      <c r="N89" s="1149"/>
      <c r="O89" s="1149"/>
      <c r="P89" s="2680"/>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1"/>
      <c r="O90" s="1151"/>
      <c r="P90" s="2680"/>
      <c r="Q90" s="503"/>
    </row>
    <row r="91" spans="1:17" s="470" customFormat="1" ht="15.75" thickTop="1">
      <c r="A91" s="552"/>
      <c r="B91" s="537" t="str">
        <f>B28</f>
        <v>朝向</v>
      </c>
      <c r="C91" s="2970" t="s">
        <v>3085</v>
      </c>
      <c r="D91" s="2970" t="s">
        <v>3086</v>
      </c>
      <c r="E91" s="2970" t="s">
        <v>3089</v>
      </c>
      <c r="F91" s="2970"/>
      <c r="G91" s="2970" t="s">
        <v>3087</v>
      </c>
      <c r="H91" s="554"/>
      <c r="I91" s="2972" t="s">
        <v>3088</v>
      </c>
      <c r="J91" s="554"/>
      <c r="K91" s="554"/>
      <c r="L91" s="555"/>
      <c r="M91" s="556"/>
      <c r="N91" s="1152"/>
      <c r="O91" s="1152"/>
      <c r="P91" s="2681"/>
      <c r="Q91" s="558"/>
    </row>
    <row r="92" spans="1:17" s="470" customFormat="1" ht="15.75" thickBot="1">
      <c r="A92" s="552"/>
      <c r="B92" s="542"/>
      <c r="C92" s="581">
        <v>100</v>
      </c>
      <c r="D92" s="543">
        <f t="shared" ref="D92:M92" si="21">C92-$K28</f>
        <v>99</v>
      </c>
      <c r="E92" s="543">
        <f t="shared" si="21"/>
        <v>98</v>
      </c>
      <c r="F92" s="543">
        <f t="shared" si="21"/>
        <v>97</v>
      </c>
      <c r="G92" s="543">
        <f t="shared" si="21"/>
        <v>96</v>
      </c>
      <c r="H92" s="543">
        <f t="shared" si="21"/>
        <v>95</v>
      </c>
      <c r="I92" s="543">
        <f t="shared" si="21"/>
        <v>94</v>
      </c>
      <c r="J92" s="543">
        <f t="shared" si="21"/>
        <v>93</v>
      </c>
      <c r="K92" s="543">
        <f t="shared" si="21"/>
        <v>92</v>
      </c>
      <c r="L92" s="543">
        <f t="shared" si="21"/>
        <v>91</v>
      </c>
      <c r="M92" s="543">
        <f t="shared" si="21"/>
        <v>90</v>
      </c>
      <c r="N92" s="1152"/>
      <c r="O92" s="1152"/>
      <c r="P92" s="2681"/>
      <c r="Q92" s="558"/>
    </row>
    <row r="93" spans="1:17" ht="15.75" thickTop="1">
      <c r="A93" s="533"/>
      <c r="B93" s="537">
        <f>B29</f>
        <v>111</v>
      </c>
      <c r="C93" s="553"/>
      <c r="D93" s="553"/>
      <c r="E93" s="553"/>
      <c r="F93" s="553"/>
      <c r="G93" s="553"/>
      <c r="H93" s="553"/>
      <c r="I93" s="553"/>
      <c r="J93" s="553"/>
      <c r="K93" s="553"/>
      <c r="L93" s="579"/>
      <c r="M93" s="580"/>
      <c r="N93" s="1150"/>
      <c r="O93" s="1150"/>
      <c r="P93" s="2680"/>
      <c r="Q93" s="503"/>
    </row>
    <row r="94" spans="1:17" ht="15.75" thickBot="1">
      <c r="A94" s="533"/>
      <c r="B94" s="542"/>
      <c r="C94" s="559"/>
      <c r="D94" s="535"/>
      <c r="E94" s="535"/>
      <c r="F94" s="535"/>
      <c r="G94" s="535"/>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2552</v>
      </c>
      <c r="B101" s="527" t="s">
        <v>2601</v>
      </c>
      <c r="C101" s="3007" t="s">
        <v>3202</v>
      </c>
      <c r="D101" s="529"/>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1"/>
      <c r="O102" s="1151"/>
      <c r="P102" s="2680"/>
      <c r="Q102" s="503"/>
    </row>
    <row r="103" spans="1:17" ht="15.75" thickTop="1">
      <c r="A103" s="533"/>
      <c r="B103" s="537" t="s">
        <v>2602</v>
      </c>
      <c r="C103" s="577" t="str">
        <f>C104&amp;"(含)"&amp;"-"&amp;D104</f>
        <v>0(含)-100</v>
      </c>
      <c r="D103" s="577" t="str">
        <f t="shared" ref="D103:L103" si="23">D104&amp;"(含)"&amp;"-"&amp;E104</f>
        <v>100(含)-300</v>
      </c>
      <c r="E103" s="577" t="str">
        <f t="shared" si="23"/>
        <v>300(含)-500</v>
      </c>
      <c r="F103" s="577" t="str">
        <f t="shared" si="23"/>
        <v>500(含)-1000</v>
      </c>
      <c r="G103" s="577" t="str">
        <f t="shared" si="23"/>
        <v>1000(含)-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v>0</v>
      </c>
      <c r="D104" s="594">
        <v>100</v>
      </c>
      <c r="E104" s="594">
        <v>300</v>
      </c>
      <c r="F104" s="594">
        <v>500</v>
      </c>
      <c r="G104" s="594">
        <v>1000</v>
      </c>
      <c r="H104" s="594"/>
      <c r="I104" s="594"/>
      <c r="J104" s="595"/>
      <c r="K104" s="595"/>
      <c r="L104" s="596"/>
      <c r="M104" s="597"/>
      <c r="N104" s="1152"/>
      <c r="O104" s="1152"/>
      <c r="P104" s="2681"/>
      <c r="Q104" s="558"/>
    </row>
    <row r="105" spans="1:17" s="470" customFormat="1" ht="15.75" thickBot="1">
      <c r="A105" s="552"/>
      <c r="B105" s="542"/>
      <c r="C105" s="559">
        <v>100</v>
      </c>
      <c r="D105" s="535">
        <v>98</v>
      </c>
      <c r="E105" s="535">
        <v>96</v>
      </c>
      <c r="F105" s="535">
        <v>94</v>
      </c>
      <c r="G105" s="535">
        <v>92</v>
      </c>
      <c r="H105" s="535"/>
      <c r="I105" s="535"/>
      <c r="J105" s="535"/>
      <c r="K105" s="535"/>
      <c r="L105" s="535"/>
      <c r="M105" s="536"/>
      <c r="N105" s="1151"/>
      <c r="O105" s="1151"/>
      <c r="P105" s="2681"/>
      <c r="Q105" s="558"/>
    </row>
    <row r="106" spans="1:17" ht="15" thickTop="1">
      <c r="A106" s="598"/>
      <c r="B106" s="537" t="s">
        <v>2603</v>
      </c>
      <c r="C106" s="2970" t="s">
        <v>3203</v>
      </c>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1"/>
      <c r="O107" s="1151"/>
      <c r="P107" s="2680"/>
      <c r="Q107" s="503"/>
    </row>
    <row r="108" spans="1:17" ht="15" thickTop="1">
      <c r="A108" s="598"/>
      <c r="B108" s="537" t="s">
        <v>2605</v>
      </c>
      <c r="C108" s="2970" t="s">
        <v>3091</v>
      </c>
      <c r="D108" s="2970" t="s">
        <v>3092</v>
      </c>
      <c r="E108" s="2970" t="s">
        <v>3093</v>
      </c>
      <c r="F108" s="2971" t="s">
        <v>3094</v>
      </c>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1"/>
      <c r="O109" s="1151"/>
      <c r="P109" s="2680"/>
      <c r="Q109" s="503"/>
    </row>
    <row r="110" spans="1:17" ht="15" thickTop="1">
      <c r="A110" s="598"/>
      <c r="B110" s="537" t="s">
        <v>1987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1"/>
      <c r="O112" s="1151"/>
      <c r="P112" s="2680"/>
      <c r="Q112" s="503"/>
    </row>
    <row r="113" spans="1:17" s="470" customFormat="1" ht="15" thickTop="1">
      <c r="A113" s="592"/>
      <c r="B113" s="537" t="s">
        <v>2689</v>
      </c>
      <c r="C113" s="2970" t="s">
        <v>3205</v>
      </c>
      <c r="D113" s="2970" t="s">
        <v>3206</v>
      </c>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97</v>
      </c>
      <c r="E114" s="543">
        <f t="shared" ref="E114:M114" si="27">D114-$K38</f>
        <v>94</v>
      </c>
      <c r="F114" s="543">
        <f t="shared" si="27"/>
        <v>91</v>
      </c>
      <c r="G114" s="543">
        <f t="shared" si="27"/>
        <v>88</v>
      </c>
      <c r="H114" s="543">
        <f t="shared" si="27"/>
        <v>85</v>
      </c>
      <c r="I114" s="543">
        <f t="shared" si="27"/>
        <v>82</v>
      </c>
      <c r="J114" s="543">
        <f t="shared" si="27"/>
        <v>79</v>
      </c>
      <c r="K114" s="543">
        <f t="shared" si="27"/>
        <v>76</v>
      </c>
      <c r="L114" s="543">
        <f t="shared" si="27"/>
        <v>73</v>
      </c>
      <c r="M114" s="543">
        <f t="shared" si="27"/>
        <v>70</v>
      </c>
      <c r="N114" s="1152"/>
      <c r="O114" s="1152"/>
      <c r="P114" s="2681"/>
      <c r="Q114" s="558"/>
    </row>
    <row r="115" spans="1:17" ht="15" thickTop="1">
      <c r="A115" s="598"/>
      <c r="B115" s="537" t="s">
        <v>2606</v>
      </c>
      <c r="C115" s="2970" t="s">
        <v>3207</v>
      </c>
      <c r="D115" s="553"/>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99</v>
      </c>
      <c r="E116" s="543">
        <f t="shared" si="28"/>
        <v>98</v>
      </c>
      <c r="F116" s="543">
        <f t="shared" si="28"/>
        <v>97</v>
      </c>
      <c r="G116" s="543">
        <f t="shared" si="28"/>
        <v>96</v>
      </c>
      <c r="H116" s="543">
        <f t="shared" si="28"/>
        <v>95</v>
      </c>
      <c r="I116" s="543">
        <f t="shared" si="28"/>
        <v>94</v>
      </c>
      <c r="J116" s="543">
        <f t="shared" si="28"/>
        <v>93</v>
      </c>
      <c r="K116" s="543">
        <f t="shared" si="28"/>
        <v>92</v>
      </c>
      <c r="L116" s="543">
        <f t="shared" si="28"/>
        <v>91</v>
      </c>
      <c r="M116" s="544">
        <f t="shared" si="28"/>
        <v>90</v>
      </c>
      <c r="N116" s="1151"/>
      <c r="O116" s="1151"/>
      <c r="P116" s="2680"/>
      <c r="Q116" s="503"/>
    </row>
    <row r="117" spans="1:17" ht="15" thickTop="1">
      <c r="A117" s="598"/>
      <c r="B117" s="537" t="s">
        <v>2607</v>
      </c>
      <c r="C117" s="2970" t="s">
        <v>3208</v>
      </c>
      <c r="D117" s="2970" t="s">
        <v>3209</v>
      </c>
      <c r="E117" s="2970" t="s">
        <v>3210</v>
      </c>
      <c r="F117" s="2970" t="s">
        <v>3211</v>
      </c>
      <c r="G117" s="2970" t="s">
        <v>3212</v>
      </c>
      <c r="H117" s="582"/>
      <c r="I117" s="582"/>
      <c r="J117" s="582"/>
      <c r="K117" s="583"/>
      <c r="L117" s="584"/>
      <c r="M117" s="585"/>
      <c r="N117" s="1150"/>
      <c r="O117" s="1150"/>
      <c r="P117" s="2680"/>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1"/>
      <c r="O118" s="1151"/>
      <c r="P118" s="2680"/>
      <c r="Q118" s="503"/>
    </row>
    <row r="119" spans="1:17" ht="15" thickTop="1">
      <c r="A119" s="598"/>
      <c r="B119" s="635" t="s">
        <v>2690</v>
      </c>
      <c r="C119" s="582"/>
      <c r="D119" s="582"/>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2673</v>
      </c>
      <c r="C121" s="553">
        <v>109.98</v>
      </c>
      <c r="D121" s="553">
        <v>111</v>
      </c>
      <c r="E121" s="553">
        <v>725</v>
      </c>
      <c r="F121" s="582">
        <v>400</v>
      </c>
      <c r="G121" s="554">
        <v>86</v>
      </c>
      <c r="H121" s="554"/>
      <c r="I121" s="554"/>
      <c r="J121" s="554"/>
      <c r="K121" s="554"/>
      <c r="L121" s="555"/>
      <c r="M121" s="556"/>
      <c r="N121" s="1152"/>
      <c r="O121" s="1152"/>
      <c r="P121" s="2681"/>
      <c r="Q121" s="558"/>
    </row>
    <row r="122" spans="1:17" s="470" customFormat="1" ht="15.75" thickBot="1">
      <c r="A122" s="552"/>
      <c r="B122" s="534"/>
      <c r="C122" s="559">
        <v>100</v>
      </c>
      <c r="D122" s="559">
        <v>100</v>
      </c>
      <c r="E122" s="559">
        <v>95</v>
      </c>
      <c r="F122" s="559">
        <v>97</v>
      </c>
      <c r="G122" s="559">
        <v>100</v>
      </c>
      <c r="H122" s="559"/>
      <c r="I122" s="559"/>
      <c r="J122" s="559"/>
      <c r="K122" s="559"/>
      <c r="L122" s="559"/>
      <c r="M122" s="559"/>
      <c r="N122" s="1152"/>
      <c r="O122" s="1152"/>
      <c r="P122" s="2681"/>
      <c r="Q122" s="558"/>
    </row>
    <row r="123" spans="1:17" ht="15" thickTop="1">
      <c r="A123" s="598"/>
      <c r="B123" s="537" t="s">
        <v>2609</v>
      </c>
      <c r="C123" s="2970" t="s">
        <v>3091</v>
      </c>
      <c r="D123" s="2970" t="s">
        <v>3092</v>
      </c>
      <c r="E123" s="2970" t="s">
        <v>3093</v>
      </c>
      <c r="F123" s="2971" t="s">
        <v>3094</v>
      </c>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1"/>
      <c r="O124" s="1151"/>
      <c r="P124" s="2680"/>
      <c r="Q124" s="503"/>
    </row>
    <row r="125" spans="1:17" ht="15" thickTop="1">
      <c r="A125" s="598"/>
      <c r="B125" s="537" t="s">
        <v>2610</v>
      </c>
      <c r="C125" s="577" t="s">
        <v>2586</v>
      </c>
      <c r="D125" s="577" t="s">
        <v>2587</v>
      </c>
      <c r="E125" s="577" t="s">
        <v>2588</v>
      </c>
      <c r="F125" s="577" t="s">
        <v>2589</v>
      </c>
      <c r="G125" s="577" t="s">
        <v>2590</v>
      </c>
      <c r="H125" s="538"/>
      <c r="I125" s="538"/>
      <c r="J125" s="538"/>
      <c r="K125" s="539"/>
      <c r="L125" s="540"/>
      <c r="M125" s="541"/>
      <c r="N125" s="1150"/>
      <c r="O125" s="1150"/>
      <c r="P125" s="2681"/>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54" priority="16" stopIfTrue="1" operator="containsText" text="超过">
      <formula>NOT(ISERROR(SEARCH("超过",F53)))</formula>
    </cfRule>
  </conditionalFormatting>
  <conditionalFormatting sqref="H55">
    <cfRule type="containsText" dxfId="53" priority="15" stopIfTrue="1" operator="containsText" text="超过">
      <formula>NOT(ISERROR(SEARCH("超过",H55)))</formula>
    </cfRule>
  </conditionalFormatting>
  <conditionalFormatting sqref="F55">
    <cfRule type="containsText" dxfId="52" priority="14" stopIfTrue="1" operator="containsText" text="超过">
      <formula>NOT(ISERROR(SEARCH("超过",F55)))</formula>
    </cfRule>
  </conditionalFormatting>
  <conditionalFormatting sqref="F54 H54">
    <cfRule type="containsText" dxfId="51" priority="13" stopIfTrue="1" operator="containsText" text="超过">
      <formula>NOT(ISERROR(SEARCH("超过",F54)))</formula>
    </cfRule>
  </conditionalFormatting>
  <conditionalFormatting sqref="E53">
    <cfRule type="expression" dxfId="50" priority="12" stopIfTrue="1">
      <formula>$F$53="超过30%"</formula>
    </cfRule>
  </conditionalFormatting>
  <conditionalFormatting sqref="E54">
    <cfRule type="expression" dxfId="49" priority="11" stopIfTrue="1">
      <formula>$F$54="超过20%"</formula>
    </cfRule>
  </conditionalFormatting>
  <conditionalFormatting sqref="E55">
    <cfRule type="expression" dxfId="48" priority="10" stopIfTrue="1">
      <formula>$F$55="超过30%"</formula>
    </cfRule>
  </conditionalFormatting>
  <conditionalFormatting sqref="G55">
    <cfRule type="expression" dxfId="47" priority="9" stopIfTrue="1">
      <formula>$H$55="超过30%"</formula>
    </cfRule>
  </conditionalFormatting>
  <conditionalFormatting sqref="G53">
    <cfRule type="expression" dxfId="46" priority="8" stopIfTrue="1">
      <formula>$H$53="超过30%"</formula>
    </cfRule>
  </conditionalFormatting>
  <conditionalFormatting sqref="G54">
    <cfRule type="expression" dxfId="45" priority="7" stopIfTrue="1">
      <formula>$H$54="超过20%"</formula>
    </cfRule>
  </conditionalFormatting>
  <conditionalFormatting sqref="J53">
    <cfRule type="containsText" dxfId="44" priority="6" stopIfTrue="1" operator="containsText" text="超过">
      <formula>NOT(ISERROR(SEARCH("超过",J53)))</formula>
    </cfRule>
  </conditionalFormatting>
  <conditionalFormatting sqref="J55">
    <cfRule type="containsText" dxfId="43" priority="5" stopIfTrue="1" operator="containsText" text="超过">
      <formula>NOT(ISERROR(SEARCH("超过",J55)))</formula>
    </cfRule>
  </conditionalFormatting>
  <conditionalFormatting sqref="J54">
    <cfRule type="containsText" dxfId="42" priority="4" stopIfTrue="1" operator="containsText" text="超过">
      <formula>NOT(ISERROR(SEARCH("超过",J54)))</formula>
    </cfRule>
  </conditionalFormatting>
  <conditionalFormatting sqref="I53">
    <cfRule type="expression" dxfId="41" priority="3" stopIfTrue="1">
      <formula>$J$53="超过30%"</formula>
    </cfRule>
  </conditionalFormatting>
  <conditionalFormatting sqref="I54">
    <cfRule type="expression" dxfId="40" priority="2" stopIfTrue="1">
      <formula>$J$53+$J$54="超过20%"</formula>
    </cfRule>
  </conditionalFormatting>
  <conditionalFormatting sqref="I55">
    <cfRule type="expression" dxfId="39"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4" sqref="C14:C16"/>
      <selection pane="bottomLeft" activeCell="C14" sqref="C14:C16"/>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3"/>
    <col min="46" max="16384" width="9" style="138"/>
  </cols>
  <sheetData>
    <row r="1" spans="1:45" ht="14.25" customHeight="1" thickBot="1">
      <c r="A1" s="154"/>
      <c r="B1" s="1202" t="s">
        <v>2993</v>
      </c>
      <c r="C1" s="3320" t="s">
        <v>2994</v>
      </c>
      <c r="D1" s="3321"/>
      <c r="E1" s="3321"/>
      <c r="F1" s="3321"/>
      <c r="G1" s="3321"/>
      <c r="H1" s="3321"/>
      <c r="I1" s="3321"/>
      <c r="J1" s="3321"/>
      <c r="K1" s="3321"/>
      <c r="L1" s="3321"/>
      <c r="M1" s="3321"/>
      <c r="N1" s="3321"/>
      <c r="O1" s="3321"/>
      <c r="P1" s="3321"/>
      <c r="Q1" s="3321"/>
      <c r="R1" s="3321"/>
      <c r="S1" s="3322"/>
      <c r="T1" s="1202" t="s">
        <v>2995</v>
      </c>
    </row>
    <row r="2" spans="1:45" s="706" customFormat="1" ht="38.25">
      <c r="A2" s="1203"/>
      <c r="B2" s="702" t="s">
        <v>2996</v>
      </c>
      <c r="C2" s="703" t="str">
        <f t="shared" ref="C2:L2" si="0">C3&amp;"(含)"&amp;"-"&amp;D3</f>
        <v>0(含)-100</v>
      </c>
      <c r="D2" s="704" t="str">
        <f t="shared" si="0"/>
        <v>100(含)-200</v>
      </c>
      <c r="E2" s="704" t="str">
        <f t="shared" si="0"/>
        <v>200(含)-500</v>
      </c>
      <c r="F2" s="704" t="str">
        <f t="shared" si="0"/>
        <v>500(含)-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5"/>
      <c r="B3" s="707"/>
      <c r="C3" s="708">
        <v>0</v>
      </c>
      <c r="D3" s="709">
        <v>100</v>
      </c>
      <c r="E3" s="709">
        <v>200</v>
      </c>
      <c r="F3" s="1702">
        <v>500</v>
      </c>
      <c r="G3" s="1702"/>
      <c r="H3" s="1702"/>
      <c r="I3" s="1702"/>
      <c r="J3" s="1702"/>
      <c r="K3" s="1702"/>
      <c r="L3" s="1703"/>
      <c r="M3" s="1704"/>
      <c r="N3" s="1704"/>
      <c r="O3" s="1702"/>
      <c r="P3" s="1702"/>
      <c r="Q3" s="1702"/>
      <c r="R3" s="1702"/>
      <c r="S3" s="1705"/>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6"/>
      <c r="B4" s="1207"/>
      <c r="C4" s="1208">
        <v>98</v>
      </c>
      <c r="D4" s="1209">
        <v>99</v>
      </c>
      <c r="E4" s="1209">
        <v>100</v>
      </c>
      <c r="F4" s="1706">
        <v>99</v>
      </c>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24">
      <c r="A5" s="1213"/>
      <c r="B5" s="2973" t="s">
        <v>3098</v>
      </c>
      <c r="C5" s="2974" t="s">
        <v>3099</v>
      </c>
      <c r="D5" s="2975" t="s">
        <v>3100</v>
      </c>
      <c r="E5" s="2975" t="s">
        <v>3101</v>
      </c>
      <c r="F5" s="1709"/>
      <c r="G5" s="2976" t="s">
        <v>3102</v>
      </c>
      <c r="H5" s="2976" t="s">
        <v>3114</v>
      </c>
      <c r="I5" s="2976" t="s">
        <v>3103</v>
      </c>
      <c r="J5" s="1709"/>
      <c r="K5" s="1709"/>
      <c r="L5" s="1710"/>
      <c r="M5" s="1711"/>
      <c r="N5" s="1711"/>
      <c r="O5" s="1709"/>
      <c r="P5" s="1709"/>
      <c r="Q5" s="1709"/>
      <c r="R5" s="1709"/>
      <c r="S5" s="1712"/>
      <c r="T5" s="1217">
        <v>1</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3"/>
      <c r="B6" s="1114"/>
      <c r="C6" s="1120">
        <v>100</v>
      </c>
      <c r="D6" s="1117">
        <f>C6-$T5</f>
        <v>99</v>
      </c>
      <c r="E6" s="1117">
        <f t="shared" ref="E6:S6" si="7">D6-$T5</f>
        <v>98</v>
      </c>
      <c r="F6" s="1713">
        <f t="shared" si="7"/>
        <v>97</v>
      </c>
      <c r="G6" s="1713">
        <f t="shared" si="7"/>
        <v>96</v>
      </c>
      <c r="H6" s="1713">
        <f t="shared" si="7"/>
        <v>95</v>
      </c>
      <c r="I6" s="1713">
        <f t="shared" si="7"/>
        <v>94</v>
      </c>
      <c r="J6" s="1713">
        <f t="shared" si="7"/>
        <v>93</v>
      </c>
      <c r="K6" s="1713">
        <f t="shared" si="7"/>
        <v>92</v>
      </c>
      <c r="L6" s="1713">
        <f t="shared" si="7"/>
        <v>91</v>
      </c>
      <c r="M6" s="1713">
        <f t="shared" si="7"/>
        <v>90</v>
      </c>
      <c r="N6" s="1713">
        <f t="shared" si="7"/>
        <v>89</v>
      </c>
      <c r="O6" s="1713">
        <f t="shared" si="7"/>
        <v>88</v>
      </c>
      <c r="P6" s="1713">
        <f t="shared" si="7"/>
        <v>87</v>
      </c>
      <c r="Q6" s="1713">
        <f t="shared" si="7"/>
        <v>86</v>
      </c>
      <c r="R6" s="1713">
        <f t="shared" si="7"/>
        <v>85</v>
      </c>
      <c r="S6" s="1713">
        <f t="shared" si="7"/>
        <v>84</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3"/>
      <c r="B7" s="1768" t="s">
        <v>2997</v>
      </c>
      <c r="C7" s="1119"/>
      <c r="D7" s="1113"/>
      <c r="E7" s="1113"/>
      <c r="F7" s="1714"/>
      <c r="G7" s="1714"/>
      <c r="H7" s="1714"/>
      <c r="I7" s="1714"/>
      <c r="J7" s="1714"/>
      <c r="K7" s="1714"/>
      <c r="L7" s="1714"/>
      <c r="M7" s="1715"/>
      <c r="N7" s="1716"/>
      <c r="O7" s="1717"/>
      <c r="P7" s="1718"/>
      <c r="Q7" s="1719"/>
      <c r="R7" s="1720"/>
      <c r="S7" s="1721"/>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3"/>
      <c r="B9" s="1768" t="s">
        <v>2998</v>
      </c>
      <c r="C9" s="1119"/>
      <c r="D9" s="1113"/>
      <c r="E9" s="1113"/>
      <c r="F9" s="1714"/>
      <c r="G9" s="1714"/>
      <c r="H9" s="1714"/>
      <c r="I9" s="1714"/>
      <c r="J9" s="1714"/>
      <c r="K9" s="1714"/>
      <c r="L9" s="1722"/>
      <c r="M9" s="1715"/>
      <c r="N9" s="1716"/>
      <c r="O9" s="1717"/>
      <c r="P9" s="1718"/>
      <c r="Q9" s="1719"/>
      <c r="R9" s="1720"/>
      <c r="S9" s="1721"/>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3"/>
      <c r="B11" s="1767" t="s">
        <v>2999</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3"/>
      <c r="B13" s="1767" t="s">
        <v>3000</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3"/>
      <c r="B15" s="1767" t="s">
        <v>3001</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4" t="s">
        <v>3002</v>
      </c>
      <c r="B17" s="2905" t="s">
        <v>3003</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06" t="s">
        <v>3004</v>
      </c>
      <c r="E19" s="1790"/>
      <c r="F19" s="1790"/>
      <c r="G19" s="1790"/>
      <c r="H19" s="1278"/>
      <c r="I19" s="167"/>
      <c r="J19" s="167"/>
      <c r="K19" s="167"/>
      <c r="L19" s="167"/>
      <c r="M19" s="167"/>
      <c r="N19" s="167"/>
      <c r="O19" s="167"/>
      <c r="P19" s="167"/>
      <c r="Q19" s="167"/>
      <c r="R19" s="786"/>
      <c r="S19" s="137"/>
    </row>
    <row r="20" spans="1:45" ht="16.5" thickBot="1">
      <c r="A20" s="714" t="s">
        <v>3005</v>
      </c>
      <c r="B20" s="337">
        <f ca="1">IF(D20="——",S22,S22-F20)</f>
        <v>2572</v>
      </c>
      <c r="C20" s="167"/>
      <c r="D20" s="2907" t="s">
        <v>70</v>
      </c>
      <c r="E20" s="1791"/>
      <c r="F20" s="1202" t="e">
        <f ca="1">SUMIF(INDIRECT("'"&amp;H20&amp;"'"&amp;"!A:A"),"承租人权益价值",INDIRECT("'"&amp;H20&amp;"'"&amp;"!c:c"))</f>
        <v>#REF!</v>
      </c>
      <c r="G20" s="1202" t="s">
        <v>3006</v>
      </c>
      <c r="H20" s="2908"/>
      <c r="I20" s="167"/>
      <c r="J20" s="167"/>
      <c r="K20" s="167"/>
      <c r="L20" s="167"/>
      <c r="M20" s="167"/>
      <c r="N20" s="167"/>
      <c r="O20" s="167"/>
      <c r="P20" s="167"/>
      <c r="Q20" s="167"/>
      <c r="R20" s="786"/>
      <c r="S20" s="137"/>
    </row>
    <row r="21" spans="1:45" ht="15.75">
      <c r="A21" s="714" t="s">
        <v>3007</v>
      </c>
      <c r="B21" s="337">
        <f ca="1">R22</f>
        <v>40544</v>
      </c>
      <c r="C21" s="167"/>
      <c r="D21" s="167"/>
      <c r="E21" s="167"/>
      <c r="F21" s="167"/>
      <c r="G21" s="167"/>
      <c r="H21" s="167"/>
      <c r="I21" s="167"/>
      <c r="J21" s="167"/>
      <c r="K21" s="167"/>
      <c r="L21" s="167"/>
      <c r="M21" s="167"/>
      <c r="N21" s="167"/>
      <c r="O21" s="167"/>
      <c r="P21" s="167"/>
      <c r="Q21" s="167"/>
      <c r="R21" s="786"/>
      <c r="S21" s="137"/>
    </row>
    <row r="22" spans="1:45">
      <c r="A22" s="360" t="s">
        <v>3008</v>
      </c>
      <c r="B22" s="23">
        <f>SUM(B24:B10000)</f>
        <v>634.38000000000011</v>
      </c>
      <c r="C22" s="3204" t="s">
        <v>33</v>
      </c>
      <c r="D22" s="3205"/>
      <c r="E22" s="3205"/>
      <c r="F22" s="3205"/>
      <c r="G22" s="3205"/>
      <c r="H22" s="3205"/>
      <c r="I22" s="3205"/>
      <c r="J22" s="3205"/>
      <c r="K22" s="3205"/>
      <c r="L22" s="3205"/>
      <c r="M22" s="3205"/>
      <c r="N22" s="3205"/>
      <c r="O22" s="3205"/>
      <c r="P22" s="3205"/>
      <c r="Q22" s="3319"/>
      <c r="R22" s="715">
        <f ca="1">ROUND(S22*10000/B22,0)</f>
        <v>40544</v>
      </c>
      <c r="S22" s="23">
        <f ca="1">SUM(S24:S10000)</f>
        <v>2572</v>
      </c>
    </row>
    <row r="23" spans="1:45" s="12" customFormat="1" ht="24">
      <c r="A23" s="11" t="s">
        <v>3009</v>
      </c>
      <c r="B23" s="11" t="s">
        <v>3010</v>
      </c>
      <c r="C23" s="11" t="s">
        <v>3011</v>
      </c>
      <c r="D23" s="11" t="str">
        <f>B5</f>
        <v>朝向</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6" t="s">
        <v>3012</v>
      </c>
      <c r="S23" s="11" t="s">
        <v>3013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77" t="s">
        <v>3104</v>
      </c>
      <c r="B24" s="2978">
        <f>'数据-基础表'!I13</f>
        <v>109.98</v>
      </c>
      <c r="C24" s="717">
        <v>1</v>
      </c>
      <c r="D24" s="718"/>
      <c r="E24" s="717">
        <v>1</v>
      </c>
      <c r="F24" s="718"/>
      <c r="G24" s="717">
        <v>1</v>
      </c>
      <c r="H24" s="718"/>
      <c r="I24" s="717">
        <v>1</v>
      </c>
      <c r="J24" s="718"/>
      <c r="K24" s="717">
        <v>1</v>
      </c>
      <c r="L24" s="718"/>
      <c r="M24" s="717">
        <v>1</v>
      </c>
      <c r="N24" s="718"/>
      <c r="O24" s="717">
        <v>1</v>
      </c>
      <c r="P24" s="718"/>
      <c r="Q24" s="717">
        <v>1</v>
      </c>
      <c r="R24" s="719">
        <f ca="1">'结果表-办公'!G20</f>
        <v>40592</v>
      </c>
      <c r="S24" s="717">
        <f t="shared" ref="S24:S54" ca="1" si="11">ROUND(R24*B24/10000,0)</f>
        <v>446</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t="s">
        <v>3105</v>
      </c>
      <c r="B25" s="2979">
        <f>'数据-基础表'!I14</f>
        <v>170.17</v>
      </c>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5">
        <f ca="1">IF(B25="",0,ROUND($R$24*C25*E25*G25*I25*K25*M25*O25*Q25,0))</f>
        <v>40592</v>
      </c>
      <c r="S25" s="360">
        <f t="shared" ca="1" si="11"/>
        <v>691</v>
      </c>
    </row>
    <row r="26" spans="1:45">
      <c r="A26" s="158" t="s">
        <v>3106</v>
      </c>
      <c r="B26" s="2979">
        <f>'数据-基础表'!I15</f>
        <v>158.59</v>
      </c>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5">
        <f t="shared" ref="R26:R89" ca="1" si="20">IF(B26="",0,ROUND($R$24*C26*E26*G26*I26*K26*M26*O26*Q26,0))</f>
        <v>40592</v>
      </c>
      <c r="S26" s="360">
        <f t="shared" ca="1" si="11"/>
        <v>644</v>
      </c>
    </row>
    <row r="27" spans="1:45">
      <c r="A27" s="158" t="s">
        <v>3107</v>
      </c>
      <c r="B27" s="2979">
        <f>'数据-基础表'!I16</f>
        <v>113.7</v>
      </c>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5">
        <f t="shared" ca="1" si="20"/>
        <v>40592</v>
      </c>
      <c r="S27" s="360">
        <f t="shared" ca="1" si="11"/>
        <v>462</v>
      </c>
    </row>
    <row r="28" spans="1:45">
      <c r="A28" s="158" t="s">
        <v>3108</v>
      </c>
      <c r="B28" s="2979">
        <f>'数据-基础表'!I17</f>
        <v>81.94</v>
      </c>
      <c r="C28" s="23">
        <f t="shared" si="12"/>
        <v>0.99</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5">
        <f t="shared" ca="1" si="20"/>
        <v>40186</v>
      </c>
      <c r="S28" s="360">
        <f t="shared" ca="1" si="11"/>
        <v>329</v>
      </c>
    </row>
    <row r="29" spans="1:45">
      <c r="A29" s="158"/>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5">
        <f t="shared" si="20"/>
        <v>0</v>
      </c>
      <c r="S29" s="360">
        <f t="shared" si="11"/>
        <v>0</v>
      </c>
    </row>
    <row r="30" spans="1:45">
      <c r="A30" s="158"/>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5">
        <f t="shared" si="20"/>
        <v>0</v>
      </c>
      <c r="S30" s="360">
        <f t="shared" si="11"/>
        <v>0</v>
      </c>
    </row>
    <row r="31" spans="1:45">
      <c r="A31" s="158"/>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5">
        <f t="shared" si="20"/>
        <v>0</v>
      </c>
      <c r="S31" s="360">
        <f t="shared" si="11"/>
        <v>0</v>
      </c>
    </row>
    <row r="32" spans="1:45">
      <c r="A32" s="158"/>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5">
        <f t="shared" si="20"/>
        <v>0</v>
      </c>
      <c r="S32" s="360">
        <f t="shared" si="11"/>
        <v>0</v>
      </c>
    </row>
    <row r="33" spans="1:19">
      <c r="A33" s="158"/>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5">
        <f t="shared" si="20"/>
        <v>0</v>
      </c>
      <c r="S33" s="360">
        <f t="shared" si="11"/>
        <v>0</v>
      </c>
    </row>
    <row r="34" spans="1:19">
      <c r="A34" s="158"/>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5">
        <f t="shared" si="20"/>
        <v>0</v>
      </c>
      <c r="S34" s="360">
        <f t="shared" si="11"/>
        <v>0</v>
      </c>
    </row>
    <row r="35" spans="1:19">
      <c r="A35" s="158"/>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5">
        <f t="shared" si="20"/>
        <v>0</v>
      </c>
      <c r="S35" s="360">
        <f t="shared" si="11"/>
        <v>0</v>
      </c>
    </row>
    <row r="36" spans="1:19">
      <c r="A36" s="158"/>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5">
        <f t="shared" si="20"/>
        <v>0</v>
      </c>
      <c r="S36" s="360">
        <f t="shared" si="11"/>
        <v>0</v>
      </c>
    </row>
    <row r="37" spans="1:19">
      <c r="A37" s="158"/>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5">
        <f t="shared" si="20"/>
        <v>0</v>
      </c>
      <c r="S37" s="360">
        <f t="shared" si="11"/>
        <v>0</v>
      </c>
    </row>
    <row r="38" spans="1:19">
      <c r="A38" s="158"/>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5">
        <f t="shared" si="20"/>
        <v>0</v>
      </c>
      <c r="S38" s="360">
        <f t="shared" si="11"/>
        <v>0</v>
      </c>
    </row>
    <row r="39" spans="1:19">
      <c r="A39" s="158"/>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5">
        <f t="shared" si="20"/>
        <v>0</v>
      </c>
      <c r="S39" s="360">
        <f t="shared" si="11"/>
        <v>0</v>
      </c>
    </row>
    <row r="40" spans="1:19">
      <c r="A40" s="158"/>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5">
        <f t="shared" si="20"/>
        <v>0</v>
      </c>
      <c r="S40" s="360">
        <f t="shared" si="11"/>
        <v>0</v>
      </c>
    </row>
    <row r="41" spans="1:19">
      <c r="A41" s="158"/>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5">
        <f t="shared" si="20"/>
        <v>0</v>
      </c>
      <c r="S41" s="360">
        <f t="shared" si="11"/>
        <v>0</v>
      </c>
    </row>
    <row r="42" spans="1:19">
      <c r="A42" s="158"/>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5">
        <f t="shared" si="20"/>
        <v>0</v>
      </c>
      <c r="S42" s="360">
        <f t="shared" si="11"/>
        <v>0</v>
      </c>
    </row>
    <row r="43" spans="1:19">
      <c r="A43" s="158"/>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5">
        <f t="shared" si="20"/>
        <v>0</v>
      </c>
      <c r="S43" s="360">
        <f t="shared" si="11"/>
        <v>0</v>
      </c>
    </row>
    <row r="44" spans="1:19">
      <c r="A44" s="158"/>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5">
        <f t="shared" si="20"/>
        <v>0</v>
      </c>
      <c r="S44" s="360">
        <f t="shared" si="11"/>
        <v>0</v>
      </c>
    </row>
    <row r="45" spans="1:19">
      <c r="A45" s="158"/>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5">
        <f t="shared" si="20"/>
        <v>0</v>
      </c>
      <c r="S45" s="360">
        <f t="shared" si="11"/>
        <v>0</v>
      </c>
    </row>
    <row r="46" spans="1:19">
      <c r="A46" s="158"/>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5">
        <f t="shared" si="20"/>
        <v>0</v>
      </c>
      <c r="S46" s="360">
        <f t="shared" si="11"/>
        <v>0</v>
      </c>
    </row>
    <row r="47" spans="1:19">
      <c r="A47" s="158"/>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5">
        <f t="shared" si="20"/>
        <v>0</v>
      </c>
      <c r="S47" s="360">
        <f t="shared" si="11"/>
        <v>0</v>
      </c>
    </row>
    <row r="48" spans="1:19">
      <c r="A48" s="158"/>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5">
        <f t="shared" si="20"/>
        <v>0</v>
      </c>
      <c r="S48" s="360">
        <f t="shared" si="11"/>
        <v>0</v>
      </c>
    </row>
    <row r="49" spans="1:19">
      <c r="A49" s="158"/>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5">
        <f t="shared" si="20"/>
        <v>0</v>
      </c>
      <c r="S49" s="360">
        <f t="shared" si="11"/>
        <v>0</v>
      </c>
    </row>
    <row r="50" spans="1:19">
      <c r="A50" s="158"/>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5">
        <f t="shared" si="20"/>
        <v>0</v>
      </c>
      <c r="S50" s="360">
        <f t="shared" si="11"/>
        <v>0</v>
      </c>
    </row>
    <row r="51" spans="1:19">
      <c r="A51" s="158"/>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5">
        <f t="shared" si="20"/>
        <v>0</v>
      </c>
      <c r="S51" s="360">
        <f t="shared" si="11"/>
        <v>0</v>
      </c>
    </row>
    <row r="52" spans="1:19">
      <c r="A52" s="158"/>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5">
        <f t="shared" si="20"/>
        <v>0</v>
      </c>
      <c r="S52" s="360">
        <f t="shared" si="11"/>
        <v>0</v>
      </c>
    </row>
    <row r="53" spans="1:19">
      <c r="A53" s="158"/>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5">
        <f t="shared" si="20"/>
        <v>0</v>
      </c>
      <c r="S53" s="360">
        <f t="shared" si="11"/>
        <v>0</v>
      </c>
    </row>
    <row r="54" spans="1:19">
      <c r="A54" s="158"/>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5">
        <f t="shared" si="20"/>
        <v>0</v>
      </c>
      <c r="S54" s="360">
        <f t="shared" si="11"/>
        <v>0</v>
      </c>
    </row>
    <row r="55" spans="1:19">
      <c r="A55" s="158"/>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5">
        <f t="shared" si="20"/>
        <v>0</v>
      </c>
      <c r="S55" s="360">
        <f t="shared" ref="S55:S77" si="21">ROUND(R55*B55/10000,0)</f>
        <v>0</v>
      </c>
    </row>
    <row r="56" spans="1:19">
      <c r="A56" s="158"/>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5">
        <f t="shared" si="20"/>
        <v>0</v>
      </c>
      <c r="S56" s="360">
        <f t="shared" si="21"/>
        <v>0</v>
      </c>
    </row>
    <row r="57" spans="1:19">
      <c r="A57" s="158"/>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5">
        <f t="shared" si="20"/>
        <v>0</v>
      </c>
      <c r="S57" s="360">
        <f t="shared" si="21"/>
        <v>0</v>
      </c>
    </row>
    <row r="58" spans="1:19">
      <c r="A58" s="158"/>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5">
        <f t="shared" si="20"/>
        <v>0</v>
      </c>
      <c r="S58" s="360">
        <f t="shared" si="21"/>
        <v>0</v>
      </c>
    </row>
    <row r="59" spans="1:19">
      <c r="A59" s="158"/>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5">
        <f t="shared" si="20"/>
        <v>0</v>
      </c>
      <c r="S59" s="360">
        <f t="shared" si="21"/>
        <v>0</v>
      </c>
    </row>
    <row r="60" spans="1:19">
      <c r="A60" s="158"/>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5">
        <f t="shared" si="20"/>
        <v>0</v>
      </c>
      <c r="S60" s="360">
        <f t="shared" si="21"/>
        <v>0</v>
      </c>
    </row>
    <row r="61" spans="1:19">
      <c r="A61" s="158"/>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5">
        <f t="shared" si="20"/>
        <v>0</v>
      </c>
      <c r="S61" s="360">
        <f t="shared" si="21"/>
        <v>0</v>
      </c>
    </row>
    <row r="62" spans="1:19">
      <c r="A62" s="158"/>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5">
        <f t="shared" si="20"/>
        <v>0</v>
      </c>
      <c r="S62" s="360">
        <f t="shared" si="21"/>
        <v>0</v>
      </c>
    </row>
    <row r="63" spans="1:19">
      <c r="A63" s="158"/>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5">
        <f t="shared" si="20"/>
        <v>0</v>
      </c>
      <c r="S63" s="360">
        <f t="shared" si="21"/>
        <v>0</v>
      </c>
    </row>
    <row r="64" spans="1:19">
      <c r="A64" s="158"/>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5">
        <f t="shared" si="20"/>
        <v>0</v>
      </c>
      <c r="S64" s="360">
        <f t="shared" si="21"/>
        <v>0</v>
      </c>
    </row>
    <row r="65" spans="1:19">
      <c r="A65" s="158"/>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5">
        <f t="shared" si="20"/>
        <v>0</v>
      </c>
      <c r="S65" s="360">
        <f t="shared" si="21"/>
        <v>0</v>
      </c>
    </row>
    <row r="66" spans="1:19">
      <c r="A66" s="158"/>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5">
        <f t="shared" si="20"/>
        <v>0</v>
      </c>
      <c r="S66" s="360">
        <f t="shared" si="21"/>
        <v>0</v>
      </c>
    </row>
    <row r="67" spans="1:19">
      <c r="A67" s="158"/>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5">
        <f t="shared" si="20"/>
        <v>0</v>
      </c>
      <c r="S67" s="360">
        <f t="shared" si="21"/>
        <v>0</v>
      </c>
    </row>
    <row r="68" spans="1:19">
      <c r="A68" s="158"/>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5">
        <f t="shared" si="20"/>
        <v>0</v>
      </c>
      <c r="S68" s="360">
        <f t="shared" si="21"/>
        <v>0</v>
      </c>
    </row>
    <row r="69" spans="1:19">
      <c r="A69" s="158"/>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5">
        <f t="shared" si="20"/>
        <v>0</v>
      </c>
      <c r="S69" s="360">
        <f t="shared" si="21"/>
        <v>0</v>
      </c>
    </row>
    <row r="70" spans="1:19">
      <c r="A70" s="158"/>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5">
        <f t="shared" si="20"/>
        <v>0</v>
      </c>
      <c r="S70" s="360">
        <f t="shared" si="21"/>
        <v>0</v>
      </c>
    </row>
    <row r="71" spans="1:19">
      <c r="A71" s="158"/>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5">
        <f t="shared" si="20"/>
        <v>0</v>
      </c>
      <c r="S71" s="360">
        <f t="shared" si="21"/>
        <v>0</v>
      </c>
    </row>
    <row r="72" spans="1:19">
      <c r="A72" s="158"/>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5">
        <f t="shared" si="20"/>
        <v>0</v>
      </c>
      <c r="S72" s="360">
        <f t="shared" si="21"/>
        <v>0</v>
      </c>
    </row>
    <row r="73" spans="1:19">
      <c r="A73" s="158"/>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5">
        <f t="shared" si="20"/>
        <v>0</v>
      </c>
      <c r="S73" s="360">
        <f t="shared" si="21"/>
        <v>0</v>
      </c>
    </row>
    <row r="74" spans="1:19">
      <c r="A74" s="158"/>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5">
        <f t="shared" si="20"/>
        <v>0</v>
      </c>
      <c r="S74" s="360">
        <f t="shared" si="21"/>
        <v>0</v>
      </c>
    </row>
    <row r="75" spans="1:19">
      <c r="A75" s="158"/>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5">
        <f t="shared" si="20"/>
        <v>0</v>
      </c>
      <c r="S75" s="360">
        <f t="shared" si="21"/>
        <v>0</v>
      </c>
    </row>
    <row r="76" spans="1:19">
      <c r="A76" s="158"/>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5">
        <f t="shared" si="20"/>
        <v>0</v>
      </c>
      <c r="S76" s="360">
        <f t="shared" si="21"/>
        <v>0</v>
      </c>
    </row>
    <row r="77" spans="1:19">
      <c r="A77" s="158"/>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5">
        <f t="shared" si="20"/>
        <v>0</v>
      </c>
      <c r="S77" s="360">
        <f t="shared" si="21"/>
        <v>0</v>
      </c>
    </row>
    <row r="78" spans="1:19">
      <c r="A78" s="158"/>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5">
        <f t="shared" si="20"/>
        <v>0</v>
      </c>
      <c r="S78" s="360">
        <f t="shared" ref="S78:S122" si="22">ROUND(R78*B78/10000,0)</f>
        <v>0</v>
      </c>
    </row>
    <row r="79" spans="1:19">
      <c r="A79" s="158"/>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5">
        <f t="shared" si="20"/>
        <v>0</v>
      </c>
      <c r="S79" s="360">
        <f t="shared" si="22"/>
        <v>0</v>
      </c>
    </row>
    <row r="80" spans="1:19">
      <c r="A80" s="158"/>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5">
        <f t="shared" si="20"/>
        <v>0</v>
      </c>
      <c r="S80" s="360">
        <f t="shared" si="22"/>
        <v>0</v>
      </c>
    </row>
    <row r="81" spans="1:19">
      <c r="A81" s="158"/>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5">
        <f t="shared" si="20"/>
        <v>0</v>
      </c>
      <c r="S81" s="360">
        <f t="shared" si="22"/>
        <v>0</v>
      </c>
    </row>
    <row r="82" spans="1:19">
      <c r="A82" s="158"/>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5">
        <f t="shared" si="20"/>
        <v>0</v>
      </c>
      <c r="S82" s="360">
        <f t="shared" si="22"/>
        <v>0</v>
      </c>
    </row>
    <row r="83" spans="1:19">
      <c r="A83" s="158"/>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5">
        <f t="shared" si="20"/>
        <v>0</v>
      </c>
      <c r="S83" s="360">
        <f t="shared" si="22"/>
        <v>0</v>
      </c>
    </row>
    <row r="84" spans="1:19">
      <c r="A84" s="158"/>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5">
        <f t="shared" si="20"/>
        <v>0</v>
      </c>
      <c r="S84" s="360">
        <f t="shared" si="22"/>
        <v>0</v>
      </c>
    </row>
    <row r="85" spans="1:19">
      <c r="A85" s="158"/>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5">
        <f t="shared" si="20"/>
        <v>0</v>
      </c>
      <c r="S85" s="360">
        <f t="shared" si="22"/>
        <v>0</v>
      </c>
    </row>
    <row r="86" spans="1:19">
      <c r="A86" s="158"/>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5">
        <f t="shared" si="20"/>
        <v>0</v>
      </c>
      <c r="S86" s="360">
        <f t="shared" si="22"/>
        <v>0</v>
      </c>
    </row>
    <row r="87" spans="1:19">
      <c r="A87" s="158"/>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5">
        <f t="shared" si="20"/>
        <v>0</v>
      </c>
      <c r="S87" s="360">
        <f t="shared" si="22"/>
        <v>0</v>
      </c>
    </row>
    <row r="88" spans="1:19">
      <c r="A88" s="158"/>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5">
        <f t="shared" si="20"/>
        <v>0</v>
      </c>
      <c r="S88" s="360">
        <f t="shared" si="22"/>
        <v>0</v>
      </c>
    </row>
    <row r="89" spans="1:19">
      <c r="A89" s="158"/>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5">
        <f t="shared" si="20"/>
        <v>0</v>
      </c>
      <c r="S89" s="360">
        <f t="shared" si="22"/>
        <v>0</v>
      </c>
    </row>
    <row r="90" spans="1:19">
      <c r="A90" s="158"/>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5">
        <f t="shared" si="31"/>
        <v>0</v>
      </c>
      <c r="S91" s="360">
        <f t="shared" si="22"/>
        <v>0</v>
      </c>
    </row>
    <row r="92" spans="1:19">
      <c r="A92" s="158"/>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5">
        <f t="shared" si="31"/>
        <v>0</v>
      </c>
      <c r="S92" s="360">
        <f t="shared" si="22"/>
        <v>0</v>
      </c>
    </row>
    <row r="93" spans="1:19">
      <c r="A93" s="158"/>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5">
        <f t="shared" si="31"/>
        <v>0</v>
      </c>
      <c r="S93" s="360">
        <f t="shared" si="22"/>
        <v>0</v>
      </c>
    </row>
    <row r="94" spans="1:19">
      <c r="A94" s="158"/>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5">
        <f t="shared" si="31"/>
        <v>0</v>
      </c>
      <c r="S94" s="360">
        <f t="shared" si="22"/>
        <v>0</v>
      </c>
    </row>
    <row r="95" spans="1:19">
      <c r="A95" s="158"/>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5">
        <f t="shared" si="31"/>
        <v>0</v>
      </c>
      <c r="S95" s="360">
        <f t="shared" si="22"/>
        <v>0</v>
      </c>
    </row>
    <row r="96" spans="1:19">
      <c r="A96" s="158"/>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5">
        <f t="shared" si="31"/>
        <v>0</v>
      </c>
      <c r="S96" s="360">
        <f t="shared" si="22"/>
        <v>0</v>
      </c>
    </row>
    <row r="97" spans="1:19">
      <c r="A97" s="158"/>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5">
        <f t="shared" si="31"/>
        <v>0</v>
      </c>
      <c r="S97" s="360">
        <f t="shared" si="22"/>
        <v>0</v>
      </c>
    </row>
    <row r="98" spans="1:19">
      <c r="A98" s="158"/>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5">
        <f t="shared" si="31"/>
        <v>0</v>
      </c>
      <c r="S98" s="360">
        <f t="shared" si="22"/>
        <v>0</v>
      </c>
    </row>
    <row r="99" spans="1:19">
      <c r="A99" s="158"/>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5">
        <f t="shared" si="31"/>
        <v>0</v>
      </c>
      <c r="S99" s="360">
        <f t="shared" si="22"/>
        <v>0</v>
      </c>
    </row>
    <row r="100" spans="1:19">
      <c r="A100" s="158"/>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5">
        <f t="shared" si="31"/>
        <v>0</v>
      </c>
      <c r="S100" s="360">
        <f t="shared" si="22"/>
        <v>0</v>
      </c>
    </row>
    <row r="101" spans="1:19">
      <c r="A101" s="158"/>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5">
        <f t="shared" si="31"/>
        <v>0</v>
      </c>
      <c r="S101" s="360">
        <f t="shared" si="22"/>
        <v>0</v>
      </c>
    </row>
    <row r="102" spans="1:19">
      <c r="A102" s="158"/>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5">
        <f t="shared" si="31"/>
        <v>0</v>
      </c>
      <c r="S102" s="360">
        <f t="shared" si="22"/>
        <v>0</v>
      </c>
    </row>
    <row r="103" spans="1:19">
      <c r="A103" s="158"/>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5">
        <f t="shared" si="31"/>
        <v>0</v>
      </c>
      <c r="S103" s="360">
        <f t="shared" si="22"/>
        <v>0</v>
      </c>
    </row>
    <row r="104" spans="1:19">
      <c r="A104" s="158"/>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5">
        <f t="shared" si="31"/>
        <v>0</v>
      </c>
      <c r="S104" s="360">
        <f t="shared" si="22"/>
        <v>0</v>
      </c>
    </row>
    <row r="105" spans="1:19">
      <c r="A105" s="158"/>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5">
        <f t="shared" si="31"/>
        <v>0</v>
      </c>
      <c r="S105" s="360">
        <f t="shared" si="22"/>
        <v>0</v>
      </c>
    </row>
    <row r="106" spans="1:19">
      <c r="A106" s="158"/>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5">
        <f t="shared" si="31"/>
        <v>0</v>
      </c>
      <c r="S106" s="360">
        <f t="shared" si="22"/>
        <v>0</v>
      </c>
    </row>
    <row r="107" spans="1:19">
      <c r="A107" s="158"/>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5">
        <f t="shared" si="31"/>
        <v>0</v>
      </c>
      <c r="S107" s="360">
        <f t="shared" si="22"/>
        <v>0</v>
      </c>
    </row>
    <row r="108" spans="1:19">
      <c r="A108" s="158"/>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5">
        <f t="shared" si="31"/>
        <v>0</v>
      </c>
      <c r="S108" s="360">
        <f t="shared" si="22"/>
        <v>0</v>
      </c>
    </row>
    <row r="109" spans="1:19">
      <c r="A109" s="158"/>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5">
        <f t="shared" si="31"/>
        <v>0</v>
      </c>
      <c r="S109" s="360">
        <f t="shared" si="22"/>
        <v>0</v>
      </c>
    </row>
    <row r="110" spans="1:19">
      <c r="A110" s="158"/>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5">
        <f t="shared" si="31"/>
        <v>0</v>
      </c>
      <c r="S110" s="360">
        <f t="shared" si="22"/>
        <v>0</v>
      </c>
    </row>
    <row r="111" spans="1:19">
      <c r="A111" s="158"/>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5">
        <f t="shared" si="31"/>
        <v>0</v>
      </c>
      <c r="S111" s="360">
        <f t="shared" si="22"/>
        <v>0</v>
      </c>
    </row>
    <row r="112" spans="1:19">
      <c r="A112" s="158"/>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5">
        <f t="shared" si="31"/>
        <v>0</v>
      </c>
      <c r="S112" s="360">
        <f t="shared" si="22"/>
        <v>0</v>
      </c>
    </row>
    <row r="113" spans="1:19">
      <c r="A113" s="158"/>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5">
        <f t="shared" si="31"/>
        <v>0</v>
      </c>
      <c r="S113" s="360">
        <f t="shared" si="22"/>
        <v>0</v>
      </c>
    </row>
    <row r="114" spans="1:19">
      <c r="A114" s="158"/>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5">
        <f t="shared" si="31"/>
        <v>0</v>
      </c>
      <c r="S114" s="360">
        <f t="shared" si="22"/>
        <v>0</v>
      </c>
    </row>
    <row r="115" spans="1:19">
      <c r="A115" s="158"/>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5">
        <f t="shared" si="31"/>
        <v>0</v>
      </c>
      <c r="S115" s="360">
        <f t="shared" si="22"/>
        <v>0</v>
      </c>
    </row>
    <row r="116" spans="1:19">
      <c r="A116" s="158"/>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5">
        <f t="shared" si="31"/>
        <v>0</v>
      </c>
      <c r="S116" s="360">
        <f t="shared" si="22"/>
        <v>0</v>
      </c>
    </row>
    <row r="117" spans="1:19">
      <c r="A117" s="158"/>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5">
        <f t="shared" si="31"/>
        <v>0</v>
      </c>
      <c r="S117" s="360">
        <f t="shared" si="22"/>
        <v>0</v>
      </c>
    </row>
    <row r="118" spans="1:19">
      <c r="A118" s="158"/>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5">
        <f t="shared" si="31"/>
        <v>0</v>
      </c>
      <c r="S118" s="360">
        <f t="shared" si="22"/>
        <v>0</v>
      </c>
    </row>
    <row r="119" spans="1:19">
      <c r="A119" s="158"/>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5">
        <f t="shared" si="31"/>
        <v>0</v>
      </c>
      <c r="S119" s="360">
        <f t="shared" si="22"/>
        <v>0</v>
      </c>
    </row>
    <row r="120" spans="1:19">
      <c r="A120" s="158"/>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5">
        <f t="shared" si="31"/>
        <v>0</v>
      </c>
      <c r="S120" s="360">
        <f t="shared" si="22"/>
        <v>0</v>
      </c>
    </row>
    <row r="121" spans="1:19">
      <c r="A121" s="158"/>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5">
        <f t="shared" si="31"/>
        <v>0</v>
      </c>
      <c r="S121" s="360">
        <f t="shared" si="22"/>
        <v>0</v>
      </c>
    </row>
    <row r="122" spans="1:19">
      <c r="A122" s="158"/>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5">
        <f t="shared" si="31"/>
        <v>0</v>
      </c>
      <c r="S122" s="360">
        <f t="shared" si="22"/>
        <v>0</v>
      </c>
    </row>
    <row r="123" spans="1:19">
      <c r="A123" s="158"/>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5">
        <f t="shared" si="31"/>
        <v>0</v>
      </c>
      <c r="S123" s="360">
        <f t="shared" ref="S123:S186" si="32">ROUND(R123*B123/10000,0)</f>
        <v>0</v>
      </c>
    </row>
    <row r="124" spans="1:19">
      <c r="A124" s="158"/>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5">
        <f t="shared" si="31"/>
        <v>0</v>
      </c>
      <c r="S124" s="360">
        <f t="shared" si="32"/>
        <v>0</v>
      </c>
    </row>
    <row r="125" spans="1:19">
      <c r="A125" s="158"/>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5">
        <f t="shared" si="31"/>
        <v>0</v>
      </c>
      <c r="S125" s="360">
        <f t="shared" si="32"/>
        <v>0</v>
      </c>
    </row>
    <row r="126" spans="1:19">
      <c r="A126" s="158"/>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5">
        <f t="shared" si="31"/>
        <v>0</v>
      </c>
      <c r="S126" s="360">
        <f t="shared" si="32"/>
        <v>0</v>
      </c>
    </row>
    <row r="127" spans="1:19">
      <c r="A127" s="158"/>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5">
        <f t="shared" si="31"/>
        <v>0</v>
      </c>
      <c r="S127" s="360">
        <f t="shared" si="32"/>
        <v>0</v>
      </c>
    </row>
    <row r="128" spans="1:19">
      <c r="A128" s="158"/>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5">
        <f t="shared" si="31"/>
        <v>0</v>
      </c>
      <c r="S128" s="360">
        <f t="shared" si="32"/>
        <v>0</v>
      </c>
    </row>
    <row r="129" spans="1:19">
      <c r="A129" s="158"/>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5">
        <f t="shared" si="31"/>
        <v>0</v>
      </c>
      <c r="S129" s="360">
        <f t="shared" si="32"/>
        <v>0</v>
      </c>
    </row>
    <row r="130" spans="1:19">
      <c r="A130" s="158"/>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5">
        <f t="shared" si="31"/>
        <v>0</v>
      </c>
      <c r="S130" s="360">
        <f t="shared" si="32"/>
        <v>0</v>
      </c>
    </row>
    <row r="131" spans="1:19">
      <c r="A131" s="158"/>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5">
        <f t="shared" si="31"/>
        <v>0</v>
      </c>
      <c r="S131" s="360">
        <f t="shared" si="32"/>
        <v>0</v>
      </c>
    </row>
    <row r="132" spans="1:19">
      <c r="A132" s="158"/>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5">
        <f t="shared" si="31"/>
        <v>0</v>
      </c>
      <c r="S132" s="360">
        <f t="shared" si="32"/>
        <v>0</v>
      </c>
    </row>
    <row r="133" spans="1:19">
      <c r="A133" s="158"/>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5">
        <f t="shared" si="31"/>
        <v>0</v>
      </c>
      <c r="S133" s="360">
        <f t="shared" si="32"/>
        <v>0</v>
      </c>
    </row>
    <row r="134" spans="1:19">
      <c r="A134" s="158"/>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5">
        <f t="shared" si="31"/>
        <v>0</v>
      </c>
      <c r="S134" s="360">
        <f t="shared" si="32"/>
        <v>0</v>
      </c>
    </row>
    <row r="135" spans="1:19">
      <c r="A135" s="158"/>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5">
        <f t="shared" si="31"/>
        <v>0</v>
      </c>
      <c r="S135" s="360">
        <f t="shared" si="32"/>
        <v>0</v>
      </c>
    </row>
    <row r="136" spans="1:19">
      <c r="A136" s="158"/>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5">
        <f t="shared" si="31"/>
        <v>0</v>
      </c>
      <c r="S136" s="360">
        <f t="shared" si="32"/>
        <v>0</v>
      </c>
    </row>
    <row r="137" spans="1:19">
      <c r="A137" s="158"/>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5">
        <f t="shared" si="31"/>
        <v>0</v>
      </c>
      <c r="S137" s="360">
        <f t="shared" si="32"/>
        <v>0</v>
      </c>
    </row>
    <row r="138" spans="1:19">
      <c r="A138" s="158"/>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5">
        <f t="shared" si="31"/>
        <v>0</v>
      </c>
      <c r="S138" s="360">
        <f t="shared" si="32"/>
        <v>0</v>
      </c>
    </row>
    <row r="139" spans="1:19">
      <c r="A139" s="158"/>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5">
        <f t="shared" si="31"/>
        <v>0</v>
      </c>
      <c r="S139" s="360">
        <f t="shared" si="32"/>
        <v>0</v>
      </c>
    </row>
    <row r="140" spans="1:19">
      <c r="A140" s="158"/>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5">
        <f t="shared" si="31"/>
        <v>0</v>
      </c>
      <c r="S140" s="360">
        <f t="shared" si="32"/>
        <v>0</v>
      </c>
    </row>
    <row r="141" spans="1:19">
      <c r="A141" s="158"/>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5">
        <f t="shared" si="31"/>
        <v>0</v>
      </c>
      <c r="S141" s="360">
        <f t="shared" si="32"/>
        <v>0</v>
      </c>
    </row>
    <row r="142" spans="1:19">
      <c r="A142" s="158"/>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5">
        <f t="shared" si="31"/>
        <v>0</v>
      </c>
      <c r="S142" s="360">
        <f t="shared" si="32"/>
        <v>0</v>
      </c>
    </row>
    <row r="143" spans="1:19">
      <c r="A143" s="158"/>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5">
        <f t="shared" si="31"/>
        <v>0</v>
      </c>
      <c r="S143" s="360">
        <f t="shared" si="32"/>
        <v>0</v>
      </c>
    </row>
    <row r="144" spans="1:19">
      <c r="A144" s="158"/>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5">
        <f t="shared" si="31"/>
        <v>0</v>
      </c>
      <c r="S144" s="360">
        <f t="shared" si="32"/>
        <v>0</v>
      </c>
    </row>
    <row r="145" spans="1:19">
      <c r="A145" s="158"/>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5">
        <f t="shared" si="31"/>
        <v>0</v>
      </c>
      <c r="S145" s="360">
        <f t="shared" si="32"/>
        <v>0</v>
      </c>
    </row>
    <row r="146" spans="1:19">
      <c r="A146" s="158"/>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5">
        <f t="shared" si="31"/>
        <v>0</v>
      </c>
      <c r="S146" s="360">
        <f t="shared" si="32"/>
        <v>0</v>
      </c>
    </row>
    <row r="147" spans="1:19">
      <c r="A147" s="158"/>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5">
        <f t="shared" si="31"/>
        <v>0</v>
      </c>
      <c r="S147" s="360">
        <f t="shared" si="32"/>
        <v>0</v>
      </c>
    </row>
    <row r="148" spans="1:19">
      <c r="A148" s="158"/>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5">
        <f t="shared" si="31"/>
        <v>0</v>
      </c>
      <c r="S148" s="360">
        <f t="shared" si="32"/>
        <v>0</v>
      </c>
    </row>
    <row r="149" spans="1:19">
      <c r="A149" s="158"/>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5">
        <f t="shared" si="31"/>
        <v>0</v>
      </c>
      <c r="S149" s="360">
        <f t="shared" si="32"/>
        <v>0</v>
      </c>
    </row>
    <row r="150" spans="1:19">
      <c r="A150" s="158"/>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5">
        <f t="shared" si="31"/>
        <v>0</v>
      </c>
      <c r="S150" s="360">
        <f t="shared" si="32"/>
        <v>0</v>
      </c>
    </row>
    <row r="151" spans="1:19">
      <c r="A151" s="158"/>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5">
        <f t="shared" si="31"/>
        <v>0</v>
      </c>
      <c r="S151" s="360">
        <f t="shared" si="32"/>
        <v>0</v>
      </c>
    </row>
    <row r="152" spans="1:19">
      <c r="A152" s="158"/>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5">
        <f t="shared" si="31"/>
        <v>0</v>
      </c>
      <c r="S152" s="360">
        <f t="shared" si="32"/>
        <v>0</v>
      </c>
    </row>
    <row r="153" spans="1:19">
      <c r="A153" s="158"/>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5">
        <f t="shared" si="31"/>
        <v>0</v>
      </c>
      <c r="S153" s="360">
        <f t="shared" si="32"/>
        <v>0</v>
      </c>
    </row>
    <row r="154" spans="1:19">
      <c r="A154" s="158"/>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5">
        <f t="shared" si="41"/>
        <v>0</v>
      </c>
      <c r="S155" s="360">
        <f t="shared" si="32"/>
        <v>0</v>
      </c>
    </row>
    <row r="156" spans="1:19">
      <c r="A156" s="158"/>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5">
        <f t="shared" si="41"/>
        <v>0</v>
      </c>
      <c r="S156" s="360">
        <f t="shared" si="32"/>
        <v>0</v>
      </c>
    </row>
    <row r="157" spans="1:19">
      <c r="A157" s="158"/>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5">
        <f t="shared" si="41"/>
        <v>0</v>
      </c>
      <c r="S157" s="360">
        <f t="shared" si="32"/>
        <v>0</v>
      </c>
    </row>
    <row r="158" spans="1:19">
      <c r="A158" s="158"/>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5">
        <f t="shared" si="41"/>
        <v>0</v>
      </c>
      <c r="S158" s="360">
        <f t="shared" si="32"/>
        <v>0</v>
      </c>
    </row>
    <row r="159" spans="1:19">
      <c r="A159" s="158"/>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5">
        <f t="shared" si="41"/>
        <v>0</v>
      </c>
      <c r="S159" s="360">
        <f t="shared" si="32"/>
        <v>0</v>
      </c>
    </row>
    <row r="160" spans="1:19">
      <c r="A160" s="158"/>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5">
        <f t="shared" si="41"/>
        <v>0</v>
      </c>
      <c r="S160" s="360">
        <f t="shared" si="32"/>
        <v>0</v>
      </c>
    </row>
    <row r="161" spans="1:19">
      <c r="A161" s="158"/>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5">
        <f t="shared" si="41"/>
        <v>0</v>
      </c>
      <c r="S161" s="360">
        <f t="shared" si="32"/>
        <v>0</v>
      </c>
    </row>
    <row r="162" spans="1:19">
      <c r="A162" s="158"/>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5">
        <f t="shared" si="41"/>
        <v>0</v>
      </c>
      <c r="S162" s="360">
        <f t="shared" si="32"/>
        <v>0</v>
      </c>
    </row>
    <row r="163" spans="1:19">
      <c r="A163" s="158"/>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5">
        <f t="shared" si="41"/>
        <v>0</v>
      </c>
      <c r="S163" s="360">
        <f t="shared" si="32"/>
        <v>0</v>
      </c>
    </row>
    <row r="164" spans="1:19">
      <c r="A164" s="158"/>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5">
        <f t="shared" si="41"/>
        <v>0</v>
      </c>
      <c r="S164" s="360">
        <f t="shared" si="32"/>
        <v>0</v>
      </c>
    </row>
    <row r="165" spans="1:19">
      <c r="A165" s="158"/>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5">
        <f t="shared" si="41"/>
        <v>0</v>
      </c>
      <c r="S165" s="360">
        <f t="shared" si="32"/>
        <v>0</v>
      </c>
    </row>
    <row r="166" spans="1:19">
      <c r="A166" s="158"/>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5">
        <f t="shared" si="41"/>
        <v>0</v>
      </c>
      <c r="S166" s="360">
        <f t="shared" si="32"/>
        <v>0</v>
      </c>
    </row>
    <row r="167" spans="1:19">
      <c r="A167" s="158"/>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5">
        <f t="shared" si="41"/>
        <v>0</v>
      </c>
      <c r="S167" s="360">
        <f t="shared" si="32"/>
        <v>0</v>
      </c>
    </row>
    <row r="168" spans="1:19">
      <c r="A168" s="158"/>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5">
        <f t="shared" si="41"/>
        <v>0</v>
      </c>
      <c r="S168" s="360">
        <f t="shared" si="32"/>
        <v>0</v>
      </c>
    </row>
    <row r="169" spans="1:19">
      <c r="A169" s="158"/>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5">
        <f t="shared" si="41"/>
        <v>0</v>
      </c>
      <c r="S169" s="360">
        <f t="shared" si="32"/>
        <v>0</v>
      </c>
    </row>
    <row r="170" spans="1:19">
      <c r="A170" s="158"/>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5">
        <f t="shared" si="41"/>
        <v>0</v>
      </c>
      <c r="S170" s="360">
        <f t="shared" si="32"/>
        <v>0</v>
      </c>
    </row>
    <row r="171" spans="1:19">
      <c r="A171" s="158"/>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5">
        <f t="shared" si="41"/>
        <v>0</v>
      </c>
      <c r="S171" s="360">
        <f t="shared" si="32"/>
        <v>0</v>
      </c>
    </row>
    <row r="172" spans="1:19">
      <c r="A172" s="158"/>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5">
        <f t="shared" si="41"/>
        <v>0</v>
      </c>
      <c r="S172" s="360">
        <f t="shared" si="32"/>
        <v>0</v>
      </c>
    </row>
    <row r="173" spans="1:19">
      <c r="A173" s="158"/>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5">
        <f t="shared" si="41"/>
        <v>0</v>
      </c>
      <c r="S173" s="360">
        <f t="shared" si="32"/>
        <v>0</v>
      </c>
    </row>
    <row r="174" spans="1:19">
      <c r="A174" s="158"/>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5">
        <f t="shared" si="41"/>
        <v>0</v>
      </c>
      <c r="S174" s="360">
        <f t="shared" si="32"/>
        <v>0</v>
      </c>
    </row>
    <row r="175" spans="1:19">
      <c r="A175" s="158"/>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5">
        <f t="shared" si="41"/>
        <v>0</v>
      </c>
      <c r="S175" s="360">
        <f t="shared" si="32"/>
        <v>0</v>
      </c>
    </row>
    <row r="176" spans="1:19">
      <c r="A176" s="158"/>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5">
        <f t="shared" si="41"/>
        <v>0</v>
      </c>
      <c r="S176" s="360">
        <f t="shared" si="32"/>
        <v>0</v>
      </c>
    </row>
    <row r="177" spans="1:19">
      <c r="A177" s="158"/>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5">
        <f t="shared" si="41"/>
        <v>0</v>
      </c>
      <c r="S177" s="360">
        <f t="shared" si="32"/>
        <v>0</v>
      </c>
    </row>
    <row r="178" spans="1:19">
      <c r="A178" s="158"/>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5">
        <f t="shared" si="41"/>
        <v>0</v>
      </c>
      <c r="S178" s="360">
        <f t="shared" si="32"/>
        <v>0</v>
      </c>
    </row>
    <row r="179" spans="1:19">
      <c r="A179" s="158"/>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5">
        <f t="shared" si="41"/>
        <v>0</v>
      </c>
      <c r="S179" s="360">
        <f t="shared" si="32"/>
        <v>0</v>
      </c>
    </row>
    <row r="180" spans="1:19">
      <c r="A180" s="158"/>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5">
        <f t="shared" si="41"/>
        <v>0</v>
      </c>
      <c r="S180" s="360">
        <f t="shared" si="32"/>
        <v>0</v>
      </c>
    </row>
    <row r="181" spans="1:19">
      <c r="A181" s="158"/>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5">
        <f t="shared" si="41"/>
        <v>0</v>
      </c>
      <c r="S181" s="360">
        <f t="shared" si="32"/>
        <v>0</v>
      </c>
    </row>
    <row r="182" spans="1:19">
      <c r="A182" s="158"/>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5">
        <f t="shared" si="41"/>
        <v>0</v>
      </c>
      <c r="S182" s="360">
        <f t="shared" si="32"/>
        <v>0</v>
      </c>
    </row>
    <row r="183" spans="1:19">
      <c r="A183" s="158"/>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5">
        <f t="shared" si="41"/>
        <v>0</v>
      </c>
      <c r="S183" s="360">
        <f t="shared" si="32"/>
        <v>0</v>
      </c>
    </row>
    <row r="184" spans="1:19">
      <c r="A184" s="158"/>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5">
        <f t="shared" si="41"/>
        <v>0</v>
      </c>
      <c r="S184" s="360">
        <f t="shared" si="32"/>
        <v>0</v>
      </c>
    </row>
    <row r="185" spans="1:19">
      <c r="A185" s="158"/>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5">
        <f t="shared" si="41"/>
        <v>0</v>
      </c>
      <c r="S185" s="360">
        <f t="shared" si="32"/>
        <v>0</v>
      </c>
    </row>
    <row r="186" spans="1:19">
      <c r="A186" s="158"/>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5">
        <f t="shared" si="41"/>
        <v>0</v>
      </c>
      <c r="S186" s="360">
        <f t="shared" si="32"/>
        <v>0</v>
      </c>
    </row>
    <row r="187" spans="1:19">
      <c r="A187" s="158"/>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5">
        <f t="shared" si="41"/>
        <v>0</v>
      </c>
      <c r="S187" s="360">
        <f t="shared" ref="S187:S222" si="42">ROUND(R187*B187/10000,0)</f>
        <v>0</v>
      </c>
    </row>
    <row r="188" spans="1:19">
      <c r="A188" s="158"/>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5">
        <f t="shared" si="41"/>
        <v>0</v>
      </c>
      <c r="S188" s="360">
        <f t="shared" si="42"/>
        <v>0</v>
      </c>
    </row>
    <row r="189" spans="1:19">
      <c r="A189" s="158"/>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5">
        <f t="shared" si="41"/>
        <v>0</v>
      </c>
      <c r="S189" s="360">
        <f t="shared" si="42"/>
        <v>0</v>
      </c>
    </row>
    <row r="190" spans="1:19">
      <c r="A190" s="158"/>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5">
        <f t="shared" si="41"/>
        <v>0</v>
      </c>
      <c r="S190" s="360">
        <f t="shared" si="42"/>
        <v>0</v>
      </c>
    </row>
    <row r="191" spans="1:19">
      <c r="A191" s="158"/>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5">
        <f t="shared" si="41"/>
        <v>0</v>
      </c>
      <c r="S191" s="360">
        <f t="shared" si="42"/>
        <v>0</v>
      </c>
    </row>
    <row r="192" spans="1:19">
      <c r="A192" s="158"/>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5">
        <f t="shared" si="41"/>
        <v>0</v>
      </c>
      <c r="S192" s="360">
        <f t="shared" si="42"/>
        <v>0</v>
      </c>
    </row>
    <row r="193" spans="1:19">
      <c r="A193" s="158"/>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5">
        <f t="shared" si="41"/>
        <v>0</v>
      </c>
      <c r="S193" s="360">
        <f t="shared" si="42"/>
        <v>0</v>
      </c>
    </row>
    <row r="194" spans="1:19">
      <c r="A194" s="158"/>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5">
        <f t="shared" si="41"/>
        <v>0</v>
      </c>
      <c r="S194" s="360">
        <f t="shared" si="42"/>
        <v>0</v>
      </c>
    </row>
    <row r="195" spans="1:19">
      <c r="A195" s="158"/>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5">
        <f t="shared" si="41"/>
        <v>0</v>
      </c>
      <c r="S195" s="360">
        <f t="shared" si="42"/>
        <v>0</v>
      </c>
    </row>
    <row r="196" spans="1:19">
      <c r="A196" s="158"/>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5">
        <f t="shared" si="41"/>
        <v>0</v>
      </c>
      <c r="S196" s="360">
        <f t="shared" si="42"/>
        <v>0</v>
      </c>
    </row>
    <row r="197" spans="1:19">
      <c r="A197" s="158"/>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5">
        <f t="shared" si="41"/>
        <v>0</v>
      </c>
      <c r="S197" s="360">
        <f t="shared" si="42"/>
        <v>0</v>
      </c>
    </row>
    <row r="198" spans="1:19">
      <c r="A198" s="158"/>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5">
        <f t="shared" si="41"/>
        <v>0</v>
      </c>
      <c r="S198" s="360">
        <f t="shared" si="42"/>
        <v>0</v>
      </c>
    </row>
    <row r="199" spans="1:19">
      <c r="A199" s="158"/>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5">
        <f t="shared" si="41"/>
        <v>0</v>
      </c>
      <c r="S199" s="360">
        <f t="shared" si="42"/>
        <v>0</v>
      </c>
    </row>
    <row r="200" spans="1:19">
      <c r="A200" s="158"/>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5">
        <f t="shared" si="41"/>
        <v>0</v>
      </c>
      <c r="S200" s="360">
        <f t="shared" si="42"/>
        <v>0</v>
      </c>
    </row>
    <row r="201" spans="1:19">
      <c r="A201" s="158"/>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5">
        <f t="shared" si="41"/>
        <v>0</v>
      </c>
      <c r="S201" s="360">
        <f t="shared" si="42"/>
        <v>0</v>
      </c>
    </row>
    <row r="202" spans="1:19">
      <c r="A202" s="158"/>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5">
        <f t="shared" si="41"/>
        <v>0</v>
      </c>
      <c r="S202" s="360">
        <f t="shared" si="42"/>
        <v>0</v>
      </c>
    </row>
    <row r="203" spans="1:19">
      <c r="A203" s="158"/>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5">
        <f t="shared" si="41"/>
        <v>0</v>
      </c>
      <c r="S203" s="360">
        <f t="shared" si="42"/>
        <v>0</v>
      </c>
    </row>
    <row r="204" spans="1:19">
      <c r="A204" s="158"/>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5">
        <f t="shared" si="41"/>
        <v>0</v>
      </c>
      <c r="S204" s="360">
        <f t="shared" si="42"/>
        <v>0</v>
      </c>
    </row>
    <row r="205" spans="1:19">
      <c r="A205" s="158"/>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5">
        <f t="shared" si="41"/>
        <v>0</v>
      </c>
      <c r="S205" s="360">
        <f t="shared" si="42"/>
        <v>0</v>
      </c>
    </row>
    <row r="206" spans="1:19">
      <c r="A206" s="158"/>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5">
        <f t="shared" si="41"/>
        <v>0</v>
      </c>
      <c r="S206" s="360">
        <f t="shared" si="42"/>
        <v>0</v>
      </c>
    </row>
    <row r="207" spans="1:19">
      <c r="A207" s="158"/>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5">
        <f t="shared" si="41"/>
        <v>0</v>
      </c>
      <c r="S207" s="360">
        <f t="shared" si="42"/>
        <v>0</v>
      </c>
    </row>
    <row r="208" spans="1:19">
      <c r="A208" s="158"/>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5">
        <f t="shared" si="41"/>
        <v>0</v>
      </c>
      <c r="S208" s="360">
        <f t="shared" si="42"/>
        <v>0</v>
      </c>
    </row>
    <row r="209" spans="1:19">
      <c r="A209" s="158"/>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5">
        <f t="shared" si="41"/>
        <v>0</v>
      </c>
      <c r="S209" s="360">
        <f t="shared" si="42"/>
        <v>0</v>
      </c>
    </row>
    <row r="210" spans="1:19">
      <c r="A210" s="158"/>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5">
        <f t="shared" si="41"/>
        <v>0</v>
      </c>
      <c r="S210" s="360">
        <f t="shared" si="42"/>
        <v>0</v>
      </c>
    </row>
    <row r="211" spans="1:19">
      <c r="A211" s="158"/>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5">
        <f t="shared" si="41"/>
        <v>0</v>
      </c>
      <c r="S211" s="360">
        <f t="shared" si="42"/>
        <v>0</v>
      </c>
    </row>
    <row r="212" spans="1:19">
      <c r="A212" s="158"/>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5">
        <f t="shared" si="41"/>
        <v>0</v>
      </c>
      <c r="S212" s="360">
        <f t="shared" si="42"/>
        <v>0</v>
      </c>
    </row>
    <row r="213" spans="1:19">
      <c r="A213" s="158"/>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5">
        <f t="shared" si="41"/>
        <v>0</v>
      </c>
      <c r="S213" s="360">
        <f t="shared" si="42"/>
        <v>0</v>
      </c>
    </row>
    <row r="214" spans="1:19">
      <c r="A214" s="158"/>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5">
        <f t="shared" si="41"/>
        <v>0</v>
      </c>
      <c r="S214" s="360">
        <f t="shared" si="42"/>
        <v>0</v>
      </c>
    </row>
    <row r="215" spans="1:19">
      <c r="A215" s="158"/>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5">
        <f t="shared" si="41"/>
        <v>0</v>
      </c>
      <c r="S215" s="360">
        <f t="shared" si="42"/>
        <v>0</v>
      </c>
    </row>
    <row r="216" spans="1:19">
      <c r="A216" s="158"/>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5">
        <f t="shared" si="41"/>
        <v>0</v>
      </c>
      <c r="S216" s="360">
        <f t="shared" si="42"/>
        <v>0</v>
      </c>
    </row>
    <row r="217" spans="1:19">
      <c r="A217" s="158"/>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5">
        <f t="shared" si="41"/>
        <v>0</v>
      </c>
      <c r="S217" s="360">
        <f t="shared" si="42"/>
        <v>0</v>
      </c>
    </row>
    <row r="218" spans="1:19">
      <c r="A218" s="158"/>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5">
        <f t="shared" si="51"/>
        <v>0</v>
      </c>
      <c r="S219" s="360">
        <f t="shared" si="42"/>
        <v>0</v>
      </c>
    </row>
    <row r="220" spans="1:19">
      <c r="A220" s="158"/>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5">
        <f t="shared" si="51"/>
        <v>0</v>
      </c>
      <c r="S220" s="360">
        <f t="shared" si="42"/>
        <v>0</v>
      </c>
    </row>
    <row r="221" spans="1:19">
      <c r="A221" s="158"/>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5">
        <f t="shared" si="51"/>
        <v>0</v>
      </c>
      <c r="S221" s="360">
        <f t="shared" si="42"/>
        <v>0</v>
      </c>
    </row>
    <row r="222" spans="1:19">
      <c r="A222" s="158"/>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5">
        <f t="shared" si="51"/>
        <v>0</v>
      </c>
      <c r="S222" s="360">
        <f t="shared" si="42"/>
        <v>0</v>
      </c>
    </row>
    <row r="223" spans="1:19">
      <c r="A223" s="158"/>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5">
        <f t="shared" si="51"/>
        <v>0</v>
      </c>
      <c r="S223" s="360">
        <f t="shared" ref="S223:S286" si="52">ROUND(R223*B223/10000,0)</f>
        <v>0</v>
      </c>
    </row>
    <row r="224" spans="1:19">
      <c r="A224" s="158"/>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5">
        <f t="shared" si="51"/>
        <v>0</v>
      </c>
      <c r="S224" s="360">
        <f t="shared" si="52"/>
        <v>0</v>
      </c>
    </row>
    <row r="225" spans="1:19">
      <c r="A225" s="158"/>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5">
        <f t="shared" si="51"/>
        <v>0</v>
      </c>
      <c r="S225" s="360">
        <f t="shared" si="52"/>
        <v>0</v>
      </c>
    </row>
    <row r="226" spans="1:19">
      <c r="A226" s="158"/>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5">
        <f t="shared" si="51"/>
        <v>0</v>
      </c>
      <c r="S226" s="360">
        <f t="shared" si="52"/>
        <v>0</v>
      </c>
    </row>
    <row r="227" spans="1:19">
      <c r="A227" s="158"/>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5">
        <f t="shared" si="51"/>
        <v>0</v>
      </c>
      <c r="S227" s="360">
        <f t="shared" si="52"/>
        <v>0</v>
      </c>
    </row>
    <row r="228" spans="1:19">
      <c r="A228" s="158"/>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5">
        <f t="shared" si="51"/>
        <v>0</v>
      </c>
      <c r="S228" s="360">
        <f t="shared" si="52"/>
        <v>0</v>
      </c>
    </row>
    <row r="229" spans="1:19">
      <c r="A229" s="158"/>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5">
        <f t="shared" si="51"/>
        <v>0</v>
      </c>
      <c r="S229" s="360">
        <f t="shared" si="52"/>
        <v>0</v>
      </c>
    </row>
    <row r="230" spans="1:19">
      <c r="A230" s="158"/>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5">
        <f t="shared" si="51"/>
        <v>0</v>
      </c>
      <c r="S230" s="360">
        <f t="shared" si="52"/>
        <v>0</v>
      </c>
    </row>
    <row r="231" spans="1:19">
      <c r="A231" s="158"/>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5">
        <f t="shared" si="51"/>
        <v>0</v>
      </c>
      <c r="S231" s="360">
        <f t="shared" si="52"/>
        <v>0</v>
      </c>
    </row>
    <row r="232" spans="1:19">
      <c r="A232" s="158"/>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5">
        <f t="shared" si="51"/>
        <v>0</v>
      </c>
      <c r="S232" s="360">
        <f t="shared" si="52"/>
        <v>0</v>
      </c>
    </row>
    <row r="233" spans="1:19">
      <c r="A233" s="158"/>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5">
        <f t="shared" si="51"/>
        <v>0</v>
      </c>
      <c r="S233" s="360">
        <f t="shared" si="52"/>
        <v>0</v>
      </c>
    </row>
    <row r="234" spans="1:19">
      <c r="A234" s="158"/>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5">
        <f t="shared" si="51"/>
        <v>0</v>
      </c>
      <c r="S234" s="360">
        <f t="shared" si="52"/>
        <v>0</v>
      </c>
    </row>
    <row r="235" spans="1:19">
      <c r="A235" s="158"/>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5">
        <f t="shared" si="51"/>
        <v>0</v>
      </c>
      <c r="S235" s="360">
        <f t="shared" si="52"/>
        <v>0</v>
      </c>
    </row>
    <row r="236" spans="1:19">
      <c r="A236" s="158"/>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5">
        <f t="shared" si="51"/>
        <v>0</v>
      </c>
      <c r="S236" s="360">
        <f t="shared" si="52"/>
        <v>0</v>
      </c>
    </row>
    <row r="237" spans="1:19">
      <c r="A237" s="158"/>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5">
        <f t="shared" si="51"/>
        <v>0</v>
      </c>
      <c r="S237" s="360">
        <f t="shared" si="52"/>
        <v>0</v>
      </c>
    </row>
    <row r="238" spans="1:19">
      <c r="A238" s="158"/>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5">
        <f t="shared" si="51"/>
        <v>0</v>
      </c>
      <c r="S238" s="360">
        <f t="shared" si="52"/>
        <v>0</v>
      </c>
    </row>
    <row r="239" spans="1:19">
      <c r="A239" s="158"/>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5">
        <f t="shared" si="51"/>
        <v>0</v>
      </c>
      <c r="S239" s="360">
        <f t="shared" si="52"/>
        <v>0</v>
      </c>
    </row>
    <row r="240" spans="1:19">
      <c r="A240" s="158"/>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5">
        <f t="shared" si="51"/>
        <v>0</v>
      </c>
      <c r="S240" s="360">
        <f t="shared" si="52"/>
        <v>0</v>
      </c>
    </row>
    <row r="241" spans="1:19">
      <c r="A241" s="158"/>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5">
        <f t="shared" si="51"/>
        <v>0</v>
      </c>
      <c r="S241" s="360">
        <f t="shared" si="52"/>
        <v>0</v>
      </c>
    </row>
    <row r="242" spans="1:19">
      <c r="A242" s="158"/>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5">
        <f t="shared" si="51"/>
        <v>0</v>
      </c>
      <c r="S242" s="360">
        <f t="shared" si="52"/>
        <v>0</v>
      </c>
    </row>
    <row r="243" spans="1:19">
      <c r="A243" s="158"/>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5">
        <f t="shared" si="51"/>
        <v>0</v>
      </c>
      <c r="S243" s="360">
        <f t="shared" si="52"/>
        <v>0</v>
      </c>
    </row>
    <row r="244" spans="1:19">
      <c r="A244" s="158"/>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5">
        <f t="shared" si="51"/>
        <v>0</v>
      </c>
      <c r="S244" s="360">
        <f t="shared" si="52"/>
        <v>0</v>
      </c>
    </row>
    <row r="245" spans="1:19">
      <c r="A245" s="158"/>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5">
        <f t="shared" si="51"/>
        <v>0</v>
      </c>
      <c r="S245" s="360">
        <f t="shared" si="52"/>
        <v>0</v>
      </c>
    </row>
    <row r="246" spans="1:19">
      <c r="A246" s="158"/>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5">
        <f t="shared" si="51"/>
        <v>0</v>
      </c>
      <c r="S246" s="360">
        <f t="shared" si="52"/>
        <v>0</v>
      </c>
    </row>
    <row r="247" spans="1:19">
      <c r="A247" s="158"/>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5">
        <f t="shared" si="51"/>
        <v>0</v>
      </c>
      <c r="S247" s="360">
        <f t="shared" si="52"/>
        <v>0</v>
      </c>
    </row>
    <row r="248" spans="1:19">
      <c r="A248" s="158"/>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5">
        <f t="shared" si="51"/>
        <v>0</v>
      </c>
      <c r="S248" s="360">
        <f t="shared" si="52"/>
        <v>0</v>
      </c>
    </row>
    <row r="249" spans="1:19">
      <c r="A249" s="158"/>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5">
        <f t="shared" si="51"/>
        <v>0</v>
      </c>
      <c r="S249" s="360">
        <f t="shared" si="52"/>
        <v>0</v>
      </c>
    </row>
    <row r="250" spans="1:19">
      <c r="A250" s="158"/>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5">
        <f t="shared" si="51"/>
        <v>0</v>
      </c>
      <c r="S250" s="360">
        <f t="shared" si="52"/>
        <v>0</v>
      </c>
    </row>
    <row r="251" spans="1:19">
      <c r="A251" s="158"/>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5">
        <f t="shared" si="51"/>
        <v>0</v>
      </c>
      <c r="S251" s="360">
        <f t="shared" si="52"/>
        <v>0</v>
      </c>
    </row>
    <row r="252" spans="1:19">
      <c r="A252" s="158"/>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5">
        <f t="shared" si="51"/>
        <v>0</v>
      </c>
      <c r="S252" s="360">
        <f t="shared" si="52"/>
        <v>0</v>
      </c>
    </row>
    <row r="253" spans="1:19">
      <c r="A253" s="158"/>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5">
        <f t="shared" si="51"/>
        <v>0</v>
      </c>
      <c r="S253" s="360">
        <f t="shared" si="52"/>
        <v>0</v>
      </c>
    </row>
    <row r="254" spans="1:19">
      <c r="A254" s="158"/>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5">
        <f t="shared" si="51"/>
        <v>0</v>
      </c>
      <c r="S254" s="360">
        <f t="shared" si="52"/>
        <v>0</v>
      </c>
    </row>
    <row r="255" spans="1:19">
      <c r="A255" s="158"/>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5">
        <f t="shared" si="51"/>
        <v>0</v>
      </c>
      <c r="S255" s="360">
        <f t="shared" si="52"/>
        <v>0</v>
      </c>
    </row>
    <row r="256" spans="1:19">
      <c r="A256" s="158"/>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5">
        <f t="shared" si="51"/>
        <v>0</v>
      </c>
      <c r="S256" s="360">
        <f t="shared" si="52"/>
        <v>0</v>
      </c>
    </row>
    <row r="257" spans="1:19">
      <c r="A257" s="158"/>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5">
        <f t="shared" si="51"/>
        <v>0</v>
      </c>
      <c r="S257" s="360">
        <f t="shared" si="52"/>
        <v>0</v>
      </c>
    </row>
    <row r="258" spans="1:19">
      <c r="A258" s="158"/>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5">
        <f t="shared" si="51"/>
        <v>0</v>
      </c>
      <c r="S258" s="360">
        <f t="shared" si="52"/>
        <v>0</v>
      </c>
    </row>
    <row r="259" spans="1:19">
      <c r="A259" s="158"/>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5">
        <f t="shared" si="51"/>
        <v>0</v>
      </c>
      <c r="S259" s="360">
        <f t="shared" si="52"/>
        <v>0</v>
      </c>
    </row>
    <row r="260" spans="1:19">
      <c r="A260" s="158"/>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5">
        <f t="shared" si="51"/>
        <v>0</v>
      </c>
      <c r="S260" s="360">
        <f t="shared" si="52"/>
        <v>0</v>
      </c>
    </row>
    <row r="261" spans="1:19">
      <c r="A261" s="158"/>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5">
        <f t="shared" si="51"/>
        <v>0</v>
      </c>
      <c r="S261" s="360">
        <f t="shared" si="52"/>
        <v>0</v>
      </c>
    </row>
    <row r="262" spans="1:19">
      <c r="A262" s="158"/>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5">
        <f t="shared" si="51"/>
        <v>0</v>
      </c>
      <c r="S262" s="360">
        <f t="shared" si="52"/>
        <v>0</v>
      </c>
    </row>
    <row r="263" spans="1:19">
      <c r="A263" s="158"/>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5">
        <f t="shared" si="51"/>
        <v>0</v>
      </c>
      <c r="S263" s="360">
        <f t="shared" si="52"/>
        <v>0</v>
      </c>
    </row>
    <row r="264" spans="1:19">
      <c r="A264" s="158"/>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5">
        <f t="shared" si="51"/>
        <v>0</v>
      </c>
      <c r="S264" s="360">
        <f t="shared" si="52"/>
        <v>0</v>
      </c>
    </row>
    <row r="265" spans="1:19">
      <c r="A265" s="158"/>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5">
        <f t="shared" si="51"/>
        <v>0</v>
      </c>
      <c r="S265" s="360">
        <f t="shared" si="52"/>
        <v>0</v>
      </c>
    </row>
    <row r="266" spans="1:19">
      <c r="A266" s="158"/>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5">
        <f t="shared" si="51"/>
        <v>0</v>
      </c>
      <c r="S266" s="360">
        <f t="shared" si="52"/>
        <v>0</v>
      </c>
    </row>
    <row r="267" spans="1:19">
      <c r="A267" s="158"/>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5">
        <f t="shared" si="51"/>
        <v>0</v>
      </c>
      <c r="S267" s="360">
        <f t="shared" si="52"/>
        <v>0</v>
      </c>
    </row>
    <row r="268" spans="1:19">
      <c r="A268" s="158"/>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5">
        <f t="shared" si="51"/>
        <v>0</v>
      </c>
      <c r="S268" s="360">
        <f t="shared" si="52"/>
        <v>0</v>
      </c>
    </row>
    <row r="269" spans="1:19">
      <c r="A269" s="158"/>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5">
        <f t="shared" si="51"/>
        <v>0</v>
      </c>
      <c r="S269" s="360">
        <f t="shared" si="52"/>
        <v>0</v>
      </c>
    </row>
    <row r="270" spans="1:19">
      <c r="A270" s="158"/>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5">
        <f t="shared" si="51"/>
        <v>0</v>
      </c>
      <c r="S270" s="360">
        <f t="shared" si="52"/>
        <v>0</v>
      </c>
    </row>
    <row r="271" spans="1:19">
      <c r="A271" s="158"/>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5">
        <f t="shared" si="51"/>
        <v>0</v>
      </c>
      <c r="S271" s="360">
        <f t="shared" si="52"/>
        <v>0</v>
      </c>
    </row>
    <row r="272" spans="1:19">
      <c r="A272" s="158"/>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5">
        <f t="shared" si="51"/>
        <v>0</v>
      </c>
      <c r="S272" s="360">
        <f t="shared" si="52"/>
        <v>0</v>
      </c>
    </row>
    <row r="273" spans="1:19">
      <c r="A273" s="158"/>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5">
        <f t="shared" si="51"/>
        <v>0</v>
      </c>
      <c r="S273" s="360">
        <f t="shared" si="52"/>
        <v>0</v>
      </c>
    </row>
    <row r="274" spans="1:19">
      <c r="A274" s="158"/>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5">
        <f t="shared" si="51"/>
        <v>0</v>
      </c>
      <c r="S274" s="360">
        <f t="shared" si="52"/>
        <v>0</v>
      </c>
    </row>
    <row r="275" spans="1:19">
      <c r="A275" s="158"/>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5">
        <f t="shared" si="51"/>
        <v>0</v>
      </c>
      <c r="S275" s="360">
        <f t="shared" si="52"/>
        <v>0</v>
      </c>
    </row>
    <row r="276" spans="1:19">
      <c r="A276" s="158"/>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5">
        <f t="shared" si="51"/>
        <v>0</v>
      </c>
      <c r="S276" s="360">
        <f t="shared" si="52"/>
        <v>0</v>
      </c>
    </row>
    <row r="277" spans="1:19">
      <c r="A277" s="158"/>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5">
        <f t="shared" si="51"/>
        <v>0</v>
      </c>
      <c r="S277" s="360">
        <f t="shared" si="52"/>
        <v>0</v>
      </c>
    </row>
    <row r="278" spans="1:19">
      <c r="A278" s="158"/>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5">
        <f t="shared" si="51"/>
        <v>0</v>
      </c>
      <c r="S278" s="360">
        <f t="shared" si="52"/>
        <v>0</v>
      </c>
    </row>
    <row r="279" spans="1:19">
      <c r="A279" s="158"/>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5">
        <f t="shared" si="51"/>
        <v>0</v>
      </c>
      <c r="S279" s="360">
        <f t="shared" si="52"/>
        <v>0</v>
      </c>
    </row>
    <row r="280" spans="1:19">
      <c r="A280" s="158"/>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5">
        <f t="shared" si="51"/>
        <v>0</v>
      </c>
      <c r="S280" s="360">
        <f t="shared" si="52"/>
        <v>0</v>
      </c>
    </row>
    <row r="281" spans="1:19">
      <c r="A281" s="158"/>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5">
        <f t="shared" si="51"/>
        <v>0</v>
      </c>
      <c r="S281" s="360">
        <f t="shared" si="52"/>
        <v>0</v>
      </c>
    </row>
    <row r="282" spans="1:19">
      <c r="A282" s="158"/>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5">
        <f t="shared" si="61"/>
        <v>0</v>
      </c>
      <c r="S283" s="360">
        <f t="shared" si="52"/>
        <v>0</v>
      </c>
    </row>
    <row r="284" spans="1:19">
      <c r="A284" s="158"/>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5">
        <f t="shared" si="61"/>
        <v>0</v>
      </c>
      <c r="S284" s="360">
        <f t="shared" si="52"/>
        <v>0</v>
      </c>
    </row>
    <row r="285" spans="1:19">
      <c r="A285" s="158"/>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5">
        <f t="shared" si="61"/>
        <v>0</v>
      </c>
      <c r="S285" s="360">
        <f t="shared" si="52"/>
        <v>0</v>
      </c>
    </row>
    <row r="286" spans="1:19">
      <c r="A286" s="158"/>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5">
        <f t="shared" si="61"/>
        <v>0</v>
      </c>
      <c r="S286" s="360">
        <f t="shared" si="52"/>
        <v>0</v>
      </c>
    </row>
    <row r="287" spans="1:19">
      <c r="A287" s="158"/>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5">
        <f t="shared" si="61"/>
        <v>0</v>
      </c>
      <c r="S287" s="360">
        <f t="shared" ref="S287:S320" si="62">ROUND(R287*B287/10000,0)</f>
        <v>0</v>
      </c>
    </row>
    <row r="288" spans="1:19">
      <c r="A288" s="158"/>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5">
        <f t="shared" si="61"/>
        <v>0</v>
      </c>
      <c r="S288" s="360">
        <f t="shared" si="62"/>
        <v>0</v>
      </c>
    </row>
    <row r="289" spans="1:19">
      <c r="A289" s="158"/>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5">
        <f t="shared" si="61"/>
        <v>0</v>
      </c>
      <c r="S289" s="360">
        <f t="shared" si="62"/>
        <v>0</v>
      </c>
    </row>
    <row r="290" spans="1:19">
      <c r="A290" s="158"/>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5">
        <f t="shared" si="61"/>
        <v>0</v>
      </c>
      <c r="S290" s="360">
        <f t="shared" si="62"/>
        <v>0</v>
      </c>
    </row>
    <row r="291" spans="1:19">
      <c r="A291" s="158"/>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5">
        <f t="shared" si="61"/>
        <v>0</v>
      </c>
      <c r="S291" s="360">
        <f t="shared" si="62"/>
        <v>0</v>
      </c>
    </row>
    <row r="292" spans="1:19">
      <c r="A292" s="158"/>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5">
        <f t="shared" si="61"/>
        <v>0</v>
      </c>
      <c r="S292" s="360">
        <f t="shared" si="62"/>
        <v>0</v>
      </c>
    </row>
    <row r="293" spans="1:19">
      <c r="A293" s="158"/>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5">
        <f t="shared" si="61"/>
        <v>0</v>
      </c>
      <c r="S293" s="360">
        <f t="shared" si="62"/>
        <v>0</v>
      </c>
    </row>
    <row r="294" spans="1:19">
      <c r="A294" s="158"/>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5">
        <f t="shared" si="61"/>
        <v>0</v>
      </c>
      <c r="S294" s="360">
        <f t="shared" si="62"/>
        <v>0</v>
      </c>
    </row>
    <row r="295" spans="1:19">
      <c r="A295" s="158"/>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5">
        <f t="shared" si="61"/>
        <v>0</v>
      </c>
      <c r="S295" s="360">
        <f t="shared" si="62"/>
        <v>0</v>
      </c>
    </row>
    <row r="296" spans="1:19">
      <c r="A296" s="158"/>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5">
        <f t="shared" si="61"/>
        <v>0</v>
      </c>
      <c r="S296" s="360">
        <f t="shared" si="62"/>
        <v>0</v>
      </c>
    </row>
    <row r="297" spans="1:19">
      <c r="A297" s="158"/>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5">
        <f t="shared" si="61"/>
        <v>0</v>
      </c>
      <c r="S297" s="360">
        <f t="shared" si="62"/>
        <v>0</v>
      </c>
    </row>
    <row r="298" spans="1:19">
      <c r="A298" s="158"/>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5">
        <f t="shared" si="61"/>
        <v>0</v>
      </c>
      <c r="S298" s="360">
        <f t="shared" si="62"/>
        <v>0</v>
      </c>
    </row>
    <row r="299" spans="1:19">
      <c r="A299" s="158"/>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5">
        <f t="shared" si="61"/>
        <v>0</v>
      </c>
      <c r="S299" s="360">
        <f t="shared" si="62"/>
        <v>0</v>
      </c>
    </row>
    <row r="300" spans="1:19">
      <c r="A300" s="158"/>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5">
        <f t="shared" si="61"/>
        <v>0</v>
      </c>
      <c r="S300" s="360">
        <f t="shared" si="62"/>
        <v>0</v>
      </c>
    </row>
    <row r="301" spans="1:19">
      <c r="A301" s="158"/>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5">
        <f t="shared" si="61"/>
        <v>0</v>
      </c>
      <c r="S301" s="360">
        <f t="shared" si="62"/>
        <v>0</v>
      </c>
    </row>
    <row r="302" spans="1:19">
      <c r="A302" s="158"/>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5">
        <f t="shared" si="61"/>
        <v>0</v>
      </c>
      <c r="S302" s="360">
        <f t="shared" si="62"/>
        <v>0</v>
      </c>
    </row>
    <row r="303" spans="1:19">
      <c r="A303" s="158"/>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5">
        <f t="shared" si="61"/>
        <v>0</v>
      </c>
      <c r="S303" s="360">
        <f t="shared" si="62"/>
        <v>0</v>
      </c>
    </row>
    <row r="304" spans="1:19">
      <c r="A304" s="158"/>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5">
        <f t="shared" si="61"/>
        <v>0</v>
      </c>
      <c r="S304" s="360">
        <f t="shared" si="62"/>
        <v>0</v>
      </c>
    </row>
    <row r="305" spans="1:19">
      <c r="A305" s="158"/>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5">
        <f t="shared" si="61"/>
        <v>0</v>
      </c>
      <c r="S305" s="360">
        <f t="shared" si="62"/>
        <v>0</v>
      </c>
    </row>
    <row r="306" spans="1:19">
      <c r="A306" s="158"/>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5">
        <f t="shared" si="61"/>
        <v>0</v>
      </c>
      <c r="S306" s="360">
        <f t="shared" si="62"/>
        <v>0</v>
      </c>
    </row>
    <row r="307" spans="1:19">
      <c r="A307" s="158"/>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5">
        <f t="shared" si="61"/>
        <v>0</v>
      </c>
      <c r="S307" s="360">
        <f t="shared" si="62"/>
        <v>0</v>
      </c>
    </row>
    <row r="308" spans="1:19">
      <c r="A308" s="158"/>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5">
        <f t="shared" si="61"/>
        <v>0</v>
      </c>
      <c r="S308" s="360">
        <f t="shared" si="62"/>
        <v>0</v>
      </c>
    </row>
    <row r="309" spans="1:19">
      <c r="A309" s="158"/>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5">
        <f t="shared" si="61"/>
        <v>0</v>
      </c>
      <c r="S309" s="360">
        <f t="shared" si="62"/>
        <v>0</v>
      </c>
    </row>
    <row r="310" spans="1:19">
      <c r="A310" s="158"/>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5">
        <f t="shared" si="61"/>
        <v>0</v>
      </c>
      <c r="S310" s="360">
        <f t="shared" si="62"/>
        <v>0</v>
      </c>
    </row>
    <row r="311" spans="1:19">
      <c r="A311" s="158"/>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5">
        <f t="shared" si="61"/>
        <v>0</v>
      </c>
      <c r="S311" s="360">
        <f t="shared" si="62"/>
        <v>0</v>
      </c>
    </row>
    <row r="312" spans="1:19">
      <c r="A312" s="158"/>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5">
        <f t="shared" si="61"/>
        <v>0</v>
      </c>
      <c r="S312" s="360">
        <f t="shared" si="62"/>
        <v>0</v>
      </c>
    </row>
    <row r="313" spans="1:19">
      <c r="A313" s="158"/>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5">
        <f t="shared" si="61"/>
        <v>0</v>
      </c>
      <c r="S313" s="360">
        <f t="shared" si="62"/>
        <v>0</v>
      </c>
    </row>
    <row r="314" spans="1:19">
      <c r="A314" s="158"/>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5">
        <f t="shared" si="61"/>
        <v>0</v>
      </c>
      <c r="S314" s="360">
        <f t="shared" si="62"/>
        <v>0</v>
      </c>
    </row>
    <row r="315" spans="1:19">
      <c r="A315" s="158"/>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5">
        <f t="shared" si="61"/>
        <v>0</v>
      </c>
      <c r="S315" s="360">
        <f t="shared" si="62"/>
        <v>0</v>
      </c>
    </row>
    <row r="316" spans="1:19">
      <c r="A316" s="158"/>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5">
        <f t="shared" si="61"/>
        <v>0</v>
      </c>
      <c r="S316" s="360">
        <f t="shared" si="62"/>
        <v>0</v>
      </c>
    </row>
    <row r="317" spans="1:19">
      <c r="A317" s="158"/>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5">
        <f t="shared" si="61"/>
        <v>0</v>
      </c>
      <c r="S317" s="360">
        <f t="shared" si="62"/>
        <v>0</v>
      </c>
    </row>
    <row r="318" spans="1:19">
      <c r="A318" s="158"/>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5">
        <f t="shared" si="61"/>
        <v>0</v>
      </c>
      <c r="S318" s="360">
        <f t="shared" si="62"/>
        <v>0</v>
      </c>
    </row>
    <row r="319" spans="1:19">
      <c r="A319" s="158"/>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5">
        <f t="shared" si="61"/>
        <v>0</v>
      </c>
      <c r="S319" s="360">
        <f t="shared" si="62"/>
        <v>0</v>
      </c>
    </row>
    <row r="320" spans="1:19">
      <c r="A320" s="158"/>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5">
        <f t="shared" si="61"/>
        <v>0</v>
      </c>
      <c r="S320" s="360">
        <f t="shared" si="62"/>
        <v>0</v>
      </c>
    </row>
    <row r="321" spans="1:19">
      <c r="A321" s="158"/>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5">
        <f t="shared" si="61"/>
        <v>0</v>
      </c>
      <c r="S321" s="360">
        <f t="shared" ref="S321:S384" si="63">ROUND(R321*B321/10000,0)</f>
        <v>0</v>
      </c>
    </row>
    <row r="322" spans="1:19">
      <c r="A322" s="158"/>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5">
        <f t="shared" si="61"/>
        <v>0</v>
      </c>
      <c r="S322" s="360">
        <f t="shared" si="63"/>
        <v>0</v>
      </c>
    </row>
    <row r="323" spans="1:19">
      <c r="A323" s="158"/>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5">
        <f t="shared" si="61"/>
        <v>0</v>
      </c>
      <c r="S323" s="360">
        <f t="shared" si="63"/>
        <v>0</v>
      </c>
    </row>
    <row r="324" spans="1:19">
      <c r="A324" s="158"/>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5">
        <f t="shared" si="61"/>
        <v>0</v>
      </c>
      <c r="S324" s="360">
        <f t="shared" si="63"/>
        <v>0</v>
      </c>
    </row>
    <row r="325" spans="1:19">
      <c r="A325" s="158"/>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5">
        <f t="shared" si="61"/>
        <v>0</v>
      </c>
      <c r="S325" s="360">
        <f t="shared" si="63"/>
        <v>0</v>
      </c>
    </row>
    <row r="326" spans="1:19">
      <c r="A326" s="158"/>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5">
        <f t="shared" si="61"/>
        <v>0</v>
      </c>
      <c r="S326" s="360">
        <f t="shared" si="63"/>
        <v>0</v>
      </c>
    </row>
    <row r="327" spans="1:19">
      <c r="A327" s="158"/>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5">
        <f t="shared" si="61"/>
        <v>0</v>
      </c>
      <c r="S327" s="360">
        <f t="shared" si="63"/>
        <v>0</v>
      </c>
    </row>
    <row r="328" spans="1:19">
      <c r="A328" s="158"/>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5">
        <f t="shared" si="61"/>
        <v>0</v>
      </c>
      <c r="S328" s="360">
        <f t="shared" si="63"/>
        <v>0</v>
      </c>
    </row>
    <row r="329" spans="1:19">
      <c r="A329" s="158"/>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5">
        <f t="shared" si="61"/>
        <v>0</v>
      </c>
      <c r="S329" s="360">
        <f t="shared" si="63"/>
        <v>0</v>
      </c>
    </row>
    <row r="330" spans="1:19">
      <c r="A330" s="158"/>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5">
        <f t="shared" si="61"/>
        <v>0</v>
      </c>
      <c r="S330" s="360">
        <f t="shared" si="63"/>
        <v>0</v>
      </c>
    </row>
    <row r="331" spans="1:19">
      <c r="A331" s="158"/>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5">
        <f t="shared" si="61"/>
        <v>0</v>
      </c>
      <c r="S331" s="360">
        <f t="shared" si="63"/>
        <v>0</v>
      </c>
    </row>
    <row r="332" spans="1:19">
      <c r="A332" s="158"/>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5">
        <f t="shared" si="61"/>
        <v>0</v>
      </c>
      <c r="S332" s="360">
        <f t="shared" si="63"/>
        <v>0</v>
      </c>
    </row>
    <row r="333" spans="1:19">
      <c r="A333" s="158"/>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5">
        <f t="shared" si="61"/>
        <v>0</v>
      </c>
      <c r="S333" s="360">
        <f t="shared" si="63"/>
        <v>0</v>
      </c>
    </row>
    <row r="334" spans="1:19">
      <c r="A334" s="158"/>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5">
        <f t="shared" si="61"/>
        <v>0</v>
      </c>
      <c r="S334" s="360">
        <f t="shared" si="63"/>
        <v>0</v>
      </c>
    </row>
    <row r="335" spans="1:19">
      <c r="A335" s="158"/>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5">
        <f t="shared" si="61"/>
        <v>0</v>
      </c>
      <c r="S335" s="360">
        <f t="shared" si="63"/>
        <v>0</v>
      </c>
    </row>
    <row r="336" spans="1:19">
      <c r="A336" s="158"/>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5">
        <f t="shared" si="61"/>
        <v>0</v>
      </c>
      <c r="S336" s="360">
        <f t="shared" si="63"/>
        <v>0</v>
      </c>
    </row>
    <row r="337" spans="1:19">
      <c r="A337" s="158"/>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5">
        <f t="shared" si="61"/>
        <v>0</v>
      </c>
      <c r="S337" s="360">
        <f t="shared" si="63"/>
        <v>0</v>
      </c>
    </row>
    <row r="338" spans="1:19">
      <c r="A338" s="158"/>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5">
        <f t="shared" si="61"/>
        <v>0</v>
      </c>
      <c r="S338" s="360">
        <f t="shared" si="63"/>
        <v>0</v>
      </c>
    </row>
    <row r="339" spans="1:19">
      <c r="A339" s="158"/>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5">
        <f t="shared" si="61"/>
        <v>0</v>
      </c>
      <c r="S339" s="360">
        <f t="shared" si="63"/>
        <v>0</v>
      </c>
    </row>
    <row r="340" spans="1:19">
      <c r="A340" s="158"/>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5">
        <f t="shared" si="61"/>
        <v>0</v>
      </c>
      <c r="S340" s="360">
        <f t="shared" si="63"/>
        <v>0</v>
      </c>
    </row>
    <row r="341" spans="1:19">
      <c r="A341" s="158"/>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5">
        <f t="shared" si="61"/>
        <v>0</v>
      </c>
      <c r="S341" s="360">
        <f t="shared" si="63"/>
        <v>0</v>
      </c>
    </row>
    <row r="342" spans="1:19">
      <c r="A342" s="158"/>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5">
        <f t="shared" si="61"/>
        <v>0</v>
      </c>
      <c r="S342" s="360">
        <f t="shared" si="63"/>
        <v>0</v>
      </c>
    </row>
    <row r="343" spans="1:19">
      <c r="A343" s="158"/>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5">
        <f t="shared" si="61"/>
        <v>0</v>
      </c>
      <c r="S343" s="360">
        <f t="shared" si="63"/>
        <v>0</v>
      </c>
    </row>
    <row r="344" spans="1:19">
      <c r="A344" s="158"/>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5">
        <f t="shared" si="61"/>
        <v>0</v>
      </c>
      <c r="S344" s="360">
        <f t="shared" si="63"/>
        <v>0</v>
      </c>
    </row>
    <row r="345" spans="1:19">
      <c r="A345" s="158"/>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5">
        <f t="shared" si="61"/>
        <v>0</v>
      </c>
      <c r="S345" s="360">
        <f t="shared" si="63"/>
        <v>0</v>
      </c>
    </row>
    <row r="346" spans="1:19">
      <c r="A346" s="158"/>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5">
        <f t="shared" si="72"/>
        <v>0</v>
      </c>
      <c r="S347" s="360">
        <f t="shared" si="63"/>
        <v>0</v>
      </c>
    </row>
    <row r="348" spans="1:19">
      <c r="A348" s="158"/>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5">
        <f t="shared" si="72"/>
        <v>0</v>
      </c>
      <c r="S348" s="360">
        <f t="shared" si="63"/>
        <v>0</v>
      </c>
    </row>
    <row r="349" spans="1:19">
      <c r="A349" s="158"/>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5">
        <f t="shared" si="72"/>
        <v>0</v>
      </c>
      <c r="S349" s="360">
        <f t="shared" si="63"/>
        <v>0</v>
      </c>
    </row>
    <row r="350" spans="1:19">
      <c r="A350" s="158"/>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5">
        <f t="shared" si="72"/>
        <v>0</v>
      </c>
      <c r="S350" s="360">
        <f t="shared" si="63"/>
        <v>0</v>
      </c>
    </row>
    <row r="351" spans="1:19">
      <c r="A351" s="158"/>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5">
        <f t="shared" si="72"/>
        <v>0</v>
      </c>
      <c r="S351" s="360">
        <f t="shared" si="63"/>
        <v>0</v>
      </c>
    </row>
    <row r="352" spans="1:19">
      <c r="A352" s="158"/>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5">
        <f t="shared" si="72"/>
        <v>0</v>
      </c>
      <c r="S352" s="360">
        <f t="shared" si="63"/>
        <v>0</v>
      </c>
    </row>
    <row r="353" spans="1:19">
      <c r="A353" s="158"/>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5">
        <f t="shared" si="72"/>
        <v>0</v>
      </c>
      <c r="S353" s="360">
        <f t="shared" si="63"/>
        <v>0</v>
      </c>
    </row>
    <row r="354" spans="1:19">
      <c r="A354" s="158"/>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5">
        <f t="shared" si="72"/>
        <v>0</v>
      </c>
      <c r="S354" s="360">
        <f t="shared" si="63"/>
        <v>0</v>
      </c>
    </row>
    <row r="355" spans="1:19">
      <c r="A355" s="158"/>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5">
        <f t="shared" si="72"/>
        <v>0</v>
      </c>
      <c r="S355" s="360">
        <f t="shared" si="63"/>
        <v>0</v>
      </c>
    </row>
    <row r="356" spans="1:19">
      <c r="A356" s="158"/>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5">
        <f t="shared" si="72"/>
        <v>0</v>
      </c>
      <c r="S356" s="360">
        <f t="shared" si="63"/>
        <v>0</v>
      </c>
    </row>
    <row r="357" spans="1:19">
      <c r="A357" s="158"/>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5">
        <f t="shared" si="72"/>
        <v>0</v>
      </c>
      <c r="S357" s="360">
        <f t="shared" si="63"/>
        <v>0</v>
      </c>
    </row>
    <row r="358" spans="1:19">
      <c r="A358" s="158"/>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5">
        <f t="shared" si="72"/>
        <v>0</v>
      </c>
      <c r="S358" s="360">
        <f t="shared" si="63"/>
        <v>0</v>
      </c>
    </row>
    <row r="359" spans="1:19">
      <c r="A359" s="158"/>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5">
        <f t="shared" si="72"/>
        <v>0</v>
      </c>
      <c r="S359" s="360">
        <f t="shared" si="63"/>
        <v>0</v>
      </c>
    </row>
    <row r="360" spans="1:19">
      <c r="A360" s="158"/>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5">
        <f t="shared" si="72"/>
        <v>0</v>
      </c>
      <c r="S360" s="360">
        <f t="shared" si="63"/>
        <v>0</v>
      </c>
    </row>
    <row r="361" spans="1:19">
      <c r="A361" s="158"/>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5">
        <f t="shared" si="72"/>
        <v>0</v>
      </c>
      <c r="S361" s="360">
        <f t="shared" si="63"/>
        <v>0</v>
      </c>
    </row>
    <row r="362" spans="1:19">
      <c r="A362" s="158"/>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5">
        <f t="shared" si="72"/>
        <v>0</v>
      </c>
      <c r="S362" s="360">
        <f t="shared" si="63"/>
        <v>0</v>
      </c>
    </row>
    <row r="363" spans="1:19">
      <c r="A363" s="158"/>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5">
        <f t="shared" si="72"/>
        <v>0</v>
      </c>
      <c r="S363" s="360">
        <f t="shared" si="63"/>
        <v>0</v>
      </c>
    </row>
    <row r="364" spans="1:19">
      <c r="A364" s="158"/>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5">
        <f t="shared" si="72"/>
        <v>0</v>
      </c>
      <c r="S364" s="360">
        <f t="shared" si="63"/>
        <v>0</v>
      </c>
    </row>
    <row r="365" spans="1:19">
      <c r="A365" s="158"/>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5">
        <f t="shared" si="72"/>
        <v>0</v>
      </c>
      <c r="S365" s="360">
        <f t="shared" si="63"/>
        <v>0</v>
      </c>
    </row>
    <row r="366" spans="1:19">
      <c r="A366" s="158"/>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5">
        <f t="shared" si="72"/>
        <v>0</v>
      </c>
      <c r="S366" s="360">
        <f t="shared" si="63"/>
        <v>0</v>
      </c>
    </row>
    <row r="367" spans="1:19">
      <c r="A367" s="158"/>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5">
        <f t="shared" si="72"/>
        <v>0</v>
      </c>
      <c r="S367" s="360">
        <f t="shared" si="63"/>
        <v>0</v>
      </c>
    </row>
    <row r="368" spans="1:19">
      <c r="A368" s="158"/>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5">
        <f t="shared" si="72"/>
        <v>0</v>
      </c>
      <c r="S368" s="360">
        <f t="shared" si="63"/>
        <v>0</v>
      </c>
    </row>
    <row r="369" spans="1:19">
      <c r="A369" s="158"/>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5">
        <f t="shared" si="72"/>
        <v>0</v>
      </c>
      <c r="S369" s="360">
        <f t="shared" si="63"/>
        <v>0</v>
      </c>
    </row>
    <row r="370" spans="1:19">
      <c r="A370" s="158"/>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5">
        <f t="shared" si="72"/>
        <v>0</v>
      </c>
      <c r="S370" s="360">
        <f t="shared" si="63"/>
        <v>0</v>
      </c>
    </row>
    <row r="371" spans="1:19">
      <c r="A371" s="158"/>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5">
        <f t="shared" si="72"/>
        <v>0</v>
      </c>
      <c r="S371" s="360">
        <f t="shared" si="63"/>
        <v>0</v>
      </c>
    </row>
    <row r="372" spans="1:19">
      <c r="A372" s="158"/>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5">
        <f t="shared" si="72"/>
        <v>0</v>
      </c>
      <c r="S372" s="360">
        <f t="shared" si="63"/>
        <v>0</v>
      </c>
    </row>
    <row r="373" spans="1:19">
      <c r="A373" s="158"/>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5">
        <f t="shared" si="72"/>
        <v>0</v>
      </c>
      <c r="S373" s="360">
        <f t="shared" si="63"/>
        <v>0</v>
      </c>
    </row>
    <row r="374" spans="1:19">
      <c r="A374" s="158"/>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5">
        <f t="shared" si="72"/>
        <v>0</v>
      </c>
      <c r="S374" s="360">
        <f t="shared" si="63"/>
        <v>0</v>
      </c>
    </row>
    <row r="375" spans="1:19">
      <c r="A375" s="158"/>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5">
        <f t="shared" si="72"/>
        <v>0</v>
      </c>
      <c r="S375" s="360">
        <f t="shared" si="63"/>
        <v>0</v>
      </c>
    </row>
    <row r="376" spans="1:19">
      <c r="A376" s="158"/>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5">
        <f t="shared" si="72"/>
        <v>0</v>
      </c>
      <c r="S376" s="360">
        <f t="shared" si="63"/>
        <v>0</v>
      </c>
    </row>
    <row r="377" spans="1:19">
      <c r="A377" s="158"/>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5">
        <f t="shared" si="72"/>
        <v>0</v>
      </c>
      <c r="S377" s="360">
        <f t="shared" si="63"/>
        <v>0</v>
      </c>
    </row>
    <row r="378" spans="1:19">
      <c r="A378" s="158"/>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5">
        <f t="shared" si="72"/>
        <v>0</v>
      </c>
      <c r="S378" s="360">
        <f t="shared" si="63"/>
        <v>0</v>
      </c>
    </row>
    <row r="379" spans="1:19">
      <c r="A379" s="158"/>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5">
        <f t="shared" si="72"/>
        <v>0</v>
      </c>
      <c r="S379" s="360">
        <f t="shared" si="63"/>
        <v>0</v>
      </c>
    </row>
    <row r="380" spans="1:19">
      <c r="A380" s="158"/>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5">
        <f t="shared" si="72"/>
        <v>0</v>
      </c>
      <c r="S380" s="360">
        <f t="shared" si="63"/>
        <v>0</v>
      </c>
    </row>
    <row r="381" spans="1:19">
      <c r="A381" s="158"/>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5">
        <f t="shared" si="72"/>
        <v>0</v>
      </c>
      <c r="S381" s="360">
        <f t="shared" si="63"/>
        <v>0</v>
      </c>
    </row>
    <row r="382" spans="1:19">
      <c r="A382" s="158"/>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5">
        <f t="shared" si="72"/>
        <v>0</v>
      </c>
      <c r="S382" s="360">
        <f t="shared" si="63"/>
        <v>0</v>
      </c>
    </row>
    <row r="383" spans="1:19">
      <c r="A383" s="158"/>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5">
        <f t="shared" si="72"/>
        <v>0</v>
      </c>
      <c r="S383" s="360">
        <f t="shared" si="63"/>
        <v>0</v>
      </c>
    </row>
    <row r="384" spans="1:19">
      <c r="A384" s="158"/>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5">
        <f t="shared" si="72"/>
        <v>0</v>
      </c>
      <c r="S384" s="360">
        <f t="shared" si="63"/>
        <v>0</v>
      </c>
    </row>
    <row r="385" spans="1:19">
      <c r="A385" s="158"/>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5">
        <f t="shared" si="72"/>
        <v>0</v>
      </c>
      <c r="S385" s="360">
        <f t="shared" ref="S385:S422" si="73">ROUND(R385*B385/10000,0)</f>
        <v>0</v>
      </c>
    </row>
    <row r="386" spans="1:19">
      <c r="A386" s="158"/>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5">
        <f t="shared" si="72"/>
        <v>0</v>
      </c>
      <c r="S386" s="360">
        <f t="shared" si="73"/>
        <v>0</v>
      </c>
    </row>
    <row r="387" spans="1:19">
      <c r="A387" s="158"/>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5">
        <f t="shared" si="72"/>
        <v>0</v>
      </c>
      <c r="S387" s="360">
        <f t="shared" si="73"/>
        <v>0</v>
      </c>
    </row>
    <row r="388" spans="1:19">
      <c r="A388" s="158"/>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5">
        <f t="shared" si="72"/>
        <v>0</v>
      </c>
      <c r="S388" s="360">
        <f t="shared" si="73"/>
        <v>0</v>
      </c>
    </row>
    <row r="389" spans="1:19">
      <c r="A389" s="158"/>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5">
        <f t="shared" si="72"/>
        <v>0</v>
      </c>
      <c r="S389" s="360">
        <f t="shared" si="73"/>
        <v>0</v>
      </c>
    </row>
    <row r="390" spans="1:19">
      <c r="A390" s="158"/>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5">
        <f t="shared" si="72"/>
        <v>0</v>
      </c>
      <c r="S390" s="360">
        <f t="shared" si="73"/>
        <v>0</v>
      </c>
    </row>
    <row r="391" spans="1:19">
      <c r="A391" s="158"/>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5">
        <f t="shared" si="72"/>
        <v>0</v>
      </c>
      <c r="S391" s="360">
        <f t="shared" si="73"/>
        <v>0</v>
      </c>
    </row>
    <row r="392" spans="1:19">
      <c r="A392" s="158"/>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5">
        <f t="shared" si="72"/>
        <v>0</v>
      </c>
      <c r="S392" s="360">
        <f t="shared" si="73"/>
        <v>0</v>
      </c>
    </row>
    <row r="393" spans="1:19">
      <c r="A393" s="158"/>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5">
        <f t="shared" si="72"/>
        <v>0</v>
      </c>
      <c r="S393" s="360">
        <f t="shared" si="73"/>
        <v>0</v>
      </c>
    </row>
    <row r="394" spans="1:19">
      <c r="A394" s="158"/>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5">
        <f t="shared" si="72"/>
        <v>0</v>
      </c>
      <c r="S394" s="360">
        <f t="shared" si="73"/>
        <v>0</v>
      </c>
    </row>
    <row r="395" spans="1:19">
      <c r="A395" s="158"/>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5">
        <f t="shared" si="72"/>
        <v>0</v>
      </c>
      <c r="S395" s="360">
        <f t="shared" si="73"/>
        <v>0</v>
      </c>
    </row>
    <row r="396" spans="1:19">
      <c r="A396" s="158"/>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5">
        <f t="shared" si="72"/>
        <v>0</v>
      </c>
      <c r="S396" s="360">
        <f t="shared" si="73"/>
        <v>0</v>
      </c>
    </row>
    <row r="397" spans="1:19">
      <c r="A397" s="158"/>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5">
        <f t="shared" si="72"/>
        <v>0</v>
      </c>
      <c r="S397" s="360">
        <f t="shared" si="73"/>
        <v>0</v>
      </c>
    </row>
    <row r="398" spans="1:19">
      <c r="A398" s="158"/>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5">
        <f t="shared" si="72"/>
        <v>0</v>
      </c>
      <c r="S398" s="360">
        <f t="shared" si="73"/>
        <v>0</v>
      </c>
    </row>
    <row r="399" spans="1:19">
      <c r="A399" s="158"/>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5">
        <f t="shared" si="72"/>
        <v>0</v>
      </c>
      <c r="S399" s="360">
        <f t="shared" si="73"/>
        <v>0</v>
      </c>
    </row>
    <row r="400" spans="1:19">
      <c r="A400" s="158"/>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5">
        <f t="shared" si="72"/>
        <v>0</v>
      </c>
      <c r="S400" s="360">
        <f t="shared" si="73"/>
        <v>0</v>
      </c>
    </row>
    <row r="401" spans="1:19">
      <c r="A401" s="158"/>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5">
        <f t="shared" si="72"/>
        <v>0</v>
      </c>
      <c r="S401" s="360">
        <f t="shared" si="73"/>
        <v>0</v>
      </c>
    </row>
    <row r="402" spans="1:19">
      <c r="A402" s="158"/>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5">
        <f t="shared" si="72"/>
        <v>0</v>
      </c>
      <c r="S402" s="360">
        <f t="shared" si="73"/>
        <v>0</v>
      </c>
    </row>
    <row r="403" spans="1:19">
      <c r="A403" s="158"/>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5">
        <f t="shared" si="72"/>
        <v>0</v>
      </c>
      <c r="S403" s="360">
        <f t="shared" si="73"/>
        <v>0</v>
      </c>
    </row>
    <row r="404" spans="1:19">
      <c r="A404" s="158"/>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5">
        <f t="shared" si="72"/>
        <v>0</v>
      </c>
      <c r="S404" s="360">
        <f t="shared" si="73"/>
        <v>0</v>
      </c>
    </row>
    <row r="405" spans="1:19">
      <c r="A405" s="158"/>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5">
        <f t="shared" si="72"/>
        <v>0</v>
      </c>
      <c r="S405" s="360">
        <f t="shared" si="73"/>
        <v>0</v>
      </c>
    </row>
    <row r="406" spans="1:19">
      <c r="A406" s="158"/>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5">
        <f t="shared" si="72"/>
        <v>0</v>
      </c>
      <c r="S406" s="360">
        <f t="shared" si="73"/>
        <v>0</v>
      </c>
    </row>
    <row r="407" spans="1:19">
      <c r="A407" s="158"/>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5">
        <f t="shared" si="72"/>
        <v>0</v>
      </c>
      <c r="S407" s="360">
        <f t="shared" si="73"/>
        <v>0</v>
      </c>
    </row>
    <row r="408" spans="1:19">
      <c r="A408" s="158"/>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5">
        <f t="shared" si="72"/>
        <v>0</v>
      </c>
      <c r="S408" s="360">
        <f t="shared" si="73"/>
        <v>0</v>
      </c>
    </row>
    <row r="409" spans="1:19">
      <c r="A409" s="158"/>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5">
        <f t="shared" si="72"/>
        <v>0</v>
      </c>
      <c r="S409" s="360">
        <f t="shared" si="73"/>
        <v>0</v>
      </c>
    </row>
    <row r="410" spans="1:19">
      <c r="A410" s="158"/>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5">
        <f t="shared" si="82"/>
        <v>0</v>
      </c>
      <c r="S411" s="360">
        <f t="shared" si="73"/>
        <v>0</v>
      </c>
    </row>
    <row r="412" spans="1:19">
      <c r="A412" s="158"/>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5">
        <f t="shared" si="82"/>
        <v>0</v>
      </c>
      <c r="S412" s="360">
        <f t="shared" si="73"/>
        <v>0</v>
      </c>
    </row>
    <row r="413" spans="1:19">
      <c r="A413" s="158"/>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5">
        <f t="shared" si="82"/>
        <v>0</v>
      </c>
      <c r="S413" s="360">
        <f t="shared" si="73"/>
        <v>0</v>
      </c>
    </row>
    <row r="414" spans="1:19">
      <c r="A414" s="158"/>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5">
        <f t="shared" si="82"/>
        <v>0</v>
      </c>
      <c r="S414" s="360">
        <f t="shared" si="73"/>
        <v>0</v>
      </c>
    </row>
    <row r="415" spans="1:19">
      <c r="A415" s="158"/>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5">
        <f t="shared" si="82"/>
        <v>0</v>
      </c>
      <c r="S415" s="360">
        <f t="shared" si="73"/>
        <v>0</v>
      </c>
    </row>
    <row r="416" spans="1:19">
      <c r="A416" s="158"/>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5">
        <f t="shared" si="82"/>
        <v>0</v>
      </c>
      <c r="S416" s="360">
        <f t="shared" si="73"/>
        <v>0</v>
      </c>
    </row>
    <row r="417" spans="1:19">
      <c r="A417" s="158"/>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5">
        <f t="shared" si="82"/>
        <v>0</v>
      </c>
      <c r="S417" s="360">
        <f t="shared" si="73"/>
        <v>0</v>
      </c>
    </row>
    <row r="418" spans="1:19">
      <c r="A418" s="158"/>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5">
        <f t="shared" si="82"/>
        <v>0</v>
      </c>
      <c r="S418" s="360">
        <f t="shared" si="73"/>
        <v>0</v>
      </c>
    </row>
    <row r="419" spans="1:19">
      <c r="A419" s="158"/>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5">
        <f t="shared" si="82"/>
        <v>0</v>
      </c>
      <c r="S419" s="360">
        <f t="shared" si="73"/>
        <v>0</v>
      </c>
    </row>
    <row r="420" spans="1:19">
      <c r="A420" s="158"/>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5">
        <f t="shared" si="82"/>
        <v>0</v>
      </c>
      <c r="S420" s="360">
        <f t="shared" si="73"/>
        <v>0</v>
      </c>
    </row>
    <row r="421" spans="1:19">
      <c r="A421" s="158"/>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5">
        <f t="shared" si="82"/>
        <v>0</v>
      </c>
      <c r="S421" s="360">
        <f t="shared" si="73"/>
        <v>0</v>
      </c>
    </row>
    <row r="422" spans="1:19">
      <c r="A422" s="158"/>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5">
        <f t="shared" si="82"/>
        <v>0</v>
      </c>
      <c r="S422" s="360">
        <f t="shared" si="73"/>
        <v>0</v>
      </c>
    </row>
    <row r="423" spans="1:19">
      <c r="A423" s="158"/>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5">
        <f t="shared" si="82"/>
        <v>0</v>
      </c>
      <c r="S423" s="360">
        <f t="shared" ref="S423:S467" si="83">ROUND(R423*B423/10000,0)</f>
        <v>0</v>
      </c>
    </row>
    <row r="424" spans="1:19">
      <c r="A424" s="158"/>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5">
        <f t="shared" si="82"/>
        <v>0</v>
      </c>
      <c r="S424" s="360">
        <f t="shared" si="83"/>
        <v>0</v>
      </c>
    </row>
    <row r="425" spans="1:19">
      <c r="A425" s="158"/>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5">
        <f t="shared" si="82"/>
        <v>0</v>
      </c>
      <c r="S425" s="360">
        <f t="shared" si="83"/>
        <v>0</v>
      </c>
    </row>
    <row r="426" spans="1:19">
      <c r="A426" s="158"/>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5">
        <f t="shared" si="82"/>
        <v>0</v>
      </c>
      <c r="S426" s="360">
        <f t="shared" si="83"/>
        <v>0</v>
      </c>
    </row>
    <row r="427" spans="1:19">
      <c r="A427" s="158"/>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5">
        <f t="shared" si="82"/>
        <v>0</v>
      </c>
      <c r="S427" s="360">
        <f t="shared" si="83"/>
        <v>0</v>
      </c>
    </row>
    <row r="428" spans="1:19">
      <c r="A428" s="158"/>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5">
        <f t="shared" si="82"/>
        <v>0</v>
      </c>
      <c r="S428" s="360">
        <f t="shared" si="83"/>
        <v>0</v>
      </c>
    </row>
    <row r="429" spans="1:19">
      <c r="A429" s="158"/>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5">
        <f t="shared" si="82"/>
        <v>0</v>
      </c>
      <c r="S429" s="360">
        <f t="shared" si="83"/>
        <v>0</v>
      </c>
    </row>
    <row r="430" spans="1:19">
      <c r="A430" s="158"/>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5">
        <f t="shared" si="82"/>
        <v>0</v>
      </c>
      <c r="S430" s="360">
        <f t="shared" si="83"/>
        <v>0</v>
      </c>
    </row>
    <row r="431" spans="1:19">
      <c r="A431" s="158"/>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5">
        <f t="shared" si="82"/>
        <v>0</v>
      </c>
      <c r="S431" s="360">
        <f t="shared" si="83"/>
        <v>0</v>
      </c>
    </row>
    <row r="432" spans="1:19">
      <c r="A432" s="158"/>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5">
        <f t="shared" si="82"/>
        <v>0</v>
      </c>
      <c r="S432" s="360">
        <f t="shared" si="83"/>
        <v>0</v>
      </c>
    </row>
    <row r="433" spans="1:19">
      <c r="A433" s="158"/>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5">
        <f t="shared" si="82"/>
        <v>0</v>
      </c>
      <c r="S433" s="360">
        <f t="shared" si="83"/>
        <v>0</v>
      </c>
    </row>
    <row r="434" spans="1:19">
      <c r="A434" s="158"/>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5">
        <f t="shared" si="82"/>
        <v>0</v>
      </c>
      <c r="S434" s="360">
        <f t="shared" si="83"/>
        <v>0</v>
      </c>
    </row>
    <row r="435" spans="1:19">
      <c r="A435" s="158"/>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5">
        <f t="shared" si="82"/>
        <v>0</v>
      </c>
      <c r="S435" s="360">
        <f t="shared" si="83"/>
        <v>0</v>
      </c>
    </row>
    <row r="436" spans="1:19">
      <c r="A436" s="158"/>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5">
        <f t="shared" si="82"/>
        <v>0</v>
      </c>
      <c r="S436" s="360">
        <f t="shared" si="83"/>
        <v>0</v>
      </c>
    </row>
    <row r="437" spans="1:19">
      <c r="A437" s="158"/>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5">
        <f t="shared" si="82"/>
        <v>0</v>
      </c>
      <c r="S437" s="360">
        <f t="shared" si="83"/>
        <v>0</v>
      </c>
    </row>
    <row r="438" spans="1:19">
      <c r="A438" s="158"/>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5">
        <f t="shared" si="82"/>
        <v>0</v>
      </c>
      <c r="S438" s="360">
        <f t="shared" si="83"/>
        <v>0</v>
      </c>
    </row>
    <row r="439" spans="1:19">
      <c r="A439" s="158"/>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5">
        <f t="shared" si="82"/>
        <v>0</v>
      </c>
      <c r="S439" s="360">
        <f t="shared" si="83"/>
        <v>0</v>
      </c>
    </row>
    <row r="440" spans="1:19">
      <c r="A440" s="158"/>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5">
        <f t="shared" si="82"/>
        <v>0</v>
      </c>
      <c r="S440" s="360">
        <f t="shared" si="83"/>
        <v>0</v>
      </c>
    </row>
    <row r="441" spans="1:19">
      <c r="A441" s="158"/>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5">
        <f t="shared" si="82"/>
        <v>0</v>
      </c>
      <c r="S441" s="360">
        <f t="shared" si="83"/>
        <v>0</v>
      </c>
    </row>
    <row r="442" spans="1:19">
      <c r="A442" s="158"/>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5">
        <f t="shared" si="82"/>
        <v>0</v>
      </c>
      <c r="S442" s="360">
        <f t="shared" si="83"/>
        <v>0</v>
      </c>
    </row>
    <row r="443" spans="1:19">
      <c r="A443" s="158"/>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5">
        <f t="shared" si="82"/>
        <v>0</v>
      </c>
      <c r="S443" s="360">
        <f t="shared" si="83"/>
        <v>0</v>
      </c>
    </row>
    <row r="444" spans="1:19">
      <c r="A444" s="158"/>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5">
        <f t="shared" si="82"/>
        <v>0</v>
      </c>
      <c r="S444" s="360">
        <f t="shared" si="83"/>
        <v>0</v>
      </c>
    </row>
    <row r="445" spans="1:19">
      <c r="A445" s="158"/>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5">
        <f t="shared" si="82"/>
        <v>0</v>
      </c>
      <c r="S445" s="360">
        <f t="shared" si="83"/>
        <v>0</v>
      </c>
    </row>
    <row r="446" spans="1:19">
      <c r="A446" s="158"/>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5">
        <f t="shared" si="82"/>
        <v>0</v>
      </c>
      <c r="S446" s="360">
        <f t="shared" si="83"/>
        <v>0</v>
      </c>
    </row>
    <row r="447" spans="1:19">
      <c r="A447" s="158"/>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5">
        <f t="shared" si="82"/>
        <v>0</v>
      </c>
      <c r="S447" s="360">
        <f t="shared" si="83"/>
        <v>0</v>
      </c>
    </row>
    <row r="448" spans="1:19">
      <c r="A448" s="158"/>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5">
        <f t="shared" si="82"/>
        <v>0</v>
      </c>
      <c r="S448" s="360">
        <f t="shared" si="83"/>
        <v>0</v>
      </c>
    </row>
    <row r="449" spans="1:19">
      <c r="A449" s="158"/>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5">
        <f t="shared" si="82"/>
        <v>0</v>
      </c>
      <c r="S449" s="360">
        <f t="shared" si="83"/>
        <v>0</v>
      </c>
    </row>
    <row r="450" spans="1:19">
      <c r="A450" s="158"/>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5">
        <f t="shared" si="82"/>
        <v>0</v>
      </c>
      <c r="S450" s="360">
        <f t="shared" si="83"/>
        <v>0</v>
      </c>
    </row>
    <row r="451" spans="1:19">
      <c r="A451" s="158"/>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5">
        <f t="shared" si="82"/>
        <v>0</v>
      </c>
      <c r="S451" s="360">
        <f t="shared" si="83"/>
        <v>0</v>
      </c>
    </row>
    <row r="452" spans="1:19">
      <c r="A452" s="158"/>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5">
        <f t="shared" si="82"/>
        <v>0</v>
      </c>
      <c r="S452" s="360">
        <f t="shared" si="83"/>
        <v>0</v>
      </c>
    </row>
    <row r="453" spans="1:19">
      <c r="A453" s="158"/>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5">
        <f t="shared" si="82"/>
        <v>0</v>
      </c>
      <c r="S453" s="360">
        <f t="shared" si="83"/>
        <v>0</v>
      </c>
    </row>
    <row r="454" spans="1:19">
      <c r="A454" s="158"/>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5">
        <f t="shared" si="82"/>
        <v>0</v>
      </c>
      <c r="S454" s="360">
        <f t="shared" si="83"/>
        <v>0</v>
      </c>
    </row>
    <row r="455" spans="1:19">
      <c r="A455" s="158"/>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5">
        <f t="shared" si="82"/>
        <v>0</v>
      </c>
      <c r="S455" s="360">
        <f t="shared" si="83"/>
        <v>0</v>
      </c>
    </row>
    <row r="456" spans="1:19">
      <c r="A456" s="158"/>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5">
        <f t="shared" si="82"/>
        <v>0</v>
      </c>
      <c r="S456" s="360">
        <f t="shared" si="83"/>
        <v>0</v>
      </c>
    </row>
    <row r="457" spans="1:19">
      <c r="A457" s="158"/>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5">
        <f t="shared" si="82"/>
        <v>0</v>
      </c>
      <c r="S457" s="360">
        <f t="shared" si="83"/>
        <v>0</v>
      </c>
    </row>
    <row r="458" spans="1:19">
      <c r="A458" s="158"/>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5">
        <f t="shared" si="82"/>
        <v>0</v>
      </c>
      <c r="S458" s="360">
        <f t="shared" si="83"/>
        <v>0</v>
      </c>
    </row>
    <row r="459" spans="1:19">
      <c r="A459" s="158"/>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5">
        <f t="shared" si="82"/>
        <v>0</v>
      </c>
      <c r="S459" s="360">
        <f t="shared" si="83"/>
        <v>0</v>
      </c>
    </row>
    <row r="460" spans="1:19">
      <c r="A460" s="158"/>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5">
        <f t="shared" si="82"/>
        <v>0</v>
      </c>
      <c r="S460" s="360">
        <f t="shared" si="83"/>
        <v>0</v>
      </c>
    </row>
    <row r="461" spans="1:19">
      <c r="A461" s="158"/>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5">
        <f t="shared" si="82"/>
        <v>0</v>
      </c>
      <c r="S461" s="360">
        <f t="shared" si="83"/>
        <v>0</v>
      </c>
    </row>
    <row r="462" spans="1:19">
      <c r="A462" s="158"/>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5">
        <f t="shared" si="82"/>
        <v>0</v>
      </c>
      <c r="S462" s="360">
        <f t="shared" si="83"/>
        <v>0</v>
      </c>
    </row>
    <row r="463" spans="1:19">
      <c r="A463" s="158"/>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5">
        <f t="shared" si="82"/>
        <v>0</v>
      </c>
      <c r="S463" s="360">
        <f t="shared" si="83"/>
        <v>0</v>
      </c>
    </row>
    <row r="464" spans="1:19">
      <c r="A464" s="158"/>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5">
        <f t="shared" si="82"/>
        <v>0</v>
      </c>
      <c r="S464" s="360">
        <f t="shared" si="83"/>
        <v>0</v>
      </c>
    </row>
    <row r="465" spans="1:19">
      <c r="A465" s="158"/>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5">
        <f t="shared" si="82"/>
        <v>0</v>
      </c>
      <c r="S465" s="360">
        <f t="shared" si="83"/>
        <v>0</v>
      </c>
    </row>
    <row r="466" spans="1:19">
      <c r="A466" s="158"/>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5">
        <f t="shared" si="82"/>
        <v>0</v>
      </c>
      <c r="S466" s="360">
        <f t="shared" si="83"/>
        <v>0</v>
      </c>
    </row>
    <row r="467" spans="1:19">
      <c r="A467" s="158"/>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5">
        <f t="shared" si="82"/>
        <v>0</v>
      </c>
      <c r="S467" s="360">
        <f t="shared" si="83"/>
        <v>0</v>
      </c>
    </row>
    <row r="468" spans="1:19">
      <c r="A468" s="158"/>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5">
        <f t="shared" si="82"/>
        <v>0</v>
      </c>
      <c r="S468" s="360">
        <f t="shared" ref="S468:S497" si="84">ROUND(R468*B468/10000,0)</f>
        <v>0</v>
      </c>
    </row>
    <row r="469" spans="1:19">
      <c r="A469" s="158"/>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5">
        <f t="shared" si="82"/>
        <v>0</v>
      </c>
      <c r="S469" s="360">
        <f t="shared" si="84"/>
        <v>0</v>
      </c>
    </row>
    <row r="470" spans="1:19">
      <c r="A470" s="158"/>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5">
        <f t="shared" si="82"/>
        <v>0</v>
      </c>
      <c r="S470" s="360">
        <f t="shared" si="84"/>
        <v>0</v>
      </c>
    </row>
    <row r="471" spans="1:19">
      <c r="A471" s="158"/>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5">
        <f t="shared" si="82"/>
        <v>0</v>
      </c>
      <c r="S471" s="360">
        <f t="shared" si="84"/>
        <v>0</v>
      </c>
    </row>
    <row r="472" spans="1:19">
      <c r="A472" s="158"/>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5">
        <f t="shared" si="82"/>
        <v>0</v>
      </c>
      <c r="S472" s="360">
        <f t="shared" si="84"/>
        <v>0</v>
      </c>
    </row>
    <row r="473" spans="1:19">
      <c r="A473" s="158"/>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5">
        <f t="shared" si="82"/>
        <v>0</v>
      </c>
      <c r="S473" s="360">
        <f t="shared" si="84"/>
        <v>0</v>
      </c>
    </row>
    <row r="474" spans="1:19">
      <c r="A474" s="158"/>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5">
        <f t="shared" si="93"/>
        <v>0</v>
      </c>
      <c r="S475" s="360">
        <f t="shared" si="84"/>
        <v>0</v>
      </c>
    </row>
    <row r="476" spans="1:19">
      <c r="A476" s="158"/>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5">
        <f t="shared" si="93"/>
        <v>0</v>
      </c>
      <c r="S476" s="360">
        <f t="shared" si="84"/>
        <v>0</v>
      </c>
    </row>
    <row r="477" spans="1:19">
      <c r="A477" s="158"/>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5">
        <f t="shared" si="93"/>
        <v>0</v>
      </c>
      <c r="S477" s="360">
        <f t="shared" si="84"/>
        <v>0</v>
      </c>
    </row>
    <row r="478" spans="1:19">
      <c r="A478" s="158"/>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5">
        <f t="shared" si="93"/>
        <v>0</v>
      </c>
      <c r="S478" s="360">
        <f t="shared" si="84"/>
        <v>0</v>
      </c>
    </row>
    <row r="479" spans="1:19">
      <c r="A479" s="158"/>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5">
        <f t="shared" si="93"/>
        <v>0</v>
      </c>
      <c r="S479" s="360">
        <f t="shared" si="84"/>
        <v>0</v>
      </c>
    </row>
    <row r="480" spans="1:19">
      <c r="A480" s="158"/>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5">
        <f t="shared" si="93"/>
        <v>0</v>
      </c>
      <c r="S480" s="360">
        <f t="shared" si="84"/>
        <v>0</v>
      </c>
    </row>
    <row r="481" spans="1:19">
      <c r="A481" s="158"/>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5">
        <f t="shared" si="93"/>
        <v>0</v>
      </c>
      <c r="S481" s="360">
        <f t="shared" si="84"/>
        <v>0</v>
      </c>
    </row>
    <row r="482" spans="1:19">
      <c r="A482" s="158"/>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5">
        <f t="shared" si="93"/>
        <v>0</v>
      </c>
      <c r="S482" s="360">
        <f t="shared" si="84"/>
        <v>0</v>
      </c>
    </row>
    <row r="483" spans="1:19">
      <c r="A483" s="158"/>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5">
        <f t="shared" si="93"/>
        <v>0</v>
      </c>
      <c r="S483" s="360">
        <f t="shared" si="84"/>
        <v>0</v>
      </c>
    </row>
    <row r="484" spans="1:19">
      <c r="A484" s="158"/>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5">
        <f t="shared" si="93"/>
        <v>0</v>
      </c>
      <c r="S484" s="360">
        <f t="shared" si="84"/>
        <v>0</v>
      </c>
    </row>
    <row r="485" spans="1:19">
      <c r="A485" s="158"/>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5">
        <f t="shared" si="93"/>
        <v>0</v>
      </c>
      <c r="S485" s="360">
        <f t="shared" si="84"/>
        <v>0</v>
      </c>
    </row>
    <row r="486" spans="1:19">
      <c r="A486" s="158"/>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5">
        <f t="shared" si="93"/>
        <v>0</v>
      </c>
      <c r="S486" s="360">
        <f t="shared" si="84"/>
        <v>0</v>
      </c>
    </row>
    <row r="487" spans="1:19">
      <c r="A487" s="158"/>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5">
        <f t="shared" si="93"/>
        <v>0</v>
      </c>
      <c r="S487" s="360">
        <f t="shared" si="84"/>
        <v>0</v>
      </c>
    </row>
    <row r="488" spans="1:19">
      <c r="A488" s="158"/>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5">
        <f t="shared" si="93"/>
        <v>0</v>
      </c>
      <c r="S488" s="360">
        <f t="shared" si="84"/>
        <v>0</v>
      </c>
    </row>
    <row r="489" spans="1:19">
      <c r="A489" s="158"/>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5">
        <f t="shared" si="93"/>
        <v>0</v>
      </c>
      <c r="S489" s="360">
        <f t="shared" si="84"/>
        <v>0</v>
      </c>
    </row>
    <row r="490" spans="1:19">
      <c r="A490" s="158"/>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5">
        <f t="shared" si="93"/>
        <v>0</v>
      </c>
      <c r="S490" s="360">
        <f t="shared" si="84"/>
        <v>0</v>
      </c>
    </row>
    <row r="491" spans="1:19">
      <c r="A491" s="158"/>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5">
        <f t="shared" si="93"/>
        <v>0</v>
      </c>
      <c r="S491" s="360">
        <f t="shared" si="84"/>
        <v>0</v>
      </c>
    </row>
    <row r="492" spans="1:19">
      <c r="A492" s="158"/>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5">
        <f t="shared" si="93"/>
        <v>0</v>
      </c>
      <c r="S492" s="360">
        <f t="shared" si="84"/>
        <v>0</v>
      </c>
    </row>
    <row r="493" spans="1:19">
      <c r="A493" s="158"/>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5">
        <f t="shared" si="93"/>
        <v>0</v>
      </c>
      <c r="S493" s="360">
        <f t="shared" si="84"/>
        <v>0</v>
      </c>
    </row>
    <row r="494" spans="1:19">
      <c r="A494" s="158"/>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5">
        <f t="shared" si="93"/>
        <v>0</v>
      </c>
      <c r="S494" s="360">
        <f t="shared" si="84"/>
        <v>0</v>
      </c>
    </row>
    <row r="495" spans="1:19">
      <c r="A495" s="158"/>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5">
        <f t="shared" si="93"/>
        <v>0</v>
      </c>
      <c r="S495" s="360">
        <f t="shared" si="84"/>
        <v>0</v>
      </c>
    </row>
    <row r="496" spans="1:19">
      <c r="A496" s="158"/>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5">
        <f t="shared" si="93"/>
        <v>0</v>
      </c>
      <c r="S496" s="360">
        <f t="shared" si="84"/>
        <v>0</v>
      </c>
    </row>
    <row r="497" spans="1:19">
      <c r="A497" s="158"/>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5">
        <f t="shared" si="93"/>
        <v>0</v>
      </c>
      <c r="S497" s="360">
        <f t="shared" si="84"/>
        <v>0</v>
      </c>
    </row>
    <row r="498" spans="1:19">
      <c r="A498" s="158"/>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5">
        <f t="shared" si="93"/>
        <v>0</v>
      </c>
      <c r="S498" s="360">
        <f t="shared" ref="S498:S524" si="94">ROUND(R498*B498/10000,0)</f>
        <v>0</v>
      </c>
    </row>
    <row r="499" spans="1:19">
      <c r="A499" s="158"/>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5">
        <f t="shared" si="93"/>
        <v>0</v>
      </c>
      <c r="S499" s="360">
        <f t="shared" si="94"/>
        <v>0</v>
      </c>
    </row>
    <row r="500" spans="1:19">
      <c r="A500" s="158"/>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5">
        <f t="shared" si="93"/>
        <v>0</v>
      </c>
      <c r="S500" s="360">
        <f t="shared" si="94"/>
        <v>0</v>
      </c>
    </row>
    <row r="501" spans="1:19">
      <c r="A501" s="158"/>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5">
        <f t="shared" si="93"/>
        <v>0</v>
      </c>
      <c r="S501" s="360">
        <f t="shared" si="94"/>
        <v>0</v>
      </c>
    </row>
    <row r="502" spans="1:19">
      <c r="A502" s="158"/>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5">
        <f t="shared" si="93"/>
        <v>0</v>
      </c>
      <c r="S502" s="360">
        <f t="shared" si="94"/>
        <v>0</v>
      </c>
    </row>
    <row r="503" spans="1:19">
      <c r="A503" s="158"/>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5">
        <f t="shared" si="93"/>
        <v>0</v>
      </c>
      <c r="S503" s="360">
        <f t="shared" si="94"/>
        <v>0</v>
      </c>
    </row>
    <row r="504" spans="1:19">
      <c r="A504" s="158"/>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5">
        <f t="shared" si="93"/>
        <v>0</v>
      </c>
      <c r="S504" s="360">
        <f t="shared" si="94"/>
        <v>0</v>
      </c>
    </row>
    <row r="505" spans="1:19">
      <c r="A505" s="158"/>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5">
        <f t="shared" si="93"/>
        <v>0</v>
      </c>
      <c r="S505" s="360">
        <f t="shared" si="94"/>
        <v>0</v>
      </c>
    </row>
    <row r="506" spans="1:19">
      <c r="A506" s="158"/>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5">
        <f t="shared" si="93"/>
        <v>0</v>
      </c>
      <c r="S506" s="360">
        <f t="shared" si="94"/>
        <v>0</v>
      </c>
    </row>
    <row r="507" spans="1:19">
      <c r="A507" s="158"/>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5">
        <f t="shared" si="93"/>
        <v>0</v>
      </c>
      <c r="S507" s="360">
        <f t="shared" si="94"/>
        <v>0</v>
      </c>
    </row>
    <row r="508" spans="1:19">
      <c r="A508" s="158"/>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5">
        <f t="shared" si="93"/>
        <v>0</v>
      </c>
      <c r="S508" s="360">
        <f t="shared" si="94"/>
        <v>0</v>
      </c>
    </row>
    <row r="509" spans="1:19">
      <c r="A509" s="158"/>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5">
        <f t="shared" si="93"/>
        <v>0</v>
      </c>
      <c r="S509" s="360">
        <f t="shared" si="94"/>
        <v>0</v>
      </c>
    </row>
    <row r="510" spans="1:19">
      <c r="A510" s="158"/>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5">
        <f t="shared" si="93"/>
        <v>0</v>
      </c>
      <c r="S510" s="360">
        <f t="shared" si="94"/>
        <v>0</v>
      </c>
    </row>
    <row r="511" spans="1:19">
      <c r="A511" s="158"/>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5">
        <f t="shared" si="93"/>
        <v>0</v>
      </c>
      <c r="S511" s="360">
        <f t="shared" si="94"/>
        <v>0</v>
      </c>
    </row>
    <row r="512" spans="1:19">
      <c r="A512" s="158"/>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5">
        <f t="shared" si="93"/>
        <v>0</v>
      </c>
      <c r="S512" s="360">
        <f t="shared" si="94"/>
        <v>0</v>
      </c>
    </row>
    <row r="513" spans="1:19">
      <c r="A513" s="158"/>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5">
        <f t="shared" si="93"/>
        <v>0</v>
      </c>
      <c r="S513" s="360">
        <f t="shared" si="94"/>
        <v>0</v>
      </c>
    </row>
    <row r="514" spans="1:19">
      <c r="A514" s="158"/>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5">
        <f t="shared" si="93"/>
        <v>0</v>
      </c>
      <c r="S514" s="360">
        <f t="shared" si="94"/>
        <v>0</v>
      </c>
    </row>
    <row r="515" spans="1:19">
      <c r="A515" s="158"/>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5">
        <f t="shared" si="93"/>
        <v>0</v>
      </c>
      <c r="S515" s="360">
        <f t="shared" si="94"/>
        <v>0</v>
      </c>
    </row>
    <row r="516" spans="1:19">
      <c r="A516" s="158"/>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5">
        <f t="shared" si="93"/>
        <v>0</v>
      </c>
      <c r="S516" s="360">
        <f t="shared" si="94"/>
        <v>0</v>
      </c>
    </row>
    <row r="517" spans="1:19">
      <c r="A517" s="158"/>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5">
        <f t="shared" si="93"/>
        <v>0</v>
      </c>
      <c r="S517" s="360">
        <f t="shared" si="94"/>
        <v>0</v>
      </c>
    </row>
    <row r="518" spans="1:19">
      <c r="A518" s="158"/>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5">
        <f t="shared" si="93"/>
        <v>0</v>
      </c>
      <c r="S518" s="360">
        <f t="shared" si="94"/>
        <v>0</v>
      </c>
    </row>
    <row r="519" spans="1:19">
      <c r="A519" s="158"/>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5">
        <f t="shared" si="93"/>
        <v>0</v>
      </c>
      <c r="S519" s="360">
        <f t="shared" si="94"/>
        <v>0</v>
      </c>
    </row>
    <row r="520" spans="1:19">
      <c r="A520" s="158"/>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5">
        <f t="shared" si="93"/>
        <v>0</v>
      </c>
      <c r="S520" s="360">
        <f t="shared" si="94"/>
        <v>0</v>
      </c>
    </row>
    <row r="521" spans="1:19">
      <c r="A521" s="158"/>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5">
        <f t="shared" si="93"/>
        <v>0</v>
      </c>
      <c r="S521" s="360">
        <f t="shared" si="94"/>
        <v>0</v>
      </c>
    </row>
    <row r="522" spans="1:19">
      <c r="A522" s="158"/>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5">
        <f t="shared" si="93"/>
        <v>0</v>
      </c>
      <c r="S522" s="360">
        <f t="shared" si="94"/>
        <v>0</v>
      </c>
    </row>
    <row r="523" spans="1:19">
      <c r="A523" s="158"/>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5">
        <f t="shared" si="93"/>
        <v>0</v>
      </c>
      <c r="S523" s="360">
        <f t="shared" si="94"/>
        <v>0</v>
      </c>
    </row>
    <row r="524" spans="1:19">
      <c r="A524" s="158"/>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C41" sqref="C41"/>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580" t="s">
        <v>2518</v>
      </c>
      <c r="C1" s="1632" t="s">
        <v>2519</v>
      </c>
      <c r="D1" s="1619" t="s">
        <v>3053</v>
      </c>
      <c r="E1" s="2581"/>
      <c r="F1" s="2582" t="s">
        <v>2520</v>
      </c>
      <c r="G1" s="1629" t="s">
        <v>2521</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2" customFormat="1" ht="28.5" customHeight="1" thickTop="1">
      <c r="A2" s="1615" t="s">
        <v>1389</v>
      </c>
      <c r="B2" s="1416">
        <f>IF(C2="——",ROUND(C49*D3/10000,0),ROUND(C49*D3/10000,0)-D2)</f>
        <v>1368</v>
      </c>
      <c r="C2" s="2584" t="s">
        <v>70</v>
      </c>
      <c r="D2" s="1363" t="e">
        <f ca="1">SUMIF(INDIRECT("'"&amp;F2&amp;"'"&amp;"!A:A"),"承租人权益价值",INDIRECT("'"&amp;F2&amp;"'"&amp;"!c:c"))</f>
        <v>#REF!</v>
      </c>
      <c r="E2" s="2585" t="s">
        <v>2522</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1390</v>
      </c>
      <c r="B3" s="398">
        <f>IF(C2="——",C49,ROUND(B2*10000/D3,0))</f>
        <v>70333</v>
      </c>
      <c r="C3" s="399" t="s">
        <v>2523</v>
      </c>
      <c r="D3" s="398">
        <f>IF(D1="",'数据-汇总表'!E3,SUMIF('数据-汇总表'!$C19:$C33,D1,'数据-汇总表'!$E19:$E33))</f>
        <v>194.47</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80"/>
    </row>
    <row r="4" spans="1:29" ht="15">
      <c r="A4" s="400" t="s">
        <v>2524</v>
      </c>
      <c r="B4" s="401"/>
      <c r="C4" s="3255" t="s">
        <v>2525</v>
      </c>
      <c r="D4" s="3256"/>
      <c r="E4" s="3257" t="s">
        <v>2526</v>
      </c>
      <c r="F4" s="3258"/>
      <c r="G4" s="3255" t="s">
        <v>2527</v>
      </c>
      <c r="H4" s="3256"/>
      <c r="I4" s="3255" t="s">
        <v>2528</v>
      </c>
      <c r="J4" s="3256"/>
      <c r="K4" s="2594" t="s">
        <v>2529</v>
      </c>
      <c r="L4" s="1128"/>
      <c r="M4" s="1129"/>
      <c r="N4" s="1129"/>
      <c r="O4" s="1129"/>
      <c r="P4" s="3259" t="s">
        <v>2530</v>
      </c>
      <c r="Q4" s="3260"/>
      <c r="R4" s="3265" t="s">
        <v>2526</v>
      </c>
      <c r="S4" s="3266"/>
      <c r="T4" s="3265" t="s">
        <v>2527</v>
      </c>
      <c r="U4" s="3266"/>
      <c r="V4" s="3250" t="s">
        <v>2528</v>
      </c>
      <c r="W4" s="3250"/>
      <c r="X4" s="1811"/>
      <c r="Y4" s="3265" t="s">
        <v>2530</v>
      </c>
      <c r="Z4" s="3266"/>
      <c r="AA4" s="3252" t="s">
        <v>2526</v>
      </c>
      <c r="AB4" s="3252" t="s">
        <v>2527</v>
      </c>
      <c r="AC4" s="3252" t="s">
        <v>2528</v>
      </c>
    </row>
    <row r="5" spans="1:29" ht="15">
      <c r="A5" s="403"/>
      <c r="B5" s="404"/>
      <c r="C5" s="3296" t="s">
        <v>3057</v>
      </c>
      <c r="D5" s="3274"/>
      <c r="E5" s="3280" t="str">
        <f>C5</f>
        <v>银座</v>
      </c>
      <c r="F5" s="3281"/>
      <c r="G5" s="3273" t="str">
        <f>C5</f>
        <v>银座</v>
      </c>
      <c r="H5" s="3274"/>
      <c r="I5" s="3273" t="str">
        <f>C5</f>
        <v>银座</v>
      </c>
      <c r="J5" s="3274"/>
      <c r="K5" s="2595"/>
      <c r="L5" s="1128"/>
      <c r="M5" s="1129"/>
      <c r="N5" s="1129"/>
      <c r="O5" s="1129"/>
      <c r="P5" s="3261"/>
      <c r="Q5" s="3262"/>
      <c r="R5" s="3267"/>
      <c r="S5" s="3268"/>
      <c r="T5" s="3267"/>
      <c r="U5" s="3268"/>
      <c r="V5" s="3250"/>
      <c r="W5" s="3250"/>
      <c r="X5" s="1811"/>
      <c r="Y5" s="3267"/>
      <c r="Z5" s="3268"/>
      <c r="AA5" s="3253"/>
      <c r="AB5" s="3253"/>
      <c r="AC5" s="3253"/>
    </row>
    <row r="6" spans="1:29" ht="15.75" thickBot="1">
      <c r="A6" s="405"/>
      <c r="B6" s="406"/>
      <c r="C6" s="3271" t="s">
        <v>2535</v>
      </c>
      <c r="D6" s="3272"/>
      <c r="E6" s="3278" t="s">
        <v>2535</v>
      </c>
      <c r="F6" s="3279"/>
      <c r="G6" s="3271" t="s">
        <v>2535</v>
      </c>
      <c r="H6" s="3272"/>
      <c r="I6" s="3271" t="s">
        <v>2535</v>
      </c>
      <c r="J6" s="3272"/>
      <c r="K6" s="2595" t="s">
        <v>2536</v>
      </c>
      <c r="L6" s="1128"/>
      <c r="M6" s="1129"/>
      <c r="N6" s="1129"/>
      <c r="O6" s="1129"/>
      <c r="P6" s="3263"/>
      <c r="Q6" s="3264"/>
      <c r="R6" s="3267"/>
      <c r="S6" s="3268"/>
      <c r="T6" s="3269"/>
      <c r="U6" s="3270"/>
      <c r="V6" s="3250"/>
      <c r="W6" s="3250"/>
      <c r="X6" s="1811"/>
      <c r="Y6" s="3269"/>
      <c r="Z6" s="3270"/>
      <c r="AA6" s="3254"/>
      <c r="AB6" s="3254"/>
      <c r="AC6" s="3254"/>
    </row>
    <row r="7" spans="1:29" s="116" customFormat="1" ht="15.75" thickBot="1">
      <c r="A7" s="407" t="s">
        <v>2537</v>
      </c>
      <c r="B7" s="408"/>
      <c r="C7" s="409">
        <f>'数据-取费表'!B2</f>
        <v>43658</v>
      </c>
      <c r="D7" s="410">
        <v>100</v>
      </c>
      <c r="E7" s="411">
        <v>43632</v>
      </c>
      <c r="F7" s="412">
        <f>SUMIF(58:58,YEAR(E7)&amp;"-"&amp;MONTH(E7),59:59)</f>
        <v>100</v>
      </c>
      <c r="G7" s="411">
        <v>43628</v>
      </c>
      <c r="H7" s="410">
        <f>SUMIF(58:58,YEAR(G7)&amp;"-"&amp;MONTH(G7),59:59)</f>
        <v>100</v>
      </c>
      <c r="I7" s="411">
        <v>43576</v>
      </c>
      <c r="J7" s="410">
        <f>SUMIF(58:58,YEAR(I7)&amp;"-"&amp;MONTH(I7),59:59)</f>
        <v>100</v>
      </c>
      <c r="K7" s="2596"/>
      <c r="L7" s="1130"/>
      <c r="M7" s="1131"/>
      <c r="N7" s="1131"/>
      <c r="O7" s="1131"/>
      <c r="P7" s="3275" t="s">
        <v>2538</v>
      </c>
      <c r="Q7" s="3277"/>
      <c r="R7" s="768" t="s">
        <v>23</v>
      </c>
      <c r="S7" s="769">
        <f t="shared" ref="S7:S15" si="0">F7</f>
        <v>100</v>
      </c>
      <c r="T7" s="768" t="s">
        <v>23</v>
      </c>
      <c r="U7" s="769">
        <f t="shared" ref="U7:U15" si="1">H7</f>
        <v>100</v>
      </c>
      <c r="V7" s="768" t="s">
        <v>23</v>
      </c>
      <c r="W7" s="769">
        <f t="shared" ref="W7:W15" si="2">J7</f>
        <v>100</v>
      </c>
      <c r="X7" s="770"/>
      <c r="Y7" s="3275" t="s">
        <v>2538</v>
      </c>
      <c r="Z7" s="3276"/>
      <c r="AA7" s="771">
        <f>D7/F7</f>
        <v>1</v>
      </c>
      <c r="AB7" s="771">
        <f>D7/H7</f>
        <v>1</v>
      </c>
      <c r="AC7" s="771">
        <f>D7/J7</f>
        <v>1</v>
      </c>
    </row>
    <row r="8" spans="1:29" s="116" customFormat="1" ht="15.75" thickBot="1">
      <c r="A8" s="407" t="s">
        <v>2539</v>
      </c>
      <c r="B8" s="408"/>
      <c r="C8" s="413" t="s">
        <v>2540</v>
      </c>
      <c r="D8" s="410">
        <v>100</v>
      </c>
      <c r="E8" s="2597" t="s">
        <v>3058</v>
      </c>
      <c r="F8" s="412">
        <f>SUMIF(61:61,E8,62:62)-SUMIF(61:61,C8,62:62)+100</f>
        <v>100</v>
      </c>
      <c r="G8" s="413" t="s">
        <v>3058</v>
      </c>
      <c r="H8" s="410">
        <f>SUMIF(61:61,G8,62:62)-SUMIF(61:61,C8,62:62)+100</f>
        <v>100</v>
      </c>
      <c r="I8" s="2597" t="s">
        <v>3058</v>
      </c>
      <c r="J8" s="410">
        <f>SUMIF(61:61,I8,62:62)-SUMIF(61:61,C8,62:62)+100</f>
        <v>100</v>
      </c>
      <c r="K8" s="2596"/>
      <c r="L8" s="1130"/>
      <c r="M8" s="1131"/>
      <c r="N8" s="1131"/>
      <c r="O8" s="1131"/>
      <c r="P8" s="3275" t="s">
        <v>2541</v>
      </c>
      <c r="Q8" s="3276"/>
      <c r="R8" s="768" t="s">
        <v>23</v>
      </c>
      <c r="S8" s="769">
        <f t="shared" si="0"/>
        <v>100</v>
      </c>
      <c r="T8" s="768" t="s">
        <v>23</v>
      </c>
      <c r="U8" s="769">
        <f t="shared" si="1"/>
        <v>100</v>
      </c>
      <c r="V8" s="768" t="s">
        <v>23</v>
      </c>
      <c r="W8" s="769">
        <f t="shared" si="2"/>
        <v>100</v>
      </c>
      <c r="X8" s="770"/>
      <c r="Y8" s="3275" t="s">
        <v>2541</v>
      </c>
      <c r="Z8" s="3276"/>
      <c r="AA8" s="771">
        <f t="shared" ref="AA8:AA19" si="3">D8/F8</f>
        <v>1</v>
      </c>
      <c r="AB8" s="771">
        <f t="shared" ref="AB8:AB19" si="4">D8/H8</f>
        <v>1</v>
      </c>
      <c r="AC8" s="771">
        <f t="shared" ref="AC8:AC19" si="5">D8/J8</f>
        <v>1</v>
      </c>
    </row>
    <row r="9" spans="1:29" s="116" customFormat="1">
      <c r="A9" s="414" t="s">
        <v>2542</v>
      </c>
      <c r="B9" s="70" t="s">
        <v>2543</v>
      </c>
      <c r="C9" s="2969" t="s">
        <v>3060</v>
      </c>
      <c r="D9" s="134">
        <v>100</v>
      </c>
      <c r="E9" s="416" t="s">
        <v>3059</v>
      </c>
      <c r="F9" s="417">
        <f>SUMIF(63:63,E9,64:64)-SUMIF(63:63,C9,64:64)+100</f>
        <v>100</v>
      </c>
      <c r="G9" s="418" t="s">
        <v>3059</v>
      </c>
      <c r="H9" s="134">
        <f>SUMIF(63:63,G9,64:64)-SUMIF(63:63,C9,64:64)+100</f>
        <v>100</v>
      </c>
      <c r="I9" s="418" t="s">
        <v>3059</v>
      </c>
      <c r="J9" s="134">
        <f>SUMIF(63:63,I9,64:64)-SUMIF(63:63,C9,64:64)+100</f>
        <v>100</v>
      </c>
      <c r="K9" s="2596"/>
      <c r="L9" s="1130"/>
      <c r="M9" s="1131"/>
      <c r="N9" s="1131"/>
      <c r="O9" s="1131"/>
      <c r="P9" s="3251" t="s">
        <v>2544</v>
      </c>
      <c r="Q9" s="1793" t="str">
        <f t="shared" ref="Q9:Q15" si="6">B9</f>
        <v>用途</v>
      </c>
      <c r="R9" s="768" t="s">
        <v>17</v>
      </c>
      <c r="S9" s="769">
        <f t="shared" si="0"/>
        <v>100</v>
      </c>
      <c r="T9" s="768" t="s">
        <v>17</v>
      </c>
      <c r="U9" s="769">
        <f t="shared" si="1"/>
        <v>100</v>
      </c>
      <c r="V9" s="768" t="s">
        <v>17</v>
      </c>
      <c r="W9" s="769">
        <f t="shared" si="2"/>
        <v>100</v>
      </c>
      <c r="X9" s="770"/>
      <c r="Y9" s="3067" t="s">
        <v>2545</v>
      </c>
      <c r="Z9" s="54" t="str">
        <f t="shared" ref="Z9:Z15" si="7">Q9</f>
        <v>用途</v>
      </c>
      <c r="AA9" s="771">
        <f t="shared" si="3"/>
        <v>1</v>
      </c>
      <c r="AB9" s="771">
        <f t="shared" si="4"/>
        <v>1</v>
      </c>
      <c r="AC9" s="771">
        <f t="shared" si="5"/>
        <v>1</v>
      </c>
    </row>
    <row r="10" spans="1:29" s="426" customFormat="1" ht="27">
      <c r="A10" s="420"/>
      <c r="B10" s="421" t="s">
        <v>2546</v>
      </c>
      <c r="C10" s="422" t="s">
        <v>3164</v>
      </c>
      <c r="D10" s="135">
        <v>100</v>
      </c>
      <c r="E10" s="422" t="s">
        <v>3164</v>
      </c>
      <c r="F10" s="424">
        <f>SUMIF(65:65,E10,66:66)-SUMIF(65:65,C10,66:66)+100</f>
        <v>100</v>
      </c>
      <c r="G10" s="422" t="s">
        <v>3164</v>
      </c>
      <c r="H10" s="135">
        <f>SUMIF(65:65,G10,66:66)-SUMIF(65:65,C10,66:66)+100</f>
        <v>100</v>
      </c>
      <c r="I10" s="422" t="s">
        <v>3164</v>
      </c>
      <c r="J10" s="135">
        <f>SUMIF(65:65,I10,66:66)-SUMIF(65:65,C10,66:66)+100</f>
        <v>100</v>
      </c>
      <c r="K10" s="425">
        <v>1</v>
      </c>
      <c r="L10" s="1133"/>
      <c r="M10" s="1134"/>
      <c r="N10" s="1134"/>
      <c r="O10" s="1134"/>
      <c r="P10" s="3251"/>
      <c r="Q10" s="1793" t="str">
        <f t="shared" si="6"/>
        <v>土地使用年限（年）</v>
      </c>
      <c r="R10" s="768" t="s">
        <v>17</v>
      </c>
      <c r="S10" s="769">
        <f t="shared" si="0"/>
        <v>100</v>
      </c>
      <c r="T10" s="768" t="s">
        <v>17</v>
      </c>
      <c r="U10" s="769">
        <f t="shared" si="1"/>
        <v>100</v>
      </c>
      <c r="V10" s="768" t="s">
        <v>17</v>
      </c>
      <c r="W10" s="769">
        <f t="shared" si="2"/>
        <v>100</v>
      </c>
      <c r="X10" s="770"/>
      <c r="Y10" s="3067"/>
      <c r="Z10" s="54" t="str">
        <f t="shared" si="7"/>
        <v>土地使用年限（年）</v>
      </c>
      <c r="AA10" s="771">
        <f t="shared" si="3"/>
        <v>1</v>
      </c>
      <c r="AB10" s="771">
        <f t="shared" si="4"/>
        <v>1</v>
      </c>
      <c r="AC10" s="771">
        <f t="shared" si="5"/>
        <v>1</v>
      </c>
    </row>
    <row r="11" spans="1:29" ht="15">
      <c r="A11" s="427"/>
      <c r="B11" s="421" t="s">
        <v>2547</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425">
        <v>1</v>
      </c>
      <c r="L11" s="1136"/>
      <c r="M11" s="1129"/>
      <c r="N11" s="1129"/>
      <c r="O11" s="1129"/>
      <c r="P11" s="3251"/>
      <c r="Q11" s="1793" t="str">
        <f t="shared" si="6"/>
        <v>容积率</v>
      </c>
      <c r="R11" s="768" t="s">
        <v>21</v>
      </c>
      <c r="S11" s="769">
        <f t="shared" si="0"/>
        <v>100</v>
      </c>
      <c r="T11" s="768" t="s">
        <v>21</v>
      </c>
      <c r="U11" s="769">
        <f t="shared" si="1"/>
        <v>100</v>
      </c>
      <c r="V11" s="768" t="s">
        <v>21</v>
      </c>
      <c r="W11" s="769">
        <f t="shared" si="2"/>
        <v>100</v>
      </c>
      <c r="X11" s="770"/>
      <c r="Y11" s="3067"/>
      <c r="Z11" s="54" t="str">
        <f t="shared" si="7"/>
        <v>容积率</v>
      </c>
      <c r="AA11" s="771">
        <f t="shared" si="3"/>
        <v>1</v>
      </c>
      <c r="AB11" s="771">
        <f t="shared" si="4"/>
        <v>1</v>
      </c>
      <c r="AC11" s="771">
        <f t="shared" si="5"/>
        <v>1</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0"/>
      <c r="M12" s="1131"/>
      <c r="N12" s="1131"/>
      <c r="O12" s="1131"/>
      <c r="P12" s="3251"/>
      <c r="Q12" s="1793">
        <f t="shared" si="6"/>
        <v>111</v>
      </c>
      <c r="R12" s="768" t="s">
        <v>21</v>
      </c>
      <c r="S12" s="769">
        <f t="shared" si="0"/>
        <v>100</v>
      </c>
      <c r="T12" s="768" t="s">
        <v>21</v>
      </c>
      <c r="U12" s="769">
        <f t="shared" si="1"/>
        <v>100</v>
      </c>
      <c r="V12" s="768" t="s">
        <v>21</v>
      </c>
      <c r="W12" s="769">
        <f t="shared" si="2"/>
        <v>100</v>
      </c>
      <c r="X12" s="770"/>
      <c r="Y12" s="3067"/>
      <c r="Z12" s="54">
        <f t="shared" si="7"/>
        <v>111</v>
      </c>
      <c r="AA12" s="771">
        <f>D12/F12</f>
        <v>1</v>
      </c>
      <c r="AB12" s="771">
        <f>D12/H12</f>
        <v>1</v>
      </c>
      <c r="AC12" s="771">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8"/>
      <c r="M13" s="1129"/>
      <c r="N13" s="1129"/>
      <c r="O13" s="1129"/>
      <c r="P13" s="3251"/>
      <c r="Q13" s="1793">
        <f t="shared" si="6"/>
        <v>111</v>
      </c>
      <c r="R13" s="768" t="s">
        <v>21</v>
      </c>
      <c r="S13" s="769">
        <f t="shared" si="0"/>
        <v>100</v>
      </c>
      <c r="T13" s="768" t="s">
        <v>21</v>
      </c>
      <c r="U13" s="769">
        <f t="shared" si="1"/>
        <v>100</v>
      </c>
      <c r="V13" s="768" t="s">
        <v>21</v>
      </c>
      <c r="W13" s="769">
        <f t="shared" si="2"/>
        <v>100</v>
      </c>
      <c r="X13" s="770"/>
      <c r="Y13" s="3067"/>
      <c r="Z13" s="54">
        <f t="shared" si="7"/>
        <v>111</v>
      </c>
      <c r="AA13" s="771">
        <f t="shared" si="3"/>
        <v>1</v>
      </c>
      <c r="AB13" s="771">
        <f t="shared" si="4"/>
        <v>1</v>
      </c>
      <c r="AC13" s="771">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8"/>
      <c r="M14" s="1129"/>
      <c r="N14" s="1129"/>
      <c r="O14" s="1129"/>
      <c r="P14" s="3251"/>
      <c r="Q14" s="1793">
        <f t="shared" si="6"/>
        <v>111</v>
      </c>
      <c r="R14" s="768" t="s">
        <v>21</v>
      </c>
      <c r="S14" s="769">
        <f t="shared" si="0"/>
        <v>100</v>
      </c>
      <c r="T14" s="768" t="s">
        <v>21</v>
      </c>
      <c r="U14" s="769">
        <f t="shared" si="1"/>
        <v>100</v>
      </c>
      <c r="V14" s="768" t="s">
        <v>21</v>
      </c>
      <c r="W14" s="769">
        <f t="shared" si="2"/>
        <v>100</v>
      </c>
      <c r="X14" s="770"/>
      <c r="Y14" s="3067"/>
      <c r="Z14" s="54">
        <f t="shared" si="7"/>
        <v>111</v>
      </c>
      <c r="AA14" s="771">
        <f t="shared" si="3"/>
        <v>1</v>
      </c>
      <c r="AB14" s="771">
        <f t="shared" si="4"/>
        <v>1</v>
      </c>
      <c r="AC14" s="771">
        <f t="shared" si="5"/>
        <v>1</v>
      </c>
    </row>
    <row r="15" spans="1:29" ht="156.75">
      <c r="A15" s="439" t="s">
        <v>2548</v>
      </c>
      <c r="B15" s="68" t="s">
        <v>2077</v>
      </c>
      <c r="C15" s="2601" t="str">
        <f>估价对象房地状况!C3</f>
        <v>价对象周边有十字坡西里、民安小区、万国城MOMA等住宅成熟小区，居住用地比例较好，居住小区规模和社区发展完善程度较高，综合评价居住社区成熟度较好。</v>
      </c>
      <c r="D15" s="440">
        <v>100</v>
      </c>
      <c r="E15" s="2999" t="s">
        <v>3171</v>
      </c>
      <c r="F15" s="440">
        <f>SUMIF(76:76,E16,77:77)-SUMIF(76:76,C16,77:77)+100</f>
        <v>100</v>
      </c>
      <c r="G15" s="3000" t="s">
        <v>3171</v>
      </c>
      <c r="H15" s="440">
        <f>SUMIF(76:76,G16,77:77)-SUMIF(76:76,C16,77:77)+100</f>
        <v>100</v>
      </c>
      <c r="I15" s="3000" t="s">
        <v>3171</v>
      </c>
      <c r="J15" s="440">
        <f>SUMIF(76:76,I16,77:77)-SUMIF(76:76,C16,77:77)+100</f>
        <v>100</v>
      </c>
      <c r="K15" s="444">
        <v>2</v>
      </c>
      <c r="L15" s="1138"/>
      <c r="M15" s="1129"/>
      <c r="N15" s="1129"/>
      <c r="O15" s="1129"/>
      <c r="P15" s="3241" t="s">
        <v>2549</v>
      </c>
      <c r="Q15" s="1808" t="str">
        <f t="shared" si="6"/>
        <v>居住社区成熟度</v>
      </c>
      <c r="R15" s="772" t="s">
        <v>21</v>
      </c>
      <c r="S15" s="773">
        <f t="shared" si="0"/>
        <v>100</v>
      </c>
      <c r="T15" s="772" t="s">
        <v>21</v>
      </c>
      <c r="U15" s="773">
        <f t="shared" si="1"/>
        <v>100</v>
      </c>
      <c r="V15" s="772" t="s">
        <v>21</v>
      </c>
      <c r="W15" s="773">
        <f t="shared" si="2"/>
        <v>100</v>
      </c>
      <c r="X15" s="1811"/>
      <c r="Y15" s="3243" t="s">
        <v>2549</v>
      </c>
      <c r="Z15" s="1812" t="str">
        <f t="shared" si="7"/>
        <v>居住社区成熟度</v>
      </c>
      <c r="AA15" s="1809">
        <f t="shared" si="3"/>
        <v>1</v>
      </c>
      <c r="AB15" s="1809">
        <f t="shared" si="4"/>
        <v>1</v>
      </c>
      <c r="AC15" s="1809">
        <f t="shared" si="5"/>
        <v>1</v>
      </c>
    </row>
    <row r="16" spans="1:29" ht="15">
      <c r="A16" s="427"/>
      <c r="B16" s="445"/>
      <c r="C16" s="446" t="s">
        <v>3112</v>
      </c>
      <c r="D16" s="447"/>
      <c r="E16" s="446" t="s">
        <v>3112</v>
      </c>
      <c r="F16" s="447"/>
      <c r="G16" s="446" t="s">
        <v>3112</v>
      </c>
      <c r="H16" s="449"/>
      <c r="I16" s="446" t="s">
        <v>3112</v>
      </c>
      <c r="J16" s="447"/>
      <c r="K16" s="2604"/>
      <c r="L16" s="1138"/>
      <c r="M16" s="1129"/>
      <c r="N16" s="1129"/>
      <c r="O16" s="1129"/>
      <c r="P16" s="3242"/>
      <c r="Q16" s="1808"/>
      <c r="R16" s="772"/>
      <c r="S16" s="773"/>
      <c r="T16" s="772"/>
      <c r="U16" s="773"/>
      <c r="V16" s="772"/>
      <c r="W16" s="773"/>
      <c r="X16" s="1811"/>
      <c r="Y16" s="3244"/>
      <c r="Z16" s="1812"/>
      <c r="AA16" s="1809">
        <v>1</v>
      </c>
      <c r="AB16" s="1809">
        <v>1</v>
      </c>
      <c r="AC16" s="1809">
        <v>1</v>
      </c>
    </row>
    <row r="17" spans="1:29" ht="213.75">
      <c r="A17" s="427"/>
      <c r="B17" s="450" t="s">
        <v>2086</v>
      </c>
      <c r="C17" s="2605"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3" t="s">
        <v>3172</v>
      </c>
      <c r="F17" s="449">
        <f>SUMIF(78:78,E18,79:79)-SUMIF(78:78,C18,79:79)+100</f>
        <v>100</v>
      </c>
      <c r="G17" s="451" t="s">
        <v>3173</v>
      </c>
      <c r="H17" s="454">
        <f>SUMIF(78:78,G18,79:79)-SUMIF(78:78,C18,79:79)+100</f>
        <v>100</v>
      </c>
      <c r="I17" s="451" t="s">
        <v>3173</v>
      </c>
      <c r="J17" s="454">
        <f>SUMIF(78:78,I18,79:79)-SUMIF(78:78,C18,79:79)+100</f>
        <v>100</v>
      </c>
      <c r="K17" s="444">
        <v>2</v>
      </c>
      <c r="L17" s="1138"/>
      <c r="M17" s="1129"/>
      <c r="N17" s="1129"/>
      <c r="O17" s="1129"/>
      <c r="P17" s="3242"/>
      <c r="Q17" s="1808" t="str">
        <f>B17</f>
        <v>交通便捷度</v>
      </c>
      <c r="R17" s="772" t="s">
        <v>21</v>
      </c>
      <c r="S17" s="773">
        <f>F17</f>
        <v>100</v>
      </c>
      <c r="T17" s="772" t="s">
        <v>21</v>
      </c>
      <c r="U17" s="773">
        <f>H17</f>
        <v>100</v>
      </c>
      <c r="V17" s="772" t="s">
        <v>21</v>
      </c>
      <c r="W17" s="773">
        <f>J17</f>
        <v>100</v>
      </c>
      <c r="X17" s="1811"/>
      <c r="Y17" s="3244"/>
      <c r="Z17" s="1812" t="str">
        <f>Q17</f>
        <v>交通便捷度</v>
      </c>
      <c r="AA17" s="1809">
        <f t="shared" si="3"/>
        <v>1</v>
      </c>
      <c r="AB17" s="1809">
        <f t="shared" si="4"/>
        <v>1</v>
      </c>
      <c r="AC17" s="1809">
        <f t="shared" si="5"/>
        <v>1</v>
      </c>
    </row>
    <row r="18" spans="1:29" ht="15">
      <c r="A18" s="427"/>
      <c r="B18" s="455"/>
      <c r="C18" s="2606" t="s">
        <v>3112</v>
      </c>
      <c r="D18" s="449"/>
      <c r="E18" s="2606" t="s">
        <v>3112</v>
      </c>
      <c r="F18" s="449"/>
      <c r="G18" s="2606" t="s">
        <v>3112</v>
      </c>
      <c r="H18" s="447"/>
      <c r="I18" s="2606" t="s">
        <v>3112</v>
      </c>
      <c r="J18" s="447"/>
      <c r="K18" s="2604"/>
      <c r="L18" s="1138"/>
      <c r="M18" s="1129"/>
      <c r="N18" s="1129"/>
      <c r="O18" s="1129"/>
      <c r="P18" s="3242"/>
      <c r="Q18" s="1808"/>
      <c r="R18" s="772"/>
      <c r="S18" s="773"/>
      <c r="T18" s="772"/>
      <c r="U18" s="773"/>
      <c r="V18" s="772"/>
      <c r="W18" s="773"/>
      <c r="X18" s="1811"/>
      <c r="Y18" s="3244"/>
      <c r="Z18" s="1812"/>
      <c r="AA18" s="1809">
        <v>1</v>
      </c>
      <c r="AB18" s="1809">
        <v>1</v>
      </c>
      <c r="AC18" s="1809">
        <v>1</v>
      </c>
    </row>
    <row r="19" spans="1:29" ht="114">
      <c r="A19" s="427"/>
      <c r="B19" s="450" t="s">
        <v>2084</v>
      </c>
      <c r="C19" s="2605" t="str">
        <f>估价对象房地状况!C7</f>
        <v>区域内有新中街幼儿园、西中街小学、东直门中学、北京中医药大学东直门医院、招商银行、华联超市等，公共服务设施较完善</v>
      </c>
      <c r="D19" s="454">
        <v>100</v>
      </c>
      <c r="E19" s="3001" t="s">
        <v>3174</v>
      </c>
      <c r="F19" s="454">
        <f>SUMIF(80:80,E20,81:81)-SUMIF(80:80,C20,81:81)+100</f>
        <v>100</v>
      </c>
      <c r="G19" s="3002" t="s">
        <v>3174</v>
      </c>
      <c r="H19" s="449">
        <f>SUMIF(80:80,G20,81:81)-SUMIF(80:80,C20,81:81)+100</f>
        <v>100</v>
      </c>
      <c r="I19" s="3002" t="s">
        <v>3174</v>
      </c>
      <c r="J19" s="449">
        <f>SUMIF(80:80,I20,81:81)-SUMIF(80:80,C20,81:81)+100</f>
        <v>100</v>
      </c>
      <c r="K19" s="444">
        <v>2</v>
      </c>
      <c r="L19" s="1138"/>
      <c r="M19" s="1129"/>
      <c r="N19" s="1129"/>
      <c r="O19" s="1129"/>
      <c r="P19" s="3242"/>
      <c r="Q19" s="1808" t="str">
        <f>B19</f>
        <v>公共配套设施</v>
      </c>
      <c r="R19" s="772" t="s">
        <v>21</v>
      </c>
      <c r="S19" s="773">
        <f>F19</f>
        <v>100</v>
      </c>
      <c r="T19" s="772" t="s">
        <v>21</v>
      </c>
      <c r="U19" s="773">
        <f>H19</f>
        <v>100</v>
      </c>
      <c r="V19" s="772" t="s">
        <v>21</v>
      </c>
      <c r="W19" s="773">
        <f>J19</f>
        <v>100</v>
      </c>
      <c r="X19" s="1811"/>
      <c r="Y19" s="3244"/>
      <c r="Z19" s="1812" t="str">
        <f>Q19</f>
        <v>公共配套设施</v>
      </c>
      <c r="AA19" s="1809">
        <f t="shared" si="3"/>
        <v>1</v>
      </c>
      <c r="AB19" s="1809">
        <f t="shared" si="4"/>
        <v>1</v>
      </c>
      <c r="AC19" s="1809">
        <f t="shared" si="5"/>
        <v>1</v>
      </c>
    </row>
    <row r="20" spans="1:29" ht="15">
      <c r="A20" s="427"/>
      <c r="B20" s="455"/>
      <c r="C20" s="446" t="s">
        <v>3112</v>
      </c>
      <c r="D20" s="447"/>
      <c r="E20" s="446" t="s">
        <v>3112</v>
      </c>
      <c r="F20" s="447"/>
      <c r="G20" s="446" t="s">
        <v>3112</v>
      </c>
      <c r="H20" s="447"/>
      <c r="I20" s="446" t="s">
        <v>3112</v>
      </c>
      <c r="J20" s="447"/>
      <c r="K20" s="2604"/>
      <c r="L20" s="1138"/>
      <c r="M20" s="1129"/>
      <c r="N20" s="1129"/>
      <c r="O20" s="1129"/>
      <c r="P20" s="3242"/>
      <c r="Q20" s="1808"/>
      <c r="R20" s="772"/>
      <c r="S20" s="773"/>
      <c r="T20" s="772"/>
      <c r="U20" s="773"/>
      <c r="V20" s="772"/>
      <c r="W20" s="773"/>
      <c r="X20" s="1811"/>
      <c r="Y20" s="3244"/>
      <c r="Z20" s="1812"/>
      <c r="AA20" s="1809">
        <v>1</v>
      </c>
      <c r="AB20" s="1809">
        <v>1</v>
      </c>
      <c r="AC20" s="1809">
        <v>1</v>
      </c>
    </row>
    <row r="21" spans="1:29" ht="71.25">
      <c r="A21" s="427"/>
      <c r="B21" s="1382" t="s">
        <v>2087</v>
      </c>
      <c r="C21" s="2605" t="str">
        <f>估价对象房地状况!C8</f>
        <v>估价对象所在区域红线内外七通，市政供暖，基础设施水平好。</v>
      </c>
      <c r="D21" s="449">
        <v>100</v>
      </c>
      <c r="E21" s="3001" t="s">
        <v>3175</v>
      </c>
      <c r="F21" s="454">
        <f>SUMIF(82:82,E22,83:83)-SUMIF(82:82,C22,83:83)+100</f>
        <v>100</v>
      </c>
      <c r="G21" s="3002" t="s">
        <v>3175</v>
      </c>
      <c r="H21" s="449">
        <f>SUMIF(82:82,G22,83:83)-SUMIF(82:82,C22,83:83)+100</f>
        <v>100</v>
      </c>
      <c r="I21" s="3002" t="s">
        <v>3175</v>
      </c>
      <c r="J21" s="449">
        <f>SUMIF(82:82,I22,83:83)-SUMIF(82:82,C22,83:83)+100</f>
        <v>100</v>
      </c>
      <c r="K21" s="444">
        <v>1</v>
      </c>
      <c r="L21" s="1138"/>
      <c r="M21" s="1129"/>
      <c r="N21" s="1129"/>
      <c r="O21" s="1129"/>
      <c r="P21" s="3242"/>
      <c r="Q21" s="1808" t="str">
        <f>B21</f>
        <v>基础设施水平</v>
      </c>
      <c r="R21" s="772" t="s">
        <v>17</v>
      </c>
      <c r="S21" s="773">
        <f>F21</f>
        <v>100</v>
      </c>
      <c r="T21" s="772" t="s">
        <v>17</v>
      </c>
      <c r="U21" s="773">
        <f>H21</f>
        <v>100</v>
      </c>
      <c r="V21" s="772" t="s">
        <v>17</v>
      </c>
      <c r="W21" s="773">
        <f>J21</f>
        <v>100</v>
      </c>
      <c r="X21" s="1811"/>
      <c r="Y21" s="3244"/>
      <c r="Z21" s="1812" t="str">
        <f>Q21</f>
        <v>基础设施水平</v>
      </c>
      <c r="AA21" s="1809">
        <f t="shared" ref="AA21" si="8">D21/F21</f>
        <v>1</v>
      </c>
      <c r="AB21" s="1809">
        <f t="shared" ref="AB21" si="9">D21/H21</f>
        <v>1</v>
      </c>
      <c r="AC21" s="1809">
        <f t="shared" ref="AC21" si="10">D21/J21</f>
        <v>1</v>
      </c>
    </row>
    <row r="22" spans="1:29" ht="15">
      <c r="A22" s="427"/>
      <c r="B22" s="1382"/>
      <c r="C22" s="2606" t="s">
        <v>3176</v>
      </c>
      <c r="D22" s="447"/>
      <c r="E22" s="2606" t="s">
        <v>3176</v>
      </c>
      <c r="F22" s="447"/>
      <c r="G22" s="2606" t="s">
        <v>3176</v>
      </c>
      <c r="H22" s="447"/>
      <c r="I22" s="2606" t="s">
        <v>3176</v>
      </c>
      <c r="J22" s="447"/>
      <c r="K22" s="2610"/>
      <c r="L22" s="1138"/>
      <c r="M22" s="1129"/>
      <c r="N22" s="1129"/>
      <c r="O22" s="1129"/>
      <c r="P22" s="3242"/>
      <c r="Q22" s="1808"/>
      <c r="R22" s="772"/>
      <c r="S22" s="773"/>
      <c r="T22" s="772"/>
      <c r="U22" s="773"/>
      <c r="V22" s="772"/>
      <c r="W22" s="773"/>
      <c r="X22" s="1811"/>
      <c r="Y22" s="3244"/>
      <c r="Z22" s="1812"/>
      <c r="AA22" s="1809">
        <v>1</v>
      </c>
      <c r="AB22" s="1809">
        <v>1</v>
      </c>
      <c r="AC22" s="1809">
        <v>1</v>
      </c>
    </row>
    <row r="23" spans="1:29" ht="156.75">
      <c r="A23" s="427"/>
      <c r="B23" s="450" t="s">
        <v>2091</v>
      </c>
      <c r="C23" s="2605" t="str">
        <f>估价对象房地状况!C9</f>
        <v>区域内有新中街城市森林公园等，街道整洁，相邻路段无污染源，自然环境较好；区域内有保利剧院、中国医史博物馆等，人文环境较较好；综合评价环境状况较好。</v>
      </c>
      <c r="D23" s="449">
        <v>100</v>
      </c>
      <c r="E23" s="3003" t="s">
        <v>3177</v>
      </c>
      <c r="F23" s="449">
        <f>SUMIF(84:84,E24,85:85)-SUMIF(84:84,C24,85:85)+100</f>
        <v>100</v>
      </c>
      <c r="G23" s="3004" t="s">
        <v>3177</v>
      </c>
      <c r="H23" s="449">
        <f>SUMIF(84:84,G24,85:85)-SUMIF(84:84,C24,85:85)+100</f>
        <v>100</v>
      </c>
      <c r="I23" s="3004" t="s">
        <v>3177</v>
      </c>
      <c r="J23" s="449">
        <f>SUMIF(84:84,I24,85:85)-SUMIF(84:84,C24,85:85)+100</f>
        <v>100</v>
      </c>
      <c r="K23" s="444">
        <v>2</v>
      </c>
      <c r="L23" s="1138"/>
      <c r="M23" s="1129"/>
      <c r="N23" s="1129"/>
      <c r="O23" s="1129"/>
      <c r="P23" s="3242"/>
      <c r="Q23" s="1808" t="str">
        <f>B23</f>
        <v>自然及人文环境</v>
      </c>
      <c r="R23" s="772" t="s">
        <v>21</v>
      </c>
      <c r="S23" s="773">
        <f>F23</f>
        <v>100</v>
      </c>
      <c r="T23" s="772" t="s">
        <v>21</v>
      </c>
      <c r="U23" s="773">
        <f>H23</f>
        <v>100</v>
      </c>
      <c r="V23" s="772" t="s">
        <v>21</v>
      </c>
      <c r="W23" s="773">
        <f>J23</f>
        <v>100</v>
      </c>
      <c r="X23" s="1811"/>
      <c r="Y23" s="3244"/>
      <c r="Z23" s="1812" t="str">
        <f>Q23</f>
        <v>自然及人文环境</v>
      </c>
      <c r="AA23" s="1809">
        <f>D23/F23</f>
        <v>1</v>
      </c>
      <c r="AB23" s="1809">
        <f>D23/H23</f>
        <v>1</v>
      </c>
      <c r="AC23" s="1809">
        <f>D23/J23</f>
        <v>1</v>
      </c>
    </row>
    <row r="24" spans="1:29" ht="15">
      <c r="A24" s="427"/>
      <c r="B24" s="455"/>
      <c r="C24" s="446" t="s">
        <v>3112</v>
      </c>
      <c r="D24" s="447"/>
      <c r="E24" s="446" t="s">
        <v>3112</v>
      </c>
      <c r="F24" s="447"/>
      <c r="G24" s="446" t="s">
        <v>3112</v>
      </c>
      <c r="H24" s="447"/>
      <c r="I24" s="446" t="s">
        <v>3112</v>
      </c>
      <c r="J24" s="447"/>
      <c r="K24" s="2604"/>
      <c r="L24" s="1138"/>
      <c r="M24" s="1129"/>
      <c r="N24" s="1129"/>
      <c r="O24" s="1129"/>
      <c r="P24" s="3242"/>
      <c r="Q24" s="1808"/>
      <c r="R24" s="772"/>
      <c r="S24" s="773"/>
      <c r="T24" s="772"/>
      <c r="U24" s="773"/>
      <c r="V24" s="772"/>
      <c r="W24" s="773"/>
      <c r="X24" s="1811"/>
      <c r="Y24" s="3244"/>
      <c r="Z24" s="1812"/>
      <c r="AA24" s="1809">
        <v>1</v>
      </c>
      <c r="AB24" s="1809">
        <v>1</v>
      </c>
      <c r="AC24" s="1809">
        <v>1</v>
      </c>
    </row>
    <row r="25" spans="1:29" ht="15">
      <c r="A25" s="427"/>
      <c r="B25" s="421" t="s">
        <v>2550</v>
      </c>
      <c r="C25" s="459"/>
      <c r="D25" s="434">
        <v>100</v>
      </c>
      <c r="E25" s="2611"/>
      <c r="F25" s="434">
        <f>SUMIF(86:86,E25,87:87)-SUMIF(86:86,C25,87:87)+100</f>
        <v>100</v>
      </c>
      <c r="G25" s="2612"/>
      <c r="H25" s="434">
        <f>SUMIF(86:86,G25,87:87)-SUMIF(86:86,C25,87:87)+100</f>
        <v>100</v>
      </c>
      <c r="I25" s="2612"/>
      <c r="J25" s="434">
        <f>SUMIF(86:86,I25,87:87)-SUMIF(86:86,C25,87:87)+100</f>
        <v>100</v>
      </c>
      <c r="K25" s="425"/>
      <c r="L25" s="1138"/>
      <c r="M25" s="1129"/>
      <c r="N25" s="1129"/>
      <c r="O25" s="1129"/>
      <c r="P25" s="3242"/>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44"/>
      <c r="Z25" s="1812" t="str">
        <f>Q25</f>
        <v>楼层-1</v>
      </c>
      <c r="AA25" s="1809">
        <f t="shared" ref="AA25:AA46" si="15">D25/F25</f>
        <v>1</v>
      </c>
      <c r="AB25" s="1809">
        <f t="shared" ref="AB25:AB46" si="16">D25/H25</f>
        <v>1</v>
      </c>
      <c r="AC25" s="1809">
        <f t="shared" ref="AC25:AC46" si="17">D25/J25</f>
        <v>1</v>
      </c>
    </row>
    <row r="26" spans="1:29" ht="15.75" thickBot="1">
      <c r="A26" s="427"/>
      <c r="B26" s="421" t="s">
        <v>2551</v>
      </c>
      <c r="C26" s="459"/>
      <c r="D26" s="434">
        <v>100</v>
      </c>
      <c r="E26" s="2611"/>
      <c r="F26" s="434">
        <f>SUMIF(88:88,E26,89:89)-SUMIF(88:88,C26,89:89)+100</f>
        <v>100</v>
      </c>
      <c r="G26" s="2612"/>
      <c r="H26" s="434">
        <f>SUMIF(88:88,G26,89:89)-SUMIF(88:88,C26,89:89)+100</f>
        <v>100</v>
      </c>
      <c r="I26" s="2612"/>
      <c r="J26" s="434">
        <f>SUMIF(88:88,I26,89:89)-SUMIF(88:88,C26,89:89)+100</f>
        <v>100</v>
      </c>
      <c r="K26" s="425">
        <v>2</v>
      </c>
      <c r="L26" s="1138"/>
      <c r="M26" s="1129"/>
      <c r="N26" s="1129"/>
      <c r="O26" s="1129"/>
      <c r="P26" s="3242"/>
      <c r="Q26" s="1808" t="str">
        <f t="shared" si="11"/>
        <v>朝向</v>
      </c>
      <c r="R26" s="772" t="s">
        <v>21</v>
      </c>
      <c r="S26" s="773">
        <f t="shared" si="12"/>
        <v>100</v>
      </c>
      <c r="T26" s="772" t="s">
        <v>21</v>
      </c>
      <c r="U26" s="773">
        <f t="shared" si="13"/>
        <v>100</v>
      </c>
      <c r="V26" s="772" t="s">
        <v>21</v>
      </c>
      <c r="W26" s="773">
        <f t="shared" si="14"/>
        <v>100</v>
      </c>
      <c r="X26" s="1811"/>
      <c r="Y26" s="3244"/>
      <c r="Z26" s="1812" t="str">
        <f>Q26</f>
        <v>朝向</v>
      </c>
      <c r="AA26" s="1809">
        <f t="shared" si="15"/>
        <v>1</v>
      </c>
      <c r="AB26" s="1809">
        <f t="shared" si="16"/>
        <v>1</v>
      </c>
      <c r="AC26" s="1809">
        <f t="shared" si="17"/>
        <v>1</v>
      </c>
    </row>
    <row r="27" spans="1:29" s="116" customFormat="1" ht="15.75" thickTop="1">
      <c r="A27" s="430"/>
      <c r="B27" s="2994" t="s">
        <v>3185</v>
      </c>
      <c r="C27" s="2970" t="s">
        <v>3167</v>
      </c>
      <c r="D27" s="461">
        <v>100</v>
      </c>
      <c r="E27" s="2970" t="s">
        <v>3167</v>
      </c>
      <c r="F27" s="461">
        <f>SUMIF(90:90,E27,91:91)-SUMIF(90:90,C27,91:91)+100</f>
        <v>100</v>
      </c>
      <c r="G27" s="2970" t="s">
        <v>3167</v>
      </c>
      <c r="H27" s="461">
        <f>SUMIF(90:90,G27,91:91)-SUMIF(90:90,C27,91:91)+100</f>
        <v>100</v>
      </c>
      <c r="I27" s="2970" t="s">
        <v>3167</v>
      </c>
      <c r="J27" s="461">
        <f>SUMIF(90:90,I27,91:91)-SUMIF(90:90,C27,91:91)+100</f>
        <v>100</v>
      </c>
      <c r="K27" s="2599"/>
      <c r="L27" s="1130"/>
      <c r="M27" s="1131"/>
      <c r="N27" s="1131"/>
      <c r="O27" s="1131"/>
      <c r="P27" s="3242"/>
      <c r="Q27" s="1793" t="str">
        <f t="shared" si="11"/>
        <v>道路级别</v>
      </c>
      <c r="R27" s="768" t="s">
        <v>21</v>
      </c>
      <c r="S27" s="769">
        <f t="shared" si="12"/>
        <v>100</v>
      </c>
      <c r="T27" s="768" t="s">
        <v>21</v>
      </c>
      <c r="U27" s="769">
        <f t="shared" si="13"/>
        <v>100</v>
      </c>
      <c r="V27" s="768" t="s">
        <v>21</v>
      </c>
      <c r="W27" s="769">
        <f t="shared" si="14"/>
        <v>100</v>
      </c>
      <c r="X27" s="770"/>
      <c r="Y27" s="3244"/>
      <c r="Z27" s="54" t="str">
        <f>Q27</f>
        <v>道路级别</v>
      </c>
      <c r="AA27" s="1809">
        <f t="shared" si="15"/>
        <v>1</v>
      </c>
      <c r="AB27" s="1809">
        <f t="shared" si="16"/>
        <v>1</v>
      </c>
      <c r="AC27" s="1809">
        <f t="shared" si="17"/>
        <v>1</v>
      </c>
    </row>
    <row r="28" spans="1:29" ht="15">
      <c r="A28" s="427"/>
      <c r="B28" s="3356" t="s">
        <v>3186</v>
      </c>
      <c r="C28" s="3005" t="s">
        <v>3188</v>
      </c>
      <c r="D28" s="434">
        <v>100</v>
      </c>
      <c r="E28" s="3005" t="s">
        <v>3188</v>
      </c>
      <c r="F28" s="434">
        <f>SUMIF(92:92,E28,93:93)-SUMIF(92:92,C28,93:93)+100</f>
        <v>100</v>
      </c>
      <c r="G28" s="3005" t="s">
        <v>3188</v>
      </c>
      <c r="H28" s="434">
        <f>SUMIF(92:92,G28,93:93)-SUMIF(92:92,C28,93:93)+100</f>
        <v>100</v>
      </c>
      <c r="I28" s="3005" t="s">
        <v>3188</v>
      </c>
      <c r="J28" s="434">
        <f>SUMIF(92:92,I28,93:93)-SUMIF(92:92,C28,93:93)+100</f>
        <v>100</v>
      </c>
      <c r="K28" s="2599"/>
      <c r="L28" s="1138"/>
      <c r="M28" s="1129"/>
      <c r="N28" s="1129"/>
      <c r="O28" s="1129"/>
      <c r="P28" s="3242"/>
      <c r="Q28" s="1808" t="str">
        <f t="shared" si="11"/>
        <v>人流量</v>
      </c>
      <c r="R28" s="772" t="s">
        <v>21</v>
      </c>
      <c r="S28" s="773">
        <f t="shared" si="12"/>
        <v>100</v>
      </c>
      <c r="T28" s="772" t="s">
        <v>21</v>
      </c>
      <c r="U28" s="773">
        <f t="shared" si="13"/>
        <v>100</v>
      </c>
      <c r="V28" s="772" t="s">
        <v>21</v>
      </c>
      <c r="W28" s="773">
        <f t="shared" si="14"/>
        <v>100</v>
      </c>
      <c r="X28" s="1811"/>
      <c r="Y28" s="3244"/>
      <c r="Z28" s="1812" t="str">
        <f t="shared" ref="Z28:Z46" si="18">Q28</f>
        <v>人流量</v>
      </c>
      <c r="AA28" s="1809">
        <f t="shared" si="15"/>
        <v>1</v>
      </c>
      <c r="AB28" s="1809">
        <f t="shared" si="16"/>
        <v>1</v>
      </c>
      <c r="AC28" s="1809">
        <f t="shared" si="17"/>
        <v>1</v>
      </c>
    </row>
    <row r="29" spans="1:29" ht="15">
      <c r="A29" s="427"/>
      <c r="B29" s="2994" t="s">
        <v>3279</v>
      </c>
      <c r="C29" s="3005" t="s">
        <v>3273</v>
      </c>
      <c r="D29" s="434">
        <v>100</v>
      </c>
      <c r="E29" s="3005" t="s">
        <v>3273</v>
      </c>
      <c r="F29" s="434">
        <f>SUMIF(94:94,E29,95:95)-SUMIF(94:94,C29,95:95)+100</f>
        <v>100</v>
      </c>
      <c r="G29" s="3011" t="s">
        <v>3272</v>
      </c>
      <c r="H29" s="434">
        <f>SUMIF(94:94,G29,95:95)-SUMIF(94:94,C29,95:95)+100</f>
        <v>101</v>
      </c>
      <c r="I29" s="3005" t="s">
        <v>3273</v>
      </c>
      <c r="J29" s="434">
        <f>SUMIF(94:94,I29,95:95)-SUMIF(94:94,C29,95:95)+100</f>
        <v>100</v>
      </c>
      <c r="K29" s="2599"/>
      <c r="L29" s="1138"/>
      <c r="M29" s="1129"/>
      <c r="N29" s="1129"/>
      <c r="O29" s="1129"/>
      <c r="P29" s="3242"/>
      <c r="Q29" s="1808" t="str">
        <f t="shared" si="11"/>
        <v>朝向</v>
      </c>
      <c r="R29" s="772" t="s">
        <v>21</v>
      </c>
      <c r="S29" s="773">
        <f t="shared" si="12"/>
        <v>100</v>
      </c>
      <c r="T29" s="772" t="s">
        <v>21</v>
      </c>
      <c r="U29" s="773">
        <f t="shared" si="13"/>
        <v>101</v>
      </c>
      <c r="V29" s="772" t="s">
        <v>21</v>
      </c>
      <c r="W29" s="773">
        <f t="shared" si="14"/>
        <v>100</v>
      </c>
      <c r="X29" s="1811"/>
      <c r="Y29" s="3244"/>
      <c r="Z29" s="1812" t="str">
        <f t="shared" si="18"/>
        <v>朝向</v>
      </c>
      <c r="AA29" s="1809">
        <f t="shared" si="15"/>
        <v>1</v>
      </c>
      <c r="AB29" s="1809">
        <f t="shared" si="16"/>
        <v>0.99009900990099009</v>
      </c>
      <c r="AC29" s="1809">
        <f t="shared" si="17"/>
        <v>1</v>
      </c>
    </row>
    <row r="30" spans="1:29" ht="15">
      <c r="A30" s="427"/>
      <c r="B30" s="1384">
        <v>111</v>
      </c>
      <c r="C30" s="433"/>
      <c r="D30" s="434">
        <v>100</v>
      </c>
      <c r="E30" s="433"/>
      <c r="F30" s="434">
        <f>SUMIF(96:96,E30,97:97)-SUMIF(96:96,C30,97:97)+100</f>
        <v>100</v>
      </c>
      <c r="G30" s="2613"/>
      <c r="H30" s="434">
        <f>SUMIF(96:96,G30,97:97)-SUMIF(96:96,C30,97:97)+100</f>
        <v>100</v>
      </c>
      <c r="I30" s="433"/>
      <c r="J30" s="434">
        <f>SUMIF(96:96,I30,97:97)-SUMIF(96:96,C30,97:97)+100</f>
        <v>100</v>
      </c>
      <c r="K30" s="2599"/>
      <c r="L30" s="1138"/>
      <c r="M30" s="1129"/>
      <c r="N30" s="1129"/>
      <c r="O30" s="1129"/>
      <c r="P30" s="3242"/>
      <c r="Q30" s="1808">
        <f t="shared" si="11"/>
        <v>111</v>
      </c>
      <c r="R30" s="772" t="s">
        <v>21</v>
      </c>
      <c r="S30" s="773">
        <f t="shared" si="12"/>
        <v>100</v>
      </c>
      <c r="T30" s="772" t="s">
        <v>21</v>
      </c>
      <c r="U30" s="773">
        <f t="shared" si="13"/>
        <v>100</v>
      </c>
      <c r="V30" s="772" t="s">
        <v>21</v>
      </c>
      <c r="W30" s="773">
        <f t="shared" si="14"/>
        <v>100</v>
      </c>
      <c r="X30" s="1811"/>
      <c r="Y30" s="3244"/>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4"/>
      <c r="H31" s="437">
        <f>SUMIF(98:98,G31,99:99)-SUMIF(98:98,C31,99:99)+100</f>
        <v>100</v>
      </c>
      <c r="I31" s="436"/>
      <c r="J31" s="437">
        <f>SUMIF(98:98,I31,99:99)-SUMIF(98:98,C31,99:99)+100</f>
        <v>100</v>
      </c>
      <c r="K31" s="2599"/>
      <c r="L31" s="1138"/>
      <c r="M31" s="1129"/>
      <c r="N31" s="1129"/>
      <c r="O31" s="1129"/>
      <c r="P31" s="3242"/>
      <c r="Q31" s="1808">
        <f t="shared" si="11"/>
        <v>111</v>
      </c>
      <c r="R31" s="772" t="s">
        <v>21</v>
      </c>
      <c r="S31" s="773">
        <f t="shared" si="12"/>
        <v>100</v>
      </c>
      <c r="T31" s="772" t="s">
        <v>21</v>
      </c>
      <c r="U31" s="773">
        <f t="shared" si="13"/>
        <v>100</v>
      </c>
      <c r="V31" s="772" t="s">
        <v>21</v>
      </c>
      <c r="W31" s="773">
        <f t="shared" si="14"/>
        <v>100</v>
      </c>
      <c r="X31" s="1811"/>
      <c r="Y31" s="3244"/>
      <c r="Z31" s="1812">
        <f t="shared" si="18"/>
        <v>111</v>
      </c>
      <c r="AA31" s="1809">
        <f t="shared" si="15"/>
        <v>1</v>
      </c>
      <c r="AB31" s="1809">
        <f t="shared" si="16"/>
        <v>1</v>
      </c>
      <c r="AC31" s="1809">
        <f t="shared" si="17"/>
        <v>1</v>
      </c>
    </row>
    <row r="32" spans="1:29" ht="15">
      <c r="A32" s="439" t="s">
        <v>2552</v>
      </c>
      <c r="B32" s="70" t="s">
        <v>2553</v>
      </c>
      <c r="C32" s="2615" t="s">
        <v>3192</v>
      </c>
      <c r="D32" s="466">
        <v>100</v>
      </c>
      <c r="E32" s="2615" t="s">
        <v>3192</v>
      </c>
      <c r="F32" s="460">
        <f>SUMIF(100:100,E32,101:101)-SUMIF(100:100,C32,101:101)+100</f>
        <v>100</v>
      </c>
      <c r="G32" s="2615" t="s">
        <v>3192</v>
      </c>
      <c r="H32" s="466">
        <f>SUMIF(100:100,G32,101:101)-SUMIF(100:100,C32,101:101)+100</f>
        <v>100</v>
      </c>
      <c r="I32" s="2615" t="s">
        <v>3192</v>
      </c>
      <c r="J32" s="434">
        <f>SUMIF(100:100,I32,101:101)-SUMIF(100:100,C32,101:101)+100</f>
        <v>100</v>
      </c>
      <c r="K32" s="425">
        <v>2</v>
      </c>
      <c r="L32" s="1138"/>
      <c r="M32" s="1129"/>
      <c r="N32" s="1129"/>
      <c r="O32" s="1129"/>
      <c r="P32" s="3245" t="s">
        <v>2554</v>
      </c>
      <c r="Q32" s="1808" t="str">
        <f t="shared" si="11"/>
        <v>建筑类型</v>
      </c>
      <c r="R32" s="772" t="s">
        <v>21</v>
      </c>
      <c r="S32" s="773">
        <f t="shared" si="12"/>
        <v>100</v>
      </c>
      <c r="T32" s="772" t="s">
        <v>21</v>
      </c>
      <c r="U32" s="773">
        <f t="shared" si="13"/>
        <v>100</v>
      </c>
      <c r="V32" s="772" t="s">
        <v>21</v>
      </c>
      <c r="W32" s="773">
        <f t="shared" si="14"/>
        <v>100</v>
      </c>
      <c r="X32" s="1811"/>
      <c r="Y32" s="3248" t="s">
        <v>2554</v>
      </c>
      <c r="Z32" s="1812" t="str">
        <f t="shared" si="18"/>
        <v>建筑类型</v>
      </c>
      <c r="AA32" s="1809">
        <f t="shared" si="15"/>
        <v>1</v>
      </c>
      <c r="AB32" s="1809">
        <f t="shared" si="16"/>
        <v>1</v>
      </c>
      <c r="AC32" s="1809">
        <f t="shared" si="17"/>
        <v>1</v>
      </c>
    </row>
    <row r="33" spans="1:29" s="470" customFormat="1" ht="15">
      <c r="A33" s="467"/>
      <c r="B33" s="3357" t="s">
        <v>2555</v>
      </c>
      <c r="C33" s="468"/>
      <c r="D33" s="135">
        <v>100</v>
      </c>
      <c r="E33" s="429"/>
      <c r="F33" s="424">
        <f>LOOKUP(E33,103:103,104:104)-LOOKUP(C33,103:103,104:104)+100</f>
        <v>100</v>
      </c>
      <c r="G33" s="428"/>
      <c r="H33" s="135">
        <f>LOOKUP(G33,103:103,104:104)-LOOKUP(C33,103:103,104:104)+100</f>
        <v>100</v>
      </c>
      <c r="I33" s="429"/>
      <c r="J33" s="135">
        <f>LOOKUP(I33,103:103,104:104)-LOOKUP(C33,103:103,104:104)+100</f>
        <v>100</v>
      </c>
      <c r="K33" s="2599"/>
      <c r="L33" s="1136"/>
      <c r="M33" s="1139"/>
      <c r="N33" s="1139"/>
      <c r="O33" s="1139"/>
      <c r="P33" s="3246"/>
      <c r="Q33" s="774" t="str">
        <f t="shared" si="11"/>
        <v>项目建筑规模</v>
      </c>
      <c r="R33" s="775" t="s">
        <v>21</v>
      </c>
      <c r="S33" s="776">
        <f t="shared" si="12"/>
        <v>100</v>
      </c>
      <c r="T33" s="775" t="s">
        <v>21</v>
      </c>
      <c r="U33" s="776">
        <f t="shared" si="13"/>
        <v>100</v>
      </c>
      <c r="V33" s="775" t="s">
        <v>21</v>
      </c>
      <c r="W33" s="776">
        <f t="shared" si="14"/>
        <v>100</v>
      </c>
      <c r="X33" s="777"/>
      <c r="Y33" s="3248"/>
      <c r="Z33" s="778" t="str">
        <f t="shared" si="18"/>
        <v>项目建筑规模</v>
      </c>
      <c r="AA33" s="1809">
        <f t="shared" si="15"/>
        <v>1</v>
      </c>
      <c r="AB33" s="1809">
        <f t="shared" si="16"/>
        <v>1</v>
      </c>
      <c r="AC33" s="1809">
        <f t="shared" si="17"/>
        <v>1</v>
      </c>
    </row>
    <row r="34" spans="1:29" ht="15">
      <c r="A34" s="471"/>
      <c r="B34" s="421" t="s">
        <v>2556</v>
      </c>
      <c r="C34" s="2616" t="s">
        <v>3075</v>
      </c>
      <c r="D34" s="434">
        <v>100</v>
      </c>
      <c r="E34" s="2616" t="s">
        <v>3075</v>
      </c>
      <c r="F34" s="460">
        <f>SUMIF(105:105,E34,106:106)-SUMIF(105:105,C34,106:106)+100</f>
        <v>100</v>
      </c>
      <c r="G34" s="2616" t="s">
        <v>3075</v>
      </c>
      <c r="H34" s="434">
        <f>SUMIF(105:105,G34,106:106)-SUMIF(105:105,C34,106:106)+100</f>
        <v>100</v>
      </c>
      <c r="I34" s="2616" t="s">
        <v>3075</v>
      </c>
      <c r="J34" s="434">
        <f>SUMIF(105:105,I34,106:106)-SUMIF(105:105,C34,106:106)+100</f>
        <v>100</v>
      </c>
      <c r="K34" s="425">
        <v>1</v>
      </c>
      <c r="L34" s="1138"/>
      <c r="M34" s="1129"/>
      <c r="N34" s="1129"/>
      <c r="O34" s="1129"/>
      <c r="P34" s="3246"/>
      <c r="Q34" s="1808" t="str">
        <f t="shared" si="11"/>
        <v>建筑结构</v>
      </c>
      <c r="R34" s="772" t="s">
        <v>21</v>
      </c>
      <c r="S34" s="773">
        <f t="shared" si="12"/>
        <v>100</v>
      </c>
      <c r="T34" s="772" t="s">
        <v>21</v>
      </c>
      <c r="U34" s="773">
        <f t="shared" si="13"/>
        <v>100</v>
      </c>
      <c r="V34" s="772" t="s">
        <v>21</v>
      </c>
      <c r="W34" s="773">
        <f t="shared" si="14"/>
        <v>100</v>
      </c>
      <c r="X34" s="1811"/>
      <c r="Y34" s="3248"/>
      <c r="Z34" s="1812" t="str">
        <f t="shared" si="18"/>
        <v>建筑结构</v>
      </c>
      <c r="AA34" s="1809">
        <f t="shared" si="15"/>
        <v>1</v>
      </c>
      <c r="AB34" s="1809">
        <f t="shared" si="16"/>
        <v>1</v>
      </c>
      <c r="AC34" s="1809">
        <f t="shared" si="17"/>
        <v>1</v>
      </c>
    </row>
    <row r="35" spans="1:29" ht="15">
      <c r="A35" s="471"/>
      <c r="B35" s="421" t="s">
        <v>2557</v>
      </c>
      <c r="C35" s="2611" t="s">
        <v>3179</v>
      </c>
      <c r="D35" s="434">
        <v>100</v>
      </c>
      <c r="E35" s="2611" t="s">
        <v>3179</v>
      </c>
      <c r="F35" s="460">
        <f>SUMIF(107:107,E35,108:108)-SUMIF(107:107,C35,108:108)+100</f>
        <v>100</v>
      </c>
      <c r="G35" s="2611" t="s">
        <v>3179</v>
      </c>
      <c r="H35" s="434">
        <f>SUMIF(107:107,G35,108:108)-SUMIF(107:107,C35,108:108)+100</f>
        <v>100</v>
      </c>
      <c r="I35" s="2611" t="s">
        <v>3179</v>
      </c>
      <c r="J35" s="434">
        <f>SUMIF(107:107,I35,108:108)-SUMIF(107:107,C35,108:108)+100</f>
        <v>100</v>
      </c>
      <c r="K35" s="425">
        <v>2</v>
      </c>
      <c r="L35" s="1138"/>
      <c r="M35" s="1129"/>
      <c r="N35" s="1129"/>
      <c r="O35" s="1129"/>
      <c r="P35" s="3246"/>
      <c r="Q35" s="1808" t="str">
        <f t="shared" si="11"/>
        <v>建筑品质</v>
      </c>
      <c r="R35" s="772" t="s">
        <v>21</v>
      </c>
      <c r="S35" s="773">
        <f t="shared" si="12"/>
        <v>100</v>
      </c>
      <c r="T35" s="772" t="s">
        <v>21</v>
      </c>
      <c r="U35" s="773">
        <f t="shared" si="13"/>
        <v>100</v>
      </c>
      <c r="V35" s="772" t="s">
        <v>21</v>
      </c>
      <c r="W35" s="773">
        <f t="shared" si="14"/>
        <v>100</v>
      </c>
      <c r="X35" s="1811"/>
      <c r="Y35" s="3248"/>
      <c r="Z35" s="1812" t="str">
        <f t="shared" si="18"/>
        <v>建筑品质</v>
      </c>
      <c r="AA35" s="1809">
        <f t="shared" si="15"/>
        <v>1</v>
      </c>
      <c r="AB35" s="1809">
        <f t="shared" si="16"/>
        <v>1</v>
      </c>
      <c r="AC35" s="1809">
        <f t="shared" si="17"/>
        <v>1</v>
      </c>
    </row>
    <row r="36" spans="1:29" ht="15">
      <c r="A36" s="471"/>
      <c r="B36" s="421" t="s">
        <v>2558</v>
      </c>
      <c r="C36" s="2611" t="s">
        <v>3194</v>
      </c>
      <c r="D36" s="434">
        <v>100</v>
      </c>
      <c r="E36" s="2611" t="s">
        <v>3194</v>
      </c>
      <c r="F36" s="460">
        <f>SUMIF(109:109,E36,110:110)-SUMIF(109:109,C36,110:110)+100</f>
        <v>100</v>
      </c>
      <c r="G36" s="2611" t="s">
        <v>3194</v>
      </c>
      <c r="H36" s="434">
        <f>SUMIF(109:109,G36,110:110)-SUMIF(109:109,C36,110:110)+100</f>
        <v>100</v>
      </c>
      <c r="I36" s="2611" t="s">
        <v>3194</v>
      </c>
      <c r="J36" s="434">
        <f>SUMIF(109:109,I36,110:110)-SUMIF(109:109,C36,110:110)+100</f>
        <v>100</v>
      </c>
      <c r="K36" s="425">
        <v>2</v>
      </c>
      <c r="L36" s="1138"/>
      <c r="M36" s="1129"/>
      <c r="N36" s="1129"/>
      <c r="O36" s="1129"/>
      <c r="P36" s="3246"/>
      <c r="Q36" s="1808" t="str">
        <f t="shared" si="11"/>
        <v>公共部分装修</v>
      </c>
      <c r="R36" s="772" t="s">
        <v>21</v>
      </c>
      <c r="S36" s="773">
        <f t="shared" si="12"/>
        <v>100</v>
      </c>
      <c r="T36" s="772" t="s">
        <v>21</v>
      </c>
      <c r="U36" s="773">
        <f t="shared" si="13"/>
        <v>100</v>
      </c>
      <c r="V36" s="772" t="s">
        <v>21</v>
      </c>
      <c r="W36" s="773">
        <f t="shared" si="14"/>
        <v>100</v>
      </c>
      <c r="X36" s="1811"/>
      <c r="Y36" s="3248"/>
      <c r="Z36" s="1812" t="str">
        <f t="shared" si="18"/>
        <v>公共部分装修</v>
      </c>
      <c r="AA36" s="1809">
        <f t="shared" si="15"/>
        <v>1</v>
      </c>
      <c r="AB36" s="1809">
        <f t="shared" si="16"/>
        <v>1</v>
      </c>
      <c r="AC36" s="1809">
        <f t="shared" si="17"/>
        <v>1</v>
      </c>
    </row>
    <row r="37" spans="1:29" s="116" customFormat="1" ht="15">
      <c r="A37" s="472"/>
      <c r="B37" s="421" t="s">
        <v>2559</v>
      </c>
      <c r="C37" s="473">
        <f>'数据-取费表'!N7</f>
        <v>0.73333333333333328</v>
      </c>
      <c r="D37" s="135">
        <v>100</v>
      </c>
      <c r="E37" s="473">
        <f>C37</f>
        <v>0.73333333333333328</v>
      </c>
      <c r="F37" s="424">
        <f>LOOKUP(E37,112:112,113:113)-LOOKUP(C37,112:112,113:113)+100</f>
        <v>100</v>
      </c>
      <c r="G37" s="475">
        <f>C37</f>
        <v>0.73333333333333328</v>
      </c>
      <c r="H37" s="135">
        <f>LOOKUP(G37,112:112,113:113)-LOOKUP(C37,112:112,113:113)+100</f>
        <v>100</v>
      </c>
      <c r="I37" s="474">
        <f>C37</f>
        <v>0.73333333333333328</v>
      </c>
      <c r="J37" s="135">
        <f>LOOKUP(I37,112:112,113:113)-LOOKUP(C37,112:112,113:113)+100</f>
        <v>100</v>
      </c>
      <c r="K37" s="425">
        <v>1</v>
      </c>
      <c r="L37" s="1130"/>
      <c r="M37" s="1131"/>
      <c r="N37" s="1131"/>
      <c r="O37" s="1131"/>
      <c r="P37" s="3246"/>
      <c r="Q37" s="1793" t="str">
        <f t="shared" si="11"/>
        <v>成新度</v>
      </c>
      <c r="R37" s="768" t="s">
        <v>21</v>
      </c>
      <c r="S37" s="769">
        <f t="shared" si="12"/>
        <v>100</v>
      </c>
      <c r="T37" s="768" t="s">
        <v>21</v>
      </c>
      <c r="U37" s="769">
        <f t="shared" si="13"/>
        <v>100</v>
      </c>
      <c r="V37" s="768" t="s">
        <v>21</v>
      </c>
      <c r="W37" s="769">
        <f t="shared" si="14"/>
        <v>100</v>
      </c>
      <c r="X37" s="770"/>
      <c r="Y37" s="3248"/>
      <c r="Z37" s="54" t="str">
        <f t="shared" si="18"/>
        <v>成新度</v>
      </c>
      <c r="AA37" s="771">
        <f t="shared" si="15"/>
        <v>1</v>
      </c>
      <c r="AB37" s="771">
        <f t="shared" si="16"/>
        <v>1</v>
      </c>
      <c r="AC37" s="771">
        <f t="shared" si="17"/>
        <v>1</v>
      </c>
    </row>
    <row r="38" spans="1:29" ht="15">
      <c r="A38" s="471"/>
      <c r="B38" s="421" t="s">
        <v>2560</v>
      </c>
      <c r="C38" s="2611" t="s">
        <v>3195</v>
      </c>
      <c r="D38" s="434">
        <v>100</v>
      </c>
      <c r="E38" s="2611" t="s">
        <v>3195</v>
      </c>
      <c r="F38" s="460">
        <f>SUMIF(114:114,E38,115:115)-SUMIF(114:114,C38,115:115)+100</f>
        <v>100</v>
      </c>
      <c r="G38" s="2611" t="s">
        <v>3195</v>
      </c>
      <c r="H38" s="434">
        <f>SUMIF(114:114,G38,115:115)-SUMIF(114:114,C38,115:115)+100</f>
        <v>100</v>
      </c>
      <c r="I38" s="2611" t="s">
        <v>3195</v>
      </c>
      <c r="J38" s="434">
        <f>SUMIF(114:114,I38,115:115)-SUMIF(114:114,C38,115:115)+100</f>
        <v>100</v>
      </c>
      <c r="K38" s="425">
        <v>1</v>
      </c>
      <c r="L38" s="1138"/>
      <c r="M38" s="1129"/>
      <c r="N38" s="1129"/>
      <c r="O38" s="1129"/>
      <c r="P38" s="3246" t="s">
        <v>2554</v>
      </c>
      <c r="Q38" s="1808" t="str">
        <f t="shared" si="11"/>
        <v>物业管理</v>
      </c>
      <c r="R38" s="772" t="s">
        <v>21</v>
      </c>
      <c r="S38" s="773">
        <f t="shared" si="12"/>
        <v>100</v>
      </c>
      <c r="T38" s="772" t="s">
        <v>21</v>
      </c>
      <c r="U38" s="773">
        <f t="shared" si="13"/>
        <v>100</v>
      </c>
      <c r="V38" s="772" t="s">
        <v>21</v>
      </c>
      <c r="W38" s="773">
        <f t="shared" si="14"/>
        <v>100</v>
      </c>
      <c r="X38" s="1811"/>
      <c r="Y38" s="3248" t="s">
        <v>2554</v>
      </c>
      <c r="Z38" s="1812" t="str">
        <f t="shared" si="18"/>
        <v>物业管理</v>
      </c>
      <c r="AA38" s="1809">
        <f t="shared" si="15"/>
        <v>1</v>
      </c>
      <c r="AB38" s="1809">
        <f t="shared" si="16"/>
        <v>1</v>
      </c>
      <c r="AC38" s="1809">
        <f t="shared" si="17"/>
        <v>1</v>
      </c>
    </row>
    <row r="39" spans="1:29" ht="15">
      <c r="A39" s="471"/>
      <c r="B39" s="421" t="s">
        <v>2561</v>
      </c>
      <c r="C39" s="2611" t="s">
        <v>3176</v>
      </c>
      <c r="D39" s="434">
        <v>100</v>
      </c>
      <c r="E39" s="2611" t="s">
        <v>3176</v>
      </c>
      <c r="F39" s="460">
        <f>SUMIF(116:116,E39,117:117)-SUMIF(116:116,C39,117:117)+100</f>
        <v>100</v>
      </c>
      <c r="G39" s="2611" t="s">
        <v>3176</v>
      </c>
      <c r="H39" s="434">
        <f>SUMIF(116:116,G39,117:117)-SUMIF(116:116,C39,117:117)+100</f>
        <v>100</v>
      </c>
      <c r="I39" s="2611" t="s">
        <v>3176</v>
      </c>
      <c r="J39" s="434">
        <f>SUMIF(116:116,I39,117:117)-SUMIF(116:116,C39,117:117)+100</f>
        <v>100</v>
      </c>
      <c r="K39" s="425">
        <v>1</v>
      </c>
      <c r="L39" s="1138"/>
      <c r="M39" s="1129"/>
      <c r="N39" s="1129"/>
      <c r="O39" s="1129"/>
      <c r="P39" s="3246"/>
      <c r="Q39" s="1808" t="str">
        <f t="shared" si="11"/>
        <v>市政基础设施</v>
      </c>
      <c r="R39" s="772" t="s">
        <v>21</v>
      </c>
      <c r="S39" s="773">
        <f t="shared" si="12"/>
        <v>100</v>
      </c>
      <c r="T39" s="772" t="s">
        <v>21</v>
      </c>
      <c r="U39" s="773">
        <f t="shared" si="13"/>
        <v>100</v>
      </c>
      <c r="V39" s="772" t="s">
        <v>21</v>
      </c>
      <c r="W39" s="773">
        <f t="shared" si="14"/>
        <v>100</v>
      </c>
      <c r="X39" s="1811"/>
      <c r="Y39" s="3248"/>
      <c r="Z39" s="1812" t="str">
        <f t="shared" si="18"/>
        <v>市政基础设施</v>
      </c>
      <c r="AA39" s="1809">
        <f t="shared" si="15"/>
        <v>1</v>
      </c>
      <c r="AB39" s="1809">
        <f t="shared" si="16"/>
        <v>1</v>
      </c>
      <c r="AC39" s="1809">
        <f t="shared" si="17"/>
        <v>1</v>
      </c>
    </row>
    <row r="40" spans="1:29" ht="15">
      <c r="A40" s="471"/>
      <c r="B40" s="421" t="s">
        <v>2562</v>
      </c>
      <c r="C40" s="2611" t="s">
        <v>3061</v>
      </c>
      <c r="D40" s="434">
        <v>100</v>
      </c>
      <c r="E40" s="2612" t="s">
        <v>3063</v>
      </c>
      <c r="F40" s="460">
        <f>SUMIF(118:118,E40,119:119)-SUMIF(118:118,C40,119:119)+100</f>
        <v>98</v>
      </c>
      <c r="G40" s="2611" t="s">
        <v>3063</v>
      </c>
      <c r="H40" s="434">
        <f>SUMIF(118:118,G40,119:119)-SUMIF(118:118,C40,119:119)+100</f>
        <v>98</v>
      </c>
      <c r="I40" s="2612" t="s">
        <v>3063</v>
      </c>
      <c r="J40" s="434">
        <f>SUMIF(118:118,I40,119:119)-SUMIF(118:118,C40,119:119)+100</f>
        <v>98</v>
      </c>
      <c r="K40" s="425">
        <v>2</v>
      </c>
      <c r="L40" s="1138"/>
      <c r="M40" s="1129"/>
      <c r="N40" s="1129"/>
      <c r="O40" s="1129"/>
      <c r="P40" s="3246"/>
      <c r="Q40" s="1808" t="str">
        <f t="shared" si="11"/>
        <v>房型</v>
      </c>
      <c r="R40" s="772" t="s">
        <v>21</v>
      </c>
      <c r="S40" s="773">
        <f t="shared" si="12"/>
        <v>98</v>
      </c>
      <c r="T40" s="772" t="s">
        <v>21</v>
      </c>
      <c r="U40" s="773">
        <f t="shared" si="13"/>
        <v>98</v>
      </c>
      <c r="V40" s="772" t="s">
        <v>21</v>
      </c>
      <c r="W40" s="773">
        <f t="shared" si="14"/>
        <v>98</v>
      </c>
      <c r="X40" s="1811"/>
      <c r="Y40" s="3248"/>
      <c r="Z40" s="1812" t="str">
        <f t="shared" si="18"/>
        <v>房型</v>
      </c>
      <c r="AA40" s="1809">
        <f t="shared" si="15"/>
        <v>1.0204081632653061</v>
      </c>
      <c r="AB40" s="1809">
        <f t="shared" si="16"/>
        <v>1.0204081632653061</v>
      </c>
      <c r="AC40" s="1809">
        <f t="shared" si="17"/>
        <v>1.0204081632653061</v>
      </c>
    </row>
    <row r="41" spans="1:29" s="470" customFormat="1" ht="28.5">
      <c r="A41" s="467"/>
      <c r="B41" s="3357" t="s">
        <v>2563</v>
      </c>
      <c r="C41" s="468">
        <f>'数据-基础表'!K18</f>
        <v>194.47</v>
      </c>
      <c r="D41" s="135">
        <v>100</v>
      </c>
      <c r="E41" s="429">
        <v>111.49</v>
      </c>
      <c r="F41" s="424">
        <f>SUMIF(120:120,E41,121:121)-SUMIF(120:120,C41,121:121)+100</f>
        <v>101</v>
      </c>
      <c r="G41" s="428">
        <v>111.48</v>
      </c>
      <c r="H41" s="135">
        <f>SUMIF(120:120,G41,121:121)-SUMIF(120:120,C41,121:121)+100</f>
        <v>101</v>
      </c>
      <c r="I41" s="476">
        <v>111.49</v>
      </c>
      <c r="J41" s="434">
        <f>SUMIF(120:120,I41,121:121)-SUMIF(120:120,C41,121:121)+100</f>
        <v>101</v>
      </c>
      <c r="K41" s="2599"/>
      <c r="L41" s="1136"/>
      <c r="M41" s="1139"/>
      <c r="N41" s="1139"/>
      <c r="O41" s="1139"/>
      <c r="P41" s="3246"/>
      <c r="Q41" s="774" t="str">
        <f t="shared" si="11"/>
        <v>单套/主力户型建筑面积</v>
      </c>
      <c r="R41" s="775" t="s">
        <v>21</v>
      </c>
      <c r="S41" s="776">
        <f t="shared" si="12"/>
        <v>101</v>
      </c>
      <c r="T41" s="775" t="s">
        <v>21</v>
      </c>
      <c r="U41" s="776">
        <f t="shared" si="13"/>
        <v>101</v>
      </c>
      <c r="V41" s="775" t="s">
        <v>21</v>
      </c>
      <c r="W41" s="776">
        <f t="shared" si="14"/>
        <v>101</v>
      </c>
      <c r="X41" s="777"/>
      <c r="Y41" s="3248"/>
      <c r="Z41" s="778" t="str">
        <f t="shared" si="18"/>
        <v>单套/主力户型建筑面积</v>
      </c>
      <c r="AA41" s="1809">
        <f t="shared" si="15"/>
        <v>0.99009900990099009</v>
      </c>
      <c r="AB41" s="1809">
        <f t="shared" si="16"/>
        <v>0.99009900990099009</v>
      </c>
      <c r="AC41" s="1809">
        <f t="shared" si="17"/>
        <v>0.99009900990099009</v>
      </c>
    </row>
    <row r="42" spans="1:29" ht="15">
      <c r="A42" s="471"/>
      <c r="B42" s="421" t="s">
        <v>2564</v>
      </c>
      <c r="C42" s="2611" t="s">
        <v>3065</v>
      </c>
      <c r="D42" s="434">
        <v>100</v>
      </c>
      <c r="E42" s="2612" t="s">
        <v>3065</v>
      </c>
      <c r="F42" s="460">
        <f>SUMIF(122:122,E42,123:123)-SUMIF(122:122,C42,123:123)+100</f>
        <v>100</v>
      </c>
      <c r="G42" s="2611" t="s">
        <v>3069</v>
      </c>
      <c r="H42" s="434">
        <f>SUMIF(122:122,G42,123:123)-SUMIF(122:122,C42,123:123)+100</f>
        <v>98</v>
      </c>
      <c r="I42" s="2612" t="s">
        <v>3069</v>
      </c>
      <c r="J42" s="434">
        <f>SUMIF(122:122,I42,123:123)-SUMIF(122:122,C42,123:123)+100</f>
        <v>98</v>
      </c>
      <c r="K42" s="425">
        <v>1</v>
      </c>
      <c r="L42" s="1138"/>
      <c r="M42" s="1129"/>
      <c r="N42" s="1129"/>
      <c r="O42" s="1129"/>
      <c r="P42" s="3246"/>
      <c r="Q42" s="1808" t="str">
        <f t="shared" si="11"/>
        <v>内部装修</v>
      </c>
      <c r="R42" s="772" t="s">
        <v>21</v>
      </c>
      <c r="S42" s="773">
        <f t="shared" si="12"/>
        <v>100</v>
      </c>
      <c r="T42" s="772" t="s">
        <v>21</v>
      </c>
      <c r="U42" s="773">
        <f t="shared" si="13"/>
        <v>98</v>
      </c>
      <c r="V42" s="772" t="s">
        <v>21</v>
      </c>
      <c r="W42" s="773">
        <f t="shared" si="14"/>
        <v>98</v>
      </c>
      <c r="X42" s="1811"/>
      <c r="Y42" s="3248"/>
      <c r="Z42" s="1812" t="str">
        <f t="shared" si="18"/>
        <v>内部装修</v>
      </c>
      <c r="AA42" s="1809">
        <f t="shared" si="15"/>
        <v>1</v>
      </c>
      <c r="AB42" s="1809">
        <f t="shared" si="16"/>
        <v>1.0204081632653061</v>
      </c>
      <c r="AC42" s="1809">
        <f t="shared" si="17"/>
        <v>1.0204081632653061</v>
      </c>
    </row>
    <row r="43" spans="1:29" ht="15">
      <c r="A43" s="471"/>
      <c r="B43" s="421" t="s">
        <v>2565</v>
      </c>
      <c r="C43" s="2611" t="s">
        <v>3072</v>
      </c>
      <c r="D43" s="434">
        <v>100</v>
      </c>
      <c r="E43" s="2612" t="s">
        <v>3072</v>
      </c>
      <c r="F43" s="460">
        <f>SUMIF(124:124,E43,125:125)-SUMIF(124:124,C43,125:125)+100</f>
        <v>100</v>
      </c>
      <c r="G43" s="2611" t="s">
        <v>3072</v>
      </c>
      <c r="H43" s="434">
        <f>SUMIF(124:124,G43,125:125)-SUMIF(124:124,C43,125:125)+100</f>
        <v>100</v>
      </c>
      <c r="I43" s="2612" t="s">
        <v>3072</v>
      </c>
      <c r="J43" s="434">
        <f>SUMIF(124:124,I43,125:125)-SUMIF(124:124,C43,125:125)+100</f>
        <v>100</v>
      </c>
      <c r="K43" s="425">
        <v>2</v>
      </c>
      <c r="L43" s="1138"/>
      <c r="M43" s="1129"/>
      <c r="N43" s="1129"/>
      <c r="O43" s="1129"/>
      <c r="P43" s="3246"/>
      <c r="Q43" s="1808" t="str">
        <f t="shared" si="11"/>
        <v>内部装修维护情况</v>
      </c>
      <c r="R43" s="772" t="s">
        <v>21</v>
      </c>
      <c r="S43" s="773">
        <f t="shared" si="12"/>
        <v>100</v>
      </c>
      <c r="T43" s="772" t="s">
        <v>21</v>
      </c>
      <c r="U43" s="773">
        <f t="shared" si="13"/>
        <v>100</v>
      </c>
      <c r="V43" s="772" t="s">
        <v>21</v>
      </c>
      <c r="W43" s="773">
        <f t="shared" si="14"/>
        <v>100</v>
      </c>
      <c r="X43" s="1811"/>
      <c r="Y43" s="3248"/>
      <c r="Z43" s="1812" t="str">
        <f t="shared" si="18"/>
        <v>内部装修维护情况</v>
      </c>
      <c r="AA43" s="1809">
        <f t="shared" si="15"/>
        <v>1</v>
      </c>
      <c r="AB43" s="1809">
        <f t="shared" si="16"/>
        <v>1</v>
      </c>
      <c r="AC43" s="1809">
        <f t="shared" si="17"/>
        <v>1</v>
      </c>
    </row>
    <row r="44" spans="1:29" s="116" customFormat="1" ht="15">
      <c r="A44" s="472"/>
      <c r="B44" s="3356" t="s">
        <v>3263</v>
      </c>
      <c r="C44" s="468">
        <v>26</v>
      </c>
      <c r="D44" s="135">
        <v>100</v>
      </c>
      <c r="E44" s="468">
        <v>13</v>
      </c>
      <c r="F44" s="424">
        <f>SUMIF(126:126,E44,127:127)-SUMIF(126:126,C44,127:127)+100</f>
        <v>97</v>
      </c>
      <c r="G44" s="468">
        <v>17</v>
      </c>
      <c r="H44" s="135">
        <f>SUMIF(126:126,G44,127:127)-SUMIF(126:126,C44,127:127)+100</f>
        <v>98</v>
      </c>
      <c r="I44" s="468">
        <v>16</v>
      </c>
      <c r="J44" s="135">
        <f>SUMIF(126:126,I44,127:127)-SUMIF(126:126,C44,127:127)+100</f>
        <v>98</v>
      </c>
      <c r="K44" s="2599"/>
      <c r="L44" s="1130"/>
      <c r="M44" s="1131"/>
      <c r="N44" s="1131"/>
      <c r="O44" s="1131"/>
      <c r="P44" s="3246"/>
      <c r="Q44" s="1793" t="str">
        <f t="shared" si="11"/>
        <v>楼层</v>
      </c>
      <c r="R44" s="768" t="s">
        <v>21</v>
      </c>
      <c r="S44" s="769">
        <f t="shared" si="12"/>
        <v>97</v>
      </c>
      <c r="T44" s="768" t="s">
        <v>21</v>
      </c>
      <c r="U44" s="769">
        <f t="shared" si="13"/>
        <v>98</v>
      </c>
      <c r="V44" s="768" t="s">
        <v>21</v>
      </c>
      <c r="W44" s="769">
        <f t="shared" si="14"/>
        <v>98</v>
      </c>
      <c r="X44" s="770"/>
      <c r="Y44" s="3248"/>
      <c r="Z44" s="54" t="str">
        <f t="shared" si="18"/>
        <v>楼层</v>
      </c>
      <c r="AA44" s="771">
        <f t="shared" si="15"/>
        <v>1.0309278350515463</v>
      </c>
      <c r="AB44" s="771">
        <f t="shared" si="16"/>
        <v>1.0204081632653061</v>
      </c>
      <c r="AC44" s="771">
        <f t="shared" si="17"/>
        <v>1.0204081632653061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8"/>
      <c r="M45" s="1129"/>
      <c r="N45" s="1129"/>
      <c r="O45" s="1129"/>
      <c r="P45" s="3246"/>
      <c r="Q45" s="1808">
        <f t="shared" si="11"/>
        <v>111</v>
      </c>
      <c r="R45" s="772" t="s">
        <v>21</v>
      </c>
      <c r="S45" s="773">
        <f t="shared" si="12"/>
        <v>100</v>
      </c>
      <c r="T45" s="772" t="s">
        <v>21</v>
      </c>
      <c r="U45" s="773">
        <f t="shared" si="13"/>
        <v>100</v>
      </c>
      <c r="V45" s="772" t="s">
        <v>21</v>
      </c>
      <c r="W45" s="773">
        <f t="shared" si="14"/>
        <v>100</v>
      </c>
      <c r="X45" s="1811"/>
      <c r="Y45" s="3248"/>
      <c r="Z45" s="1812">
        <f t="shared" si="18"/>
        <v>111</v>
      </c>
      <c r="AA45" s="1809">
        <f t="shared" si="15"/>
        <v>1</v>
      </c>
      <c r="AB45" s="1809">
        <f t="shared" si="16"/>
        <v>1</v>
      </c>
      <c r="AC45" s="1809">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8"/>
      <c r="M46" s="1129"/>
      <c r="N46" s="1129"/>
      <c r="O46" s="1129"/>
      <c r="P46" s="3247"/>
      <c r="Q46" s="1808">
        <f t="shared" si="11"/>
        <v>111</v>
      </c>
      <c r="R46" s="772" t="s">
        <v>20</v>
      </c>
      <c r="S46" s="773">
        <f t="shared" si="12"/>
        <v>100</v>
      </c>
      <c r="T46" s="772" t="s">
        <v>20</v>
      </c>
      <c r="U46" s="773">
        <f t="shared" si="13"/>
        <v>100</v>
      </c>
      <c r="V46" s="772" t="s">
        <v>20</v>
      </c>
      <c r="W46" s="773">
        <f t="shared" si="14"/>
        <v>100</v>
      </c>
      <c r="X46" s="1811"/>
      <c r="Y46" s="3249"/>
      <c r="Z46" s="1812">
        <f t="shared" si="18"/>
        <v>111</v>
      </c>
      <c r="AA46" s="1809">
        <f t="shared" si="15"/>
        <v>1</v>
      </c>
      <c r="AB46" s="1809">
        <f t="shared" si="16"/>
        <v>1</v>
      </c>
      <c r="AC46" s="1809">
        <f t="shared" si="17"/>
        <v>1</v>
      </c>
    </row>
    <row r="47" spans="1:29" ht="15">
      <c r="A47" s="478" t="s">
        <v>2566</v>
      </c>
      <c r="B47" s="479"/>
      <c r="C47" s="1405" t="s">
        <v>19</v>
      </c>
      <c r="D47" s="1406"/>
      <c r="E47" s="1407">
        <v>66464</v>
      </c>
      <c r="F47" s="1408"/>
      <c r="G47" s="1409">
        <v>68174</v>
      </c>
      <c r="H47" s="1410"/>
      <c r="I47" s="1407">
        <v>67271</v>
      </c>
      <c r="J47" s="1410"/>
      <c r="K47" s="2617"/>
      <c r="L47" s="1141"/>
      <c r="M47" s="1142"/>
      <c r="N47" s="1129"/>
      <c r="O47" s="1142"/>
      <c r="P47" s="3236" t="str">
        <f>A47</f>
        <v>成交单价（元/平方米）</v>
      </c>
      <c r="Q47" s="3236"/>
      <c r="R47" s="3237">
        <f>E47</f>
        <v>66464</v>
      </c>
      <c r="S47" s="3237"/>
      <c r="T47" s="3237">
        <f>G47</f>
        <v>68174</v>
      </c>
      <c r="U47" s="3237"/>
      <c r="V47" s="3237">
        <f>I47</f>
        <v>67271</v>
      </c>
      <c r="W47" s="3237"/>
      <c r="X47" s="757"/>
      <c r="Y47" s="779"/>
      <c r="Z47" s="757"/>
      <c r="AA47" s="757"/>
      <c r="AB47" s="757"/>
      <c r="AC47" s="757"/>
    </row>
    <row r="48" spans="1:29" ht="15.75" thickBot="1">
      <c r="A48" s="485" t="s">
        <v>2567</v>
      </c>
      <c r="B48" s="486"/>
      <c r="C48" s="1411">
        <f>R49</f>
        <v>70333</v>
      </c>
      <c r="D48" s="1412"/>
      <c r="E48" s="1413">
        <f>R48</f>
        <v>69226</v>
      </c>
      <c r="F48" s="1413"/>
      <c r="G48" s="1411">
        <f>T48</f>
        <v>71006</v>
      </c>
      <c r="H48" s="1412"/>
      <c r="I48" s="1413">
        <f>V48</f>
        <v>70767</v>
      </c>
      <c r="J48" s="1412"/>
      <c r="K48" s="2618"/>
      <c r="L48" s="1141"/>
      <c r="M48" s="1142"/>
      <c r="N48" s="1142"/>
      <c r="O48" s="1142"/>
      <c r="P48" s="3236" t="str">
        <f>A48</f>
        <v>比较价值（元/平方米）</v>
      </c>
      <c r="Q48" s="3236"/>
      <c r="R48" s="3237">
        <f>IF(F1="售价",ROUND(PRODUCT(R47,AA7:AA46),0),ROUND(PRODUCT(R47,AA7:AA46),1))</f>
        <v>69226</v>
      </c>
      <c r="S48" s="3237"/>
      <c r="T48" s="3237">
        <f>IF(F1="售价",ROUND(PRODUCT(T47,AB7:AB46),0),ROUND(PRODUCT(T47,AB7:AB46),1))</f>
        <v>71006</v>
      </c>
      <c r="U48" s="3237"/>
      <c r="V48" s="3237">
        <f>IF(F1="售价",ROUND(PRODUCT(V47,AC7:AC46),0),ROUND(PRODUCT(V47,AC7:AC46),1))</f>
        <v>70767</v>
      </c>
      <c r="W48" s="3237"/>
      <c r="X48" s="757"/>
      <c r="Y48" s="757"/>
      <c r="Z48" s="757"/>
      <c r="AA48" s="757"/>
      <c r="AB48" s="757"/>
      <c r="AC48" s="757"/>
    </row>
    <row r="49" spans="1:29" ht="15.75" thickBot="1">
      <c r="A49" s="491" t="s">
        <v>2568</v>
      </c>
      <c r="B49" s="492"/>
      <c r="C49" s="1414">
        <f>R49</f>
        <v>70333</v>
      </c>
      <c r="D49" s="1415"/>
      <c r="E49" s="1415"/>
      <c r="F49" s="1415"/>
      <c r="G49" s="1415"/>
      <c r="H49" s="1415"/>
      <c r="I49" s="1415"/>
      <c r="J49" s="1415"/>
      <c r="K49" s="2619"/>
      <c r="L49" s="1141"/>
      <c r="M49" s="1142"/>
      <c r="N49" s="1142"/>
      <c r="O49" s="1142"/>
      <c r="P49" s="3238" t="str">
        <f>A49</f>
        <v>估价对象XX用房的比较价值（楼面单价，元/平方米）</v>
      </c>
      <c r="Q49" s="3239"/>
      <c r="R49" s="3240">
        <f>IF(F1="售价",ROUND(AVERAGE(R48:V48),0),ROUND(AVERAGE(R48:V48),1))</f>
        <v>70333</v>
      </c>
      <c r="S49" s="3240"/>
      <c r="T49" s="3240"/>
      <c r="U49" s="3240"/>
      <c r="V49" s="3240"/>
      <c r="W49" s="324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2569</v>
      </c>
      <c r="D52" s="497"/>
      <c r="E52" s="498">
        <f>IF(E47&lt;E48,E48/E47-1,E47/E48-1)</f>
        <v>4.1556331246990874E-2</v>
      </c>
      <c r="F52" s="499" t="str">
        <f>IF(OR(E52&gt;=0.3,E52&lt;=-0.3),"超过30%","")</f>
        <v/>
      </c>
      <c r="G52" s="498">
        <f>IF(G47&lt;G48,G48/G47-1,G47/G48-1)</f>
        <v>4.1540763340863096E-2</v>
      </c>
      <c r="H52" s="499" t="str">
        <f>IF(OR(G52&gt;=0.3,G52&lt;=-0.3),"超过30%","")</f>
        <v/>
      </c>
      <c r="I52" s="498">
        <f>IF(I47&lt;I48,I48/I47-1,I47/I48-1)</f>
        <v>5.1968901904237974E-2</v>
      </c>
      <c r="J52" s="499" t="str">
        <f>IF(OR(I52&gt;=0.3,I52&lt;=-0.3),"超过30%","")</f>
        <v/>
      </c>
      <c r="K52" s="1103"/>
      <c r="L52" s="1104"/>
      <c r="M52" s="1142"/>
      <c r="N52" s="1142"/>
      <c r="O52" s="1142"/>
    </row>
    <row r="53" spans="1:29" ht="13.5" customHeight="1">
      <c r="A53" s="1142"/>
      <c r="B53" s="1142"/>
      <c r="C53" s="496" t="s">
        <v>2570</v>
      </c>
      <c r="D53" s="500"/>
      <c r="E53" s="498">
        <f>IF(E48&lt;G48,G48/E48-1,E48/G48-1)</f>
        <v>2.5712882443012841E-2</v>
      </c>
      <c r="F53" s="499" t="str">
        <f>IF(OR(E53&gt;=0.2,E53&lt;=-0.2),"超过20%","")</f>
        <v/>
      </c>
      <c r="G53" s="498">
        <f>IF(G48&lt;I48,I48/G48-1,G48/I48-1)</f>
        <v>3.3772803707943222E-3</v>
      </c>
      <c r="H53" s="499" t="str">
        <f>IF(OR(G53&gt;=0.2,G53&lt;=-0.2),"超过20%","")</f>
        <v/>
      </c>
      <c r="I53" s="498">
        <f>IF(I48&lt;E48,E48/I48-1,I48/E48-1)</f>
        <v>2.22604223846532E-2</v>
      </c>
      <c r="J53" s="499" t="str">
        <f>IF(OR(I53&gt;=0.2,I53&lt;=-0.2),"超过20%","")</f>
        <v/>
      </c>
      <c r="K53" s="1103"/>
      <c r="L53" s="1104"/>
      <c r="M53" s="1142"/>
      <c r="N53" s="1142"/>
      <c r="O53" s="1142"/>
    </row>
    <row r="54" spans="1:29" s="501" customFormat="1" ht="13.5" customHeight="1">
      <c r="A54" s="1143"/>
      <c r="B54" s="1143"/>
      <c r="C54" s="496" t="s">
        <v>2571</v>
      </c>
      <c r="D54" s="500"/>
      <c r="E54" s="498">
        <f>IF(E47&lt;G47,G47/E47-1,E47/G47-1)</f>
        <v>2.5728213769860453E-2</v>
      </c>
      <c r="F54" s="499" t="str">
        <f>IF(OR(E54&gt;=0.3,E54&lt;=-0.3),"超过30%","")</f>
        <v/>
      </c>
      <c r="G54" s="498">
        <f>IF(G47&lt;I47,I47/G47-1,G47/I47-1)</f>
        <v>1.3423317625722797E-2</v>
      </c>
      <c r="H54" s="499" t="str">
        <f>IF(OR(G54&gt;=0.3,G54&lt;=-0.3),"超过30%","")</f>
        <v/>
      </c>
      <c r="I54" s="498">
        <f>IF(I47&lt;E47,E47/I47-1,I47/E47-1)</f>
        <v>1.2141911410688433E-2</v>
      </c>
      <c r="J54" s="499" t="str">
        <f>IF(OR(I54&gt;=0.3,I54&lt;=-0.3),"超过30%","")</f>
        <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1" t="s">
        <v>2572</v>
      </c>
      <c r="B57" s="757"/>
      <c r="C57" s="762"/>
      <c r="D57" s="762"/>
      <c r="E57" s="762"/>
      <c r="F57" s="763"/>
      <c r="G57" s="763"/>
      <c r="H57" s="762"/>
      <c r="I57" s="762"/>
      <c r="J57" s="762"/>
      <c r="K57" s="1158"/>
      <c r="L57" s="1159"/>
      <c r="M57" s="1157"/>
      <c r="N57" s="1157"/>
      <c r="O57" s="1157"/>
      <c r="P57" s="2622"/>
      <c r="Q57" s="503"/>
    </row>
    <row r="58" spans="1:29" s="507" customFormat="1" ht="15">
      <c r="A58" s="504" t="s">
        <v>2573</v>
      </c>
      <c r="B58" s="505"/>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6" customFormat="1" ht="15">
      <c r="A59" s="508"/>
      <c r="B59" s="2623"/>
      <c r="C59" s="1571">
        <v>100</v>
      </c>
      <c r="D59" s="510">
        <v>100</v>
      </c>
      <c r="E59" s="511">
        <v>100</v>
      </c>
      <c r="F59" s="511">
        <v>100</v>
      </c>
      <c r="G59" s="511"/>
      <c r="H59" s="511"/>
      <c r="I59" s="511"/>
      <c r="J59" s="511"/>
      <c r="K59" s="511"/>
      <c r="L59" s="511"/>
      <c r="M59" s="512"/>
      <c r="N59" s="511"/>
      <c r="O59" s="512"/>
      <c r="P59" s="2624"/>
    </row>
    <row r="60" spans="1:29" s="116" customFormat="1" ht="15.75" thickBot="1">
      <c r="A60" s="514" t="s">
        <v>2574</v>
      </c>
      <c r="B60" s="515"/>
      <c r="C60" s="516"/>
      <c r="D60" s="517"/>
      <c r="E60" s="517"/>
      <c r="F60" s="517"/>
      <c r="G60" s="517"/>
      <c r="H60" s="517"/>
      <c r="I60" s="517"/>
      <c r="J60" s="517"/>
      <c r="K60" s="517"/>
      <c r="L60" s="517"/>
      <c r="M60" s="518"/>
      <c r="N60" s="517"/>
      <c r="O60" s="518"/>
      <c r="P60" s="2624"/>
      <c r="Q60" s="503"/>
    </row>
    <row r="61" spans="1:29" s="116" customFormat="1" ht="15">
      <c r="A61" s="520" t="s">
        <v>2575</v>
      </c>
      <c r="B61" s="509"/>
      <c r="C61" s="521" t="s">
        <v>2576</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2577</v>
      </c>
      <c r="B63" s="527" t="s">
        <v>2543</v>
      </c>
      <c r="C63" s="528" t="str">
        <f>C9</f>
        <v>公寓</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50"/>
      <c r="O65" s="1150"/>
      <c r="P65" s="2626"/>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1"/>
      <c r="O66" s="1151"/>
      <c r="P66" s="2626"/>
      <c r="Q66" s="503"/>
    </row>
    <row r="67" spans="1:17" ht="15.75" thickTop="1">
      <c r="A67" s="533"/>
      <c r="B67" s="545" t="s">
        <v>2547</v>
      </c>
      <c r="C67" s="546" t="str">
        <f>C68&amp;"（含）"&amp;"-"&amp;D68</f>
        <v>1（含）-2</v>
      </c>
      <c r="D67" s="546" t="str">
        <f t="shared" ref="D67:L67" si="21">D68&amp;"（含）"&amp;"-"&amp;E68</f>
        <v>2（含）-3</v>
      </c>
      <c r="E67" s="546" t="str">
        <f t="shared" si="21"/>
        <v>3（含）-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6"/>
      <c r="Q67" s="503"/>
    </row>
    <row r="68" spans="1:17" ht="15">
      <c r="A68" s="533"/>
      <c r="B68" s="547"/>
      <c r="C68" s="548">
        <v>1</v>
      </c>
      <c r="D68" s="548">
        <v>2</v>
      </c>
      <c r="E68" s="548">
        <v>3</v>
      </c>
      <c r="F68" s="548"/>
      <c r="G68" s="548"/>
      <c r="H68" s="548"/>
      <c r="I68" s="548"/>
      <c r="J68" s="548"/>
      <c r="K68" s="549"/>
      <c r="L68" s="550"/>
      <c r="M68" s="551"/>
      <c r="N68" s="1150"/>
      <c r="O68" s="1150"/>
      <c r="P68" s="2626"/>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50"/>
      <c r="O76" s="1150"/>
      <c r="P76" s="2630"/>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6"/>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50"/>
      <c r="O78" s="1150"/>
      <c r="P78" s="2626"/>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6"/>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50"/>
      <c r="O80" s="1150"/>
      <c r="P80" s="2626"/>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26"/>
      <c r="Q81" s="503"/>
    </row>
    <row r="82" spans="1:17" ht="15.75" thickTop="1">
      <c r="A82" s="533"/>
      <c r="B82" s="545" t="s">
        <v>2087</v>
      </c>
      <c r="C82" s="538" t="s">
        <v>2593</v>
      </c>
      <c r="D82" s="538" t="s">
        <v>2594</v>
      </c>
      <c r="E82" s="538" t="s">
        <v>2595</v>
      </c>
      <c r="F82" s="538" t="s">
        <v>2596</v>
      </c>
      <c r="G82" s="538" t="s">
        <v>2597</v>
      </c>
      <c r="H82" s="538"/>
      <c r="I82" s="538"/>
      <c r="J82" s="538"/>
      <c r="K82" s="538"/>
      <c r="L82" s="538"/>
      <c r="M82" s="1380"/>
      <c r="N82" s="1151"/>
      <c r="O82" s="1151"/>
      <c r="P82" s="2626"/>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1"/>
      <c r="O83" s="1151"/>
      <c r="P83" s="2626"/>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50"/>
      <c r="O84" s="1150"/>
      <c r="P84" s="2626"/>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6"/>
      <c r="Q85" s="503"/>
    </row>
    <row r="86" spans="1:17" s="116" customFormat="1" ht="15.75" thickTop="1">
      <c r="A86" s="578"/>
      <c r="B86" s="537" t="s">
        <v>2599</v>
      </c>
      <c r="C86" s="553">
        <v>26</v>
      </c>
      <c r="D86" s="553">
        <v>17</v>
      </c>
      <c r="E86" s="553">
        <v>16</v>
      </c>
      <c r="F86" s="553">
        <v>13</v>
      </c>
      <c r="G86" s="553"/>
      <c r="H86" s="553"/>
      <c r="I86" s="553"/>
      <c r="J86" s="553"/>
      <c r="K86" s="553"/>
      <c r="L86" s="579"/>
      <c r="M86" s="580"/>
      <c r="N86" s="1149"/>
      <c r="O86" s="1149"/>
      <c r="P86" s="262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6" customFormat="1" ht="15.75" thickTop="1">
      <c r="A88" s="578"/>
      <c r="B88" s="537" t="s">
        <v>2600</v>
      </c>
      <c r="C88" s="2970" t="s">
        <v>3266</v>
      </c>
      <c r="D88" s="2970" t="s">
        <v>3267</v>
      </c>
      <c r="E88" s="2970" t="s">
        <v>3268</v>
      </c>
      <c r="F88" s="2970" t="s">
        <v>3270</v>
      </c>
      <c r="G88" s="2970" t="s">
        <v>3269</v>
      </c>
      <c r="H88" s="2970" t="s">
        <v>3274</v>
      </c>
      <c r="I88" s="2970" t="s">
        <v>3273</v>
      </c>
      <c r="J88" s="2970"/>
      <c r="K88" s="553"/>
      <c r="L88" s="553"/>
      <c r="M88" s="580"/>
      <c r="N88" s="1149"/>
      <c r="O88" s="1149"/>
      <c r="P88" s="2626"/>
      <c r="Q88" s="503"/>
    </row>
    <row r="89" spans="1:17" s="116" customFormat="1" ht="15.75"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51"/>
      <c r="O89" s="1151"/>
      <c r="P89" s="2626"/>
      <c r="Q89" s="503"/>
    </row>
    <row r="90" spans="1:17" s="470" customFormat="1" ht="15.75" thickTop="1">
      <c r="A90" s="552"/>
      <c r="B90" s="537" t="str">
        <f>B27</f>
        <v>道路级别</v>
      </c>
      <c r="C90" s="2970" t="s">
        <v>3165</v>
      </c>
      <c r="D90" s="2970" t="s">
        <v>3166</v>
      </c>
      <c r="E90" s="2970" t="s">
        <v>3167</v>
      </c>
      <c r="F90" s="2970" t="s">
        <v>3168</v>
      </c>
      <c r="G90" s="2970" t="s">
        <v>3169</v>
      </c>
      <c r="H90" s="554"/>
      <c r="I90" s="554"/>
      <c r="J90" s="554"/>
      <c r="K90" s="554"/>
      <c r="L90" s="555"/>
      <c r="M90" s="556"/>
      <c r="N90" s="1152"/>
      <c r="O90" s="1152"/>
      <c r="P90" s="2627"/>
      <c r="Q90" s="558"/>
    </row>
    <row r="91" spans="1:17" s="470" customFormat="1" ht="15.75" thickBot="1">
      <c r="A91" s="552"/>
      <c r="B91" s="542"/>
      <c r="C91" s="559">
        <v>100</v>
      </c>
      <c r="D91" s="559">
        <v>98</v>
      </c>
      <c r="E91" s="559">
        <v>96</v>
      </c>
      <c r="F91" s="559">
        <v>94</v>
      </c>
      <c r="G91" s="559">
        <v>92</v>
      </c>
      <c r="H91" s="561"/>
      <c r="I91" s="561"/>
      <c r="J91" s="561"/>
      <c r="K91" s="561"/>
      <c r="L91" s="561"/>
      <c r="M91" s="562"/>
      <c r="N91" s="1152"/>
      <c r="O91" s="1152"/>
      <c r="P91" s="2627"/>
      <c r="Q91" s="558"/>
    </row>
    <row r="92" spans="1:17" ht="15.75" thickTop="1">
      <c r="A92" s="533"/>
      <c r="B92" s="537" t="str">
        <f>B28</f>
        <v>人流量</v>
      </c>
      <c r="C92" s="2970" t="s">
        <v>3187</v>
      </c>
      <c r="D92" s="2970" t="s">
        <v>3188</v>
      </c>
      <c r="E92" s="2970" t="s">
        <v>3189</v>
      </c>
      <c r="F92" s="2970" t="s">
        <v>3190</v>
      </c>
      <c r="G92" s="2971" t="s">
        <v>3191</v>
      </c>
      <c r="H92" s="582"/>
      <c r="I92" s="582"/>
      <c r="J92" s="582"/>
      <c r="K92" s="583"/>
      <c r="L92" s="584"/>
      <c r="M92" s="585"/>
      <c r="N92" s="1150"/>
      <c r="O92" s="1150"/>
      <c r="P92" s="2626"/>
      <c r="Q92" s="503"/>
    </row>
    <row r="93" spans="1:17" ht="15.75" thickBot="1">
      <c r="A93" s="533"/>
      <c r="B93" s="542"/>
      <c r="C93" s="559">
        <v>100</v>
      </c>
      <c r="D93" s="535">
        <v>98</v>
      </c>
      <c r="E93" s="535">
        <v>96</v>
      </c>
      <c r="F93" s="535">
        <v>94</v>
      </c>
      <c r="G93" s="535">
        <v>92</v>
      </c>
      <c r="H93" s="535"/>
      <c r="I93" s="535"/>
      <c r="J93" s="535"/>
      <c r="K93" s="535"/>
      <c r="L93" s="535"/>
      <c r="M93" s="536"/>
      <c r="N93" s="1151"/>
      <c r="O93" s="1151"/>
      <c r="P93" s="2626"/>
      <c r="Q93" s="503"/>
    </row>
    <row r="94" spans="1:17" ht="15.75" thickTop="1">
      <c r="A94" s="533"/>
      <c r="B94" s="537" t="str">
        <f>B29</f>
        <v>朝向</v>
      </c>
      <c r="C94" s="2970" t="s">
        <v>3266</v>
      </c>
      <c r="D94" s="2970" t="s">
        <v>3267</v>
      </c>
      <c r="E94" s="2970" t="s">
        <v>3100</v>
      </c>
      <c r="F94" s="2970" t="s">
        <v>3275</v>
      </c>
      <c r="G94" s="2970" t="s">
        <v>3276</v>
      </c>
      <c r="H94" s="2970" t="s">
        <v>3277</v>
      </c>
      <c r="I94" s="2970" t="s">
        <v>3278</v>
      </c>
      <c r="J94" s="2970" t="s">
        <v>3271</v>
      </c>
      <c r="K94" s="2970" t="s">
        <v>3272</v>
      </c>
      <c r="L94" s="2970" t="s">
        <v>3273</v>
      </c>
      <c r="M94" s="2970"/>
      <c r="N94" s="1150"/>
      <c r="O94" s="1150"/>
      <c r="P94" s="2626"/>
      <c r="Q94" s="503"/>
    </row>
    <row r="95" spans="1:17" ht="15.75" thickBot="1">
      <c r="A95" s="533"/>
      <c r="B95" s="542"/>
      <c r="C95" s="559">
        <v>100</v>
      </c>
      <c r="D95" s="559">
        <v>99</v>
      </c>
      <c r="E95" s="559">
        <v>98</v>
      </c>
      <c r="F95" s="559">
        <v>98</v>
      </c>
      <c r="G95" s="535">
        <v>97</v>
      </c>
      <c r="H95" s="535">
        <v>97</v>
      </c>
      <c r="I95" s="535">
        <v>96</v>
      </c>
      <c r="J95" s="535">
        <v>95</v>
      </c>
      <c r="K95" s="535">
        <v>95</v>
      </c>
      <c r="L95" s="535">
        <v>94</v>
      </c>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2552</v>
      </c>
      <c r="B100" s="527" t="s">
        <v>2601</v>
      </c>
      <c r="C100" s="3007" t="s">
        <v>3193</v>
      </c>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1"/>
      <c r="O101" s="1151"/>
      <c r="P101" s="2626"/>
      <c r="Q101" s="503"/>
    </row>
    <row r="102" spans="1:17" ht="15.75" thickTop="1">
      <c r="A102" s="533"/>
      <c r="B102" s="537" t="s">
        <v>2602</v>
      </c>
      <c r="C102" s="577" t="str">
        <f>C103&amp;"(含)"&amp;"-"&amp;D103</f>
        <v>0(含)-100</v>
      </c>
      <c r="D102" s="577" t="str">
        <f t="shared" ref="D102:L102" si="27">D103&amp;"(含)"&amp;"-"&amp;E103</f>
        <v>100(含)-300</v>
      </c>
      <c r="E102" s="577" t="str">
        <f t="shared" si="27"/>
        <v>300(含)-500</v>
      </c>
      <c r="F102" s="577" t="str">
        <f t="shared" si="27"/>
        <v>500(含)-1000</v>
      </c>
      <c r="G102" s="577" t="str">
        <f t="shared" si="27"/>
        <v>1000(含)-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v>0</v>
      </c>
      <c r="D103" s="594">
        <v>100</v>
      </c>
      <c r="E103" s="594">
        <v>300</v>
      </c>
      <c r="F103" s="594">
        <v>500</v>
      </c>
      <c r="G103" s="594">
        <v>1000</v>
      </c>
      <c r="H103" s="594"/>
      <c r="I103" s="594"/>
      <c r="J103" s="595"/>
      <c r="K103" s="595"/>
      <c r="L103" s="596"/>
      <c r="M103" s="597"/>
      <c r="N103" s="1152"/>
      <c r="O103" s="1152"/>
      <c r="P103" s="2627"/>
      <c r="Q103" s="558"/>
    </row>
    <row r="104" spans="1:17" s="470" customFormat="1" ht="15.75" thickBot="1">
      <c r="A104" s="552"/>
      <c r="B104" s="542"/>
      <c r="C104" s="559">
        <v>100</v>
      </c>
      <c r="D104" s="535">
        <v>98</v>
      </c>
      <c r="E104" s="535">
        <v>96</v>
      </c>
      <c r="F104" s="535">
        <v>94</v>
      </c>
      <c r="G104" s="535">
        <v>92</v>
      </c>
      <c r="H104" s="535"/>
      <c r="I104" s="535"/>
      <c r="J104" s="535"/>
      <c r="K104" s="535"/>
      <c r="L104" s="535"/>
      <c r="M104" s="535"/>
      <c r="N104" s="1151"/>
      <c r="O104" s="1151"/>
      <c r="P104" s="2627"/>
      <c r="Q104" s="558"/>
    </row>
    <row r="105" spans="1:17" ht="15" thickTop="1">
      <c r="A105" s="598"/>
      <c r="B105" s="537" t="s">
        <v>2603</v>
      </c>
      <c r="C105" s="2970" t="s">
        <v>3178</v>
      </c>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51"/>
      <c r="O106" s="1151"/>
      <c r="P106" s="2626"/>
      <c r="Q106" s="503"/>
    </row>
    <row r="107" spans="1:17" ht="15" thickTop="1">
      <c r="A107" s="598"/>
      <c r="B107" s="537" t="s">
        <v>2604</v>
      </c>
      <c r="C107" s="2971" t="s">
        <v>3180</v>
      </c>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1"/>
      <c r="O108" s="1151"/>
      <c r="P108" s="2626"/>
      <c r="Q108" s="503"/>
    </row>
    <row r="109" spans="1:17" ht="15" thickTop="1">
      <c r="A109" s="598"/>
      <c r="B109" s="537" t="s">
        <v>2605</v>
      </c>
      <c r="C109" s="2970" t="s">
        <v>3181</v>
      </c>
      <c r="D109" s="2970" t="s">
        <v>3182</v>
      </c>
      <c r="E109" s="2970" t="s">
        <v>3183</v>
      </c>
      <c r="F109" s="2971" t="s">
        <v>3184</v>
      </c>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1"/>
      <c r="O110" s="1151"/>
      <c r="P110" s="2626"/>
      <c r="Q110" s="503"/>
    </row>
    <row r="111" spans="1:17" s="470" customFormat="1" ht="15" thickTop="1">
      <c r="A111" s="592"/>
      <c r="B111" s="537" t="s">
        <v>1987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2"/>
      <c r="O113" s="1152"/>
      <c r="P113" s="2627"/>
      <c r="Q113" s="558"/>
    </row>
    <row r="114" spans="1:17" ht="15" thickTop="1">
      <c r="A114" s="598"/>
      <c r="B114" s="537" t="s">
        <v>2606</v>
      </c>
      <c r="C114" s="2970" t="s">
        <v>3196</v>
      </c>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51"/>
      <c r="O115" s="1151"/>
      <c r="P115" s="2626"/>
      <c r="Q115" s="503"/>
    </row>
    <row r="116" spans="1:17" ht="15" thickTop="1">
      <c r="A116" s="598"/>
      <c r="B116" s="537" t="s">
        <v>2607</v>
      </c>
      <c r="C116" s="2970" t="s">
        <v>3197</v>
      </c>
      <c r="D116" s="2970" t="s">
        <v>3198</v>
      </c>
      <c r="E116" s="2970" t="s">
        <v>3199</v>
      </c>
      <c r="F116" s="2970" t="s">
        <v>3200</v>
      </c>
      <c r="G116" s="2970" t="s">
        <v>3201</v>
      </c>
      <c r="H116" s="582"/>
      <c r="I116" s="582"/>
      <c r="J116" s="582"/>
      <c r="K116" s="583"/>
      <c r="L116" s="584"/>
      <c r="M116" s="585"/>
      <c r="N116" s="1150"/>
      <c r="O116" s="1150"/>
      <c r="P116" s="2626"/>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1"/>
      <c r="O117" s="1151"/>
      <c r="P117" s="2626"/>
      <c r="Q117" s="503"/>
    </row>
    <row r="118" spans="1:17" ht="15" thickTop="1">
      <c r="A118" s="598"/>
      <c r="B118" s="537" t="s">
        <v>2608</v>
      </c>
      <c r="C118" s="2971" t="s">
        <v>3062</v>
      </c>
      <c r="D118" s="2971" t="s">
        <v>3064</v>
      </c>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51"/>
      <c r="O119" s="1151"/>
      <c r="P119" s="2626"/>
      <c r="Q119" s="503"/>
    </row>
    <row r="120" spans="1:17" s="470" customFormat="1" ht="28.5" thickTop="1">
      <c r="A120" s="592"/>
      <c r="B120" s="537" t="s">
        <v>2563</v>
      </c>
      <c r="C120" s="553">
        <v>194.47</v>
      </c>
      <c r="D120" s="553">
        <v>111.49</v>
      </c>
      <c r="E120" s="553">
        <v>111.48</v>
      </c>
      <c r="F120" s="553"/>
      <c r="G120" s="553"/>
      <c r="H120" s="553"/>
      <c r="I120" s="553"/>
      <c r="J120" s="553"/>
      <c r="K120" s="553"/>
      <c r="L120" s="579"/>
      <c r="M120" s="580"/>
      <c r="N120" s="1152"/>
      <c r="O120" s="1152"/>
      <c r="P120" s="2627"/>
      <c r="Q120" s="558"/>
    </row>
    <row r="121" spans="1:17" s="470" customFormat="1" ht="15.75" thickBot="1">
      <c r="A121" s="552"/>
      <c r="B121" s="534"/>
      <c r="C121" s="559">
        <v>99</v>
      </c>
      <c r="D121" s="535">
        <v>100</v>
      </c>
      <c r="E121" s="535">
        <v>100</v>
      </c>
      <c r="F121" s="535"/>
      <c r="G121" s="535"/>
      <c r="H121" s="535"/>
      <c r="I121" s="535"/>
      <c r="J121" s="535"/>
      <c r="K121" s="535"/>
      <c r="L121" s="535"/>
      <c r="M121" s="535"/>
      <c r="N121" s="1152"/>
      <c r="O121" s="1152"/>
      <c r="P121" s="2627"/>
      <c r="Q121" s="558"/>
    </row>
    <row r="122" spans="1:17" ht="15" thickTop="1">
      <c r="A122" s="598"/>
      <c r="B122" s="537" t="s">
        <v>2609</v>
      </c>
      <c r="C122" s="2970" t="s">
        <v>3066</v>
      </c>
      <c r="D122" s="2970" t="s">
        <v>3068</v>
      </c>
      <c r="E122" s="2970" t="s">
        <v>3070</v>
      </c>
      <c r="F122" s="2971" t="s">
        <v>3071</v>
      </c>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1"/>
      <c r="O123" s="1151"/>
      <c r="P123" s="2626"/>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50"/>
      <c r="O124" s="1150"/>
      <c r="P124" s="2627"/>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6"/>
      <c r="Q125" s="503"/>
    </row>
    <row r="126" spans="1:17" s="470" customFormat="1" ht="15" thickTop="1">
      <c r="A126" s="592"/>
      <c r="B126" s="537" t="str">
        <f>B44</f>
        <v>楼层</v>
      </c>
      <c r="C126" s="553">
        <v>26</v>
      </c>
      <c r="D126" s="553">
        <v>17</v>
      </c>
      <c r="E126" s="553">
        <v>16</v>
      </c>
      <c r="F126" s="553">
        <v>13</v>
      </c>
      <c r="G126" s="553"/>
      <c r="H126" s="554"/>
      <c r="I126" s="554"/>
      <c r="J126" s="554"/>
      <c r="K126" s="554"/>
      <c r="L126" s="555"/>
      <c r="M126" s="556"/>
      <c r="N126" s="1152"/>
      <c r="O126" s="1152"/>
      <c r="P126" s="2627"/>
      <c r="Q126" s="558"/>
    </row>
    <row r="127" spans="1:17" s="470" customFormat="1" ht="15.75" thickBot="1">
      <c r="A127" s="552"/>
      <c r="B127" s="542"/>
      <c r="C127" s="559">
        <v>100</v>
      </c>
      <c r="D127" s="535">
        <v>98</v>
      </c>
      <c r="E127" s="535">
        <v>98</v>
      </c>
      <c r="F127" s="535">
        <v>97</v>
      </c>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2611</v>
      </c>
    </row>
    <row r="137" spans="1:17" ht="15">
      <c r="B137" s="2634" t="s">
        <v>2612</v>
      </c>
      <c r="C137" s="2635"/>
      <c r="D137" s="2635"/>
      <c r="E137" s="2635"/>
      <c r="F137" s="2635"/>
      <c r="G137" s="2636"/>
      <c r="H137" s="2637"/>
      <c r="I137" s="2638" t="s">
        <v>2613</v>
      </c>
      <c r="J137" s="2635"/>
      <c r="K137" s="2639"/>
    </row>
    <row r="138" spans="1:17" ht="15">
      <c r="B138" s="2640"/>
      <c r="C138" s="145" t="s">
        <v>2614</v>
      </c>
      <c r="D138" s="145" t="s">
        <v>2615</v>
      </c>
      <c r="E138" s="2641" t="s">
        <v>2616</v>
      </c>
      <c r="F138" s="2642" t="s">
        <v>2617</v>
      </c>
      <c r="G138" s="145" t="s">
        <v>2615</v>
      </c>
      <c r="H138" s="146" t="s">
        <v>2616</v>
      </c>
      <c r="I138" s="2643"/>
      <c r="J138" s="145" t="s">
        <v>2618</v>
      </c>
      <c r="K138" s="146" t="s">
        <v>2619</v>
      </c>
    </row>
    <row r="139" spans="1:17" ht="15">
      <c r="B139" s="1082">
        <v>6</v>
      </c>
      <c r="C139" s="1083">
        <v>96</v>
      </c>
      <c r="D139" s="2644" t="s">
        <v>2620</v>
      </c>
      <c r="E139" s="1084">
        <v>100</v>
      </c>
      <c r="F139" s="1085">
        <v>102.5</v>
      </c>
      <c r="G139" s="2644" t="s">
        <v>2620</v>
      </c>
      <c r="H139" s="1086">
        <v>105</v>
      </c>
      <c r="I139" s="2645" t="s">
        <v>2621</v>
      </c>
      <c r="J139" s="1083">
        <v>20</v>
      </c>
      <c r="K139" s="1087">
        <f>C145/(J139-2)</f>
        <v>4.0555555555555553E-3</v>
      </c>
    </row>
    <row r="140" spans="1:17" ht="15">
      <c r="B140" s="1088">
        <v>5</v>
      </c>
      <c r="C140" s="1089">
        <v>100</v>
      </c>
      <c r="D140" s="1089"/>
      <c r="E140" s="1090"/>
      <c r="F140" s="1091">
        <v>102</v>
      </c>
      <c r="G140" s="1089"/>
      <c r="H140" s="1092"/>
      <c r="I140" s="2646" t="s">
        <v>2622</v>
      </c>
      <c r="J140" s="314">
        <f>ROUNDUP((J139-1)/2,0)</f>
        <v>10</v>
      </c>
      <c r="K140" s="1093">
        <v>100</v>
      </c>
    </row>
    <row r="141" spans="1:17" ht="15">
      <c r="B141" s="1088">
        <v>4</v>
      </c>
      <c r="C141" s="1089">
        <v>102</v>
      </c>
      <c r="D141" s="1089"/>
      <c r="E141" s="1090"/>
      <c r="F141" s="1091">
        <v>101.5</v>
      </c>
      <c r="G141" s="1089"/>
      <c r="H141" s="1092"/>
      <c r="I141" s="2646" t="s">
        <v>2623</v>
      </c>
      <c r="J141" s="314">
        <v>1</v>
      </c>
      <c r="K141" s="1094">
        <f>ROUND(100+(J141-J140)*K139*100,1)</f>
        <v>96.4</v>
      </c>
    </row>
    <row r="142" spans="1:17" ht="15">
      <c r="B142" s="1088">
        <v>3</v>
      </c>
      <c r="C142" s="1089">
        <v>103</v>
      </c>
      <c r="D142" s="1089"/>
      <c r="E142" s="1090"/>
      <c r="F142" s="1091">
        <v>101</v>
      </c>
      <c r="G142" s="1089"/>
      <c r="H142" s="1092"/>
      <c r="I142" s="2646" t="s">
        <v>2624</v>
      </c>
      <c r="J142" s="314">
        <f>J139</f>
        <v>20</v>
      </c>
      <c r="K142" s="1095">
        <v>95</v>
      </c>
    </row>
    <row r="143" spans="1:17" ht="15">
      <c r="B143" s="1088">
        <v>2</v>
      </c>
      <c r="C143" s="1089">
        <v>100</v>
      </c>
      <c r="D143" s="1089"/>
      <c r="E143" s="1090"/>
      <c r="F143" s="1091">
        <v>100.5</v>
      </c>
      <c r="G143" s="1089"/>
      <c r="H143" s="1092"/>
      <c r="I143" s="2646" t="s">
        <v>2625</v>
      </c>
      <c r="J143" s="1089">
        <v>15</v>
      </c>
      <c r="K143" s="1094">
        <f>ROUND(100+(J143-J140)*K139*100,1)</f>
        <v>102</v>
      </c>
    </row>
    <row r="144" spans="1:17" ht="15">
      <c r="B144" s="1088">
        <v>1</v>
      </c>
      <c r="C144" s="1089">
        <v>98</v>
      </c>
      <c r="D144" s="2647" t="s">
        <v>2626</v>
      </c>
      <c r="E144" s="1090">
        <v>102</v>
      </c>
      <c r="F144" s="1096">
        <v>100</v>
      </c>
      <c r="G144" s="2647" t="s">
        <v>2626</v>
      </c>
      <c r="H144" s="1092">
        <v>105</v>
      </c>
      <c r="I144" s="2646" t="s">
        <v>2625</v>
      </c>
      <c r="J144" s="1089">
        <v>18</v>
      </c>
      <c r="K144" s="1094">
        <f>ROUND(100+(J144-J140)*K139*100,1)</f>
        <v>103.2</v>
      </c>
    </row>
    <row r="145" spans="2:11" ht="15.75" thickBot="1">
      <c r="B145" s="2648" t="s">
        <v>2627</v>
      </c>
      <c r="C145" s="1097">
        <f>ROUND(MAX(C139:C144)/MIN(C139:C144)-1,3)</f>
        <v>7.2999999999999995E-2</v>
      </c>
      <c r="D145" s="1098"/>
      <c r="E145" s="1098"/>
      <c r="F145" s="2649" t="s">
        <v>2628</v>
      </c>
      <c r="G145" s="2650"/>
      <c r="H145" s="2651"/>
      <c r="I145" s="2652" t="s">
        <v>2625</v>
      </c>
      <c r="J145" s="1099">
        <v>8</v>
      </c>
      <c r="K145" s="1100">
        <f>ROUND(100+(J145-J140)*K139*100,1)</f>
        <v>99.2</v>
      </c>
    </row>
    <row r="147" spans="2:11">
      <c r="B147" s="2633" t="s">
        <v>2629</v>
      </c>
    </row>
    <row r="148" spans="2:11">
      <c r="B148" s="2633"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38" priority="15" stopIfTrue="1" operator="containsText" text="超过">
      <formula>NOT(ISERROR(SEARCH("超过",F52)))</formula>
    </cfRule>
  </conditionalFormatting>
  <conditionalFormatting sqref="J54">
    <cfRule type="containsText" dxfId="37" priority="14" stopIfTrue="1" operator="containsText" text="超过">
      <formula>NOT(ISERROR(SEARCH("超过",J54)))</formula>
    </cfRule>
  </conditionalFormatting>
  <conditionalFormatting sqref="H54">
    <cfRule type="containsText" dxfId="36" priority="13" stopIfTrue="1" operator="containsText" text="超过">
      <formula>NOT(ISERROR(SEARCH("超过",H54)))</formula>
    </cfRule>
  </conditionalFormatting>
  <conditionalFormatting sqref="F54">
    <cfRule type="containsText" dxfId="35" priority="12" stopIfTrue="1" operator="containsText" text="超过">
      <formula>NOT(ISERROR(SEARCH("超过",F54)))</formula>
    </cfRule>
  </conditionalFormatting>
  <conditionalFormatting sqref="F53 H53 J53">
    <cfRule type="containsText" dxfId="34" priority="11" stopIfTrue="1" operator="containsText" text="超过">
      <formula>NOT(ISERROR(SEARCH("超过",F53)))</formula>
    </cfRule>
  </conditionalFormatting>
  <conditionalFormatting sqref="E52">
    <cfRule type="expression" dxfId="33" priority="10" stopIfTrue="1">
      <formula>$F$52="超过30%"</formula>
    </cfRule>
  </conditionalFormatting>
  <conditionalFormatting sqref="G54">
    <cfRule type="expression" dxfId="32" priority="8" stopIfTrue="1">
      <formula>$H$54="超过30%"</formula>
    </cfRule>
  </conditionalFormatting>
  <conditionalFormatting sqref="E53">
    <cfRule type="expression" dxfId="31" priority="7" stopIfTrue="1">
      <formula>$F$53="超过20%"</formula>
    </cfRule>
  </conditionalFormatting>
  <conditionalFormatting sqref="E54">
    <cfRule type="expression" dxfId="30" priority="6" stopIfTrue="1">
      <formula>$F$54="超过30%"</formula>
    </cfRule>
  </conditionalFormatting>
  <conditionalFormatting sqref="G52">
    <cfRule type="expression" dxfId="29" priority="5" stopIfTrue="1">
      <formula>$H$52="超过30%"</formula>
    </cfRule>
  </conditionalFormatting>
  <conditionalFormatting sqref="G53">
    <cfRule type="expression" dxfId="28" priority="4" stopIfTrue="1">
      <formula>$H$53="超过20%"</formula>
    </cfRule>
  </conditionalFormatting>
  <conditionalFormatting sqref="I52">
    <cfRule type="expression" dxfId="27" priority="3" stopIfTrue="1">
      <formula>$J$52="超过30%"</formula>
    </cfRule>
  </conditionalFormatting>
  <conditionalFormatting sqref="I53">
    <cfRule type="expression" dxfId="26" priority="2" stopIfTrue="1">
      <formula>$J$53="超过20%"</formula>
    </cfRule>
  </conditionalFormatting>
  <conditionalFormatting sqref="I54">
    <cfRule type="expression" dxfId="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30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28"/>
      <c r="C2" s="3028"/>
      <c r="D2" s="3028"/>
      <c r="E2" s="3028"/>
    </row>
    <row r="3" spans="1:5" ht="18">
      <c r="A3" s="3029" t="str">
        <f>IF(项目基本情况!B9="房地产市场价值","估价结果一览表（市场价值不需“结果表-1”）","估价结果一览表")</f>
        <v>估价结果一览表（市场价值不需“结果表-1”）</v>
      </c>
      <c r="B3" s="3029"/>
      <c r="C3" s="3029"/>
      <c r="D3" s="3029"/>
      <c r="E3" s="3029"/>
    </row>
    <row r="4" spans="1:5" ht="19.5" thickBot="1">
      <c r="A4" s="1959"/>
      <c r="B4" s="3027" t="s">
        <v>1625</v>
      </c>
      <c r="C4" s="3027"/>
      <c r="D4" s="3027"/>
      <c r="E4" s="1959"/>
    </row>
    <row r="5" spans="1:5" ht="16.5" thickTop="1">
      <c r="A5" s="1957"/>
      <c r="B5" s="3025" t="s">
        <v>1617</v>
      </c>
      <c r="C5" s="1960" t="s">
        <v>1618</v>
      </c>
      <c r="D5" s="1038">
        <f ca="1">结果表!H101</f>
        <v>1368</v>
      </c>
      <c r="E5" s="1957"/>
    </row>
    <row r="6" spans="1:5" ht="15.75">
      <c r="A6" s="1957"/>
      <c r="B6" s="3025"/>
      <c r="C6" s="1960" t="s">
        <v>1619</v>
      </c>
      <c r="D6" s="1038" t="str">
        <f ca="1">NUMBERSTRING(INT(D5*10000),2)&amp;"元整"</f>
        <v>壹仟叁佰陆拾捌万元整</v>
      </c>
      <c r="E6" s="1957"/>
    </row>
    <row r="7" spans="1:5" ht="15.75">
      <c r="A7" s="1957"/>
      <c r="B7" s="3030"/>
      <c r="C7" s="1961" t="s">
        <v>1620</v>
      </c>
      <c r="D7" s="1039">
        <f ca="1">结果表!H102</f>
        <v>70345</v>
      </c>
      <c r="E7" s="1957"/>
    </row>
    <row r="8" spans="1:5" ht="15.75">
      <c r="A8" s="1957"/>
      <c r="B8" s="3031" t="str">
        <f>结果表!E103</f>
        <v>2.估价师知悉的法定优先受偿款</v>
      </c>
      <c r="C8" s="1962" t="s">
        <v>1621</v>
      </c>
      <c r="D8" s="1039">
        <f>结果表!H103</f>
        <v>0</v>
      </c>
      <c r="E8" s="1957"/>
    </row>
    <row r="9" spans="1:5" ht="15.75">
      <c r="A9" s="1957"/>
      <c r="B9" s="3033"/>
      <c r="C9" s="1960" t="s">
        <v>1619</v>
      </c>
      <c r="D9" s="1038" t="str">
        <f>NUMBERSTRING(INT(D8*10000),2)&amp;"元整"</f>
        <v>零元整</v>
      </c>
      <c r="E9" s="1957"/>
    </row>
    <row r="10" spans="1:5" ht="15">
      <c r="A10" s="1957"/>
      <c r="B10" s="1963" t="s">
        <v>1624</v>
      </c>
      <c r="C10" s="1964" t="s">
        <v>1622</v>
      </c>
      <c r="D10" s="1040">
        <f>结果表!H104</f>
        <v>0</v>
      </c>
      <c r="E10" s="1957"/>
    </row>
    <row r="11" spans="1:5" ht="15">
      <c r="A11" s="1957"/>
      <c r="B11" s="1963" t="s">
        <v>1626</v>
      </c>
      <c r="C11" s="1964" t="s">
        <v>1627</v>
      </c>
      <c r="D11" s="1040">
        <f>结果表!H105</f>
        <v>0</v>
      </c>
      <c r="E11" s="1957"/>
    </row>
    <row r="12" spans="1:5" ht="15">
      <c r="A12" s="1957"/>
      <c r="B12" s="1963" t="s">
        <v>1628</v>
      </c>
      <c r="C12" s="1964" t="s">
        <v>1627</v>
      </c>
      <c r="D12" s="1040">
        <f>结果表!H106</f>
        <v>0</v>
      </c>
      <c r="E12" s="1957"/>
    </row>
    <row r="13" spans="1:5" ht="15.75">
      <c r="A13" s="1957"/>
      <c r="B13" s="3024" t="str">
        <f>结果表!E107</f>
        <v>3.房地产抵押价值</v>
      </c>
      <c r="C13" s="1965" t="s">
        <v>1618</v>
      </c>
      <c r="D13" s="1041">
        <f ca="1">结果表!H107</f>
        <v>1368</v>
      </c>
      <c r="E13" s="1957"/>
    </row>
    <row r="14" spans="1:5" ht="15.75">
      <c r="A14" s="1957"/>
      <c r="B14" s="3025"/>
      <c r="C14" s="1960" t="s">
        <v>1619</v>
      </c>
      <c r="D14" s="1038" t="str">
        <f ca="1">NUMBERSTRING(INT(D13*10000),2)&amp;"元整"</f>
        <v>壹仟叁佰陆拾捌万元整</v>
      </c>
      <c r="E14" s="1957"/>
    </row>
    <row r="15" spans="1:5" ht="15">
      <c r="A15" s="1957"/>
      <c r="B15" s="3030"/>
      <c r="C15" s="1961" t="s">
        <v>1629</v>
      </c>
      <c r="D15" s="1050">
        <f ca="1">结果表!H108</f>
        <v>44933</v>
      </c>
      <c r="E15" s="1957"/>
    </row>
    <row r="16" spans="1:5" ht="15">
      <c r="A16" s="1957"/>
      <c r="B16" s="3031" t="str">
        <f>结果表!E109</f>
        <v>——</v>
      </c>
      <c r="C16" s="1965" t="s">
        <v>1630</v>
      </c>
      <c r="D16" s="1966" t="str">
        <f>结果表!H109</f>
        <v>——</v>
      </c>
      <c r="E16" s="1957"/>
    </row>
    <row r="17" spans="1:5" ht="15.75">
      <c r="A17" s="1957"/>
      <c r="B17" s="3032"/>
      <c r="C17" s="1960" t="s">
        <v>1631</v>
      </c>
      <c r="D17" s="1038" t="e">
        <f>NUMBERSTRING(INT(D16*10000),2)&amp;"元整"</f>
        <v>#VALUE!</v>
      </c>
      <c r="E17" s="1957"/>
    </row>
    <row r="18" spans="1:5" ht="15">
      <c r="A18" s="1957"/>
      <c r="B18" s="3033"/>
      <c r="C18" s="1961" t="s">
        <v>1620</v>
      </c>
      <c r="D18" s="1050" t="str">
        <f>结果表!H110</f>
        <v>——</v>
      </c>
      <c r="E18" s="1957"/>
    </row>
    <row r="19" spans="1:5" ht="15.75">
      <c r="A19" s="1957"/>
      <c r="B19" s="3024" t="str">
        <f>结果表!E111</f>
        <v>——</v>
      </c>
      <c r="C19" s="1965" t="s">
        <v>1618</v>
      </c>
      <c r="D19" s="1039" t="str">
        <f>结果表!H111</f>
        <v>——</v>
      </c>
      <c r="E19" s="1957"/>
    </row>
    <row r="20" spans="1:5" ht="15.75">
      <c r="A20" s="1957"/>
      <c r="B20" s="3025"/>
      <c r="C20" s="1960" t="s">
        <v>1631</v>
      </c>
      <c r="D20" s="1038" t="e">
        <f>NUMBERSTRING(INT(D19*10000),2)&amp;"元整"</f>
        <v>#VALUE!</v>
      </c>
      <c r="E20" s="1957"/>
    </row>
    <row r="21" spans="1:5" ht="15.75" thickBot="1">
      <c r="A21" s="1957"/>
      <c r="B21" s="3026"/>
      <c r="C21" s="1967" t="s">
        <v>1629</v>
      </c>
      <c r="D21" s="1051"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66" sqref="B66"/>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10" sqref="F1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0"/>
      <c r="C1" s="1835" t="s">
        <v>3053</v>
      </c>
      <c r="D1" s="1818" t="s">
        <v>70</v>
      </c>
      <c r="E1" s="1819" t="s">
        <v>1382</v>
      </c>
      <c r="F1" s="1281">
        <f ca="1">J53</f>
        <v>52.35</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1585</v>
      </c>
      <c r="B2" s="1842">
        <f ca="1">ROUND(D2/10000,0)</f>
        <v>892</v>
      </c>
      <c r="C2" s="1843" t="s">
        <v>1586</v>
      </c>
      <c r="D2" s="1936">
        <f ca="1">C40+J29+L46</f>
        <v>8924172</v>
      </c>
      <c r="E2" s="1844" t="s">
        <v>1587</v>
      </c>
      <c r="F2" s="1845"/>
      <c r="G2" s="1846"/>
      <c r="H2" s="1838"/>
      <c r="I2" s="1838"/>
      <c r="J2" s="1838"/>
      <c r="K2" s="1839"/>
      <c r="L2" s="1838"/>
      <c r="M2" s="1838"/>
    </row>
    <row r="3" spans="1:37" ht="18" customHeight="1" thickBot="1">
      <c r="A3" s="1847" t="s">
        <v>1588</v>
      </c>
      <c r="B3" s="1848">
        <f ca="1">IF(ISERROR(D2/F43),0,ROUND(D2/F43,0))</f>
        <v>45890</v>
      </c>
      <c r="C3" s="1843" t="s">
        <v>1589</v>
      </c>
      <c r="D3" s="1843"/>
      <c r="E3" s="1844"/>
      <c r="F3" s="1845"/>
      <c r="G3" s="1846"/>
      <c r="H3" s="742" t="s">
        <v>1583</v>
      </c>
      <c r="I3" s="1838"/>
      <c r="J3" s="1838"/>
      <c r="K3" s="1839"/>
      <c r="L3" s="1838"/>
      <c r="M3" s="1838"/>
    </row>
    <row r="4" spans="1:37" ht="18" customHeight="1">
      <c r="A4" s="339" t="s">
        <v>1590</v>
      </c>
      <c r="B4" s="340" t="s">
        <v>1591</v>
      </c>
      <c r="C4" s="340" t="s">
        <v>1592</v>
      </c>
      <c r="D4" s="340" t="s">
        <v>1593</v>
      </c>
      <c r="E4" s="341" t="s">
        <v>1594</v>
      </c>
      <c r="F4" s="342"/>
      <c r="G4" s="1849"/>
      <c r="H4" s="339" t="s">
        <v>1590</v>
      </c>
      <c r="I4" s="340" t="s">
        <v>1591</v>
      </c>
      <c r="J4" s="340" t="s">
        <v>1592</v>
      </c>
      <c r="K4" s="340" t="s">
        <v>1593</v>
      </c>
      <c r="L4" s="341" t="s">
        <v>1594</v>
      </c>
      <c r="M4" s="342"/>
    </row>
    <row r="5" spans="1:37" ht="18" customHeight="1">
      <c r="A5" s="343">
        <v>1</v>
      </c>
      <c r="B5" s="344" t="s">
        <v>1595</v>
      </c>
      <c r="C5" s="1290">
        <f ca="1">C6+C10+C12</f>
        <v>383300</v>
      </c>
      <c r="D5" s="1820" t="s">
        <v>1596</v>
      </c>
      <c r="E5" s="1291"/>
      <c r="F5" s="1292"/>
      <c r="G5" s="1849"/>
      <c r="H5" s="343">
        <v>1</v>
      </c>
      <c r="I5" s="344" t="s">
        <v>1595</v>
      </c>
      <c r="J5" s="1290">
        <f ca="1">J6+J10+J12</f>
        <v>0</v>
      </c>
      <c r="K5" s="1820" t="s">
        <v>1596</v>
      </c>
      <c r="L5" s="1291"/>
      <c r="M5" s="1292"/>
    </row>
    <row r="6" spans="1:37" ht="18" customHeight="1">
      <c r="A6" s="1289" t="s">
        <v>1032</v>
      </c>
      <c r="B6" s="3211" t="s">
        <v>1398</v>
      </c>
      <c r="C6" s="1294">
        <f ca="1">ROUND(F6*F8*F7*(1-F9),0)</f>
        <v>383300</v>
      </c>
      <c r="D6" s="163" t="s">
        <v>3014</v>
      </c>
      <c r="E6" s="346" t="s">
        <v>1400</v>
      </c>
      <c r="F6" s="347">
        <f ca="1">INDIRECT("'数据-取费表'!u"&amp;$G$1)</f>
        <v>6</v>
      </c>
      <c r="G6" s="1849"/>
      <c r="H6" s="1289" t="s">
        <v>1032</v>
      </c>
      <c r="I6" s="3211" t="s">
        <v>1398</v>
      </c>
      <c r="J6" s="345">
        <f ca="1">ROUND(M6*M8*M7*(1-M9),0)</f>
        <v>0</v>
      </c>
      <c r="K6" s="1832" t="s">
        <v>3015</v>
      </c>
      <c r="L6" s="346" t="s">
        <v>1400</v>
      </c>
      <c r="M6" s="347">
        <f ca="1">INDIRECT("'数据-取费表'!z"&amp;$G$1)</f>
        <v>0</v>
      </c>
    </row>
    <row r="7" spans="1:37" ht="18" customHeight="1">
      <c r="A7" s="1293"/>
      <c r="B7" s="3212"/>
      <c r="C7" s="1295"/>
      <c r="D7" s="351"/>
      <c r="E7" s="2965" t="s">
        <v>1401</v>
      </c>
      <c r="F7" s="347">
        <f ca="1">IF(INDIRECT("'数据-取费表'!ah"&amp;$G$1)="",INDIRECT("'数据-取费表'!k"&amp;$G$1),INDIRECT("'数据-取费表'!ah"&amp;$G$1))</f>
        <v>194.47</v>
      </c>
      <c r="G7" s="1849"/>
      <c r="H7" s="348"/>
      <c r="I7" s="3212"/>
      <c r="J7" s="350"/>
      <c r="K7" s="351"/>
      <c r="L7" s="346" t="s">
        <v>1401</v>
      </c>
      <c r="M7" s="347">
        <f ca="1">F7</f>
        <v>194.47</v>
      </c>
    </row>
    <row r="8" spans="1:37" ht="18" customHeight="1">
      <c r="A8" s="348"/>
      <c r="B8" s="3212"/>
      <c r="C8" s="350"/>
      <c r="D8" s="351"/>
      <c r="E8" s="346" t="s">
        <v>1402</v>
      </c>
      <c r="F8" s="347">
        <f ca="1">INDIRECT("'数据-取费表'!ai"&amp;$G$1)</f>
        <v>365</v>
      </c>
      <c r="G8" s="1849"/>
      <c r="H8" s="348"/>
      <c r="I8" s="3212"/>
      <c r="J8" s="350"/>
      <c r="K8" s="351"/>
      <c r="L8" s="346" t="s">
        <v>1402</v>
      </c>
      <c r="M8" s="347">
        <f ca="1">INDIRECT("'数据-取费表'!ai"&amp;$G$1)</f>
        <v>365</v>
      </c>
    </row>
    <row r="9" spans="1:37" ht="18" customHeight="1">
      <c r="A9" s="348"/>
      <c r="B9" s="3213"/>
      <c r="C9" s="350"/>
      <c r="D9" s="351"/>
      <c r="E9" s="346" t="s">
        <v>1403</v>
      </c>
      <c r="F9" s="356">
        <f ca="1">INDIRECT("'数据-取费表'!w"&amp;$G$1)</f>
        <v>0.1</v>
      </c>
      <c r="G9" s="1849"/>
      <c r="H9" s="348"/>
      <c r="I9" s="3213"/>
      <c r="J9" s="350"/>
      <c r="K9" s="351"/>
      <c r="L9" s="357" t="s">
        <v>1403</v>
      </c>
      <c r="M9" s="358">
        <f ca="1">INDIRECT("'数据-取费表'!ab"&amp;$G$1)</f>
        <v>0</v>
      </c>
    </row>
    <row r="10" spans="1:37" ht="18" customHeight="1">
      <c r="A10" s="1289" t="s">
        <v>1036</v>
      </c>
      <c r="B10" s="1821" t="s">
        <v>1404</v>
      </c>
      <c r="C10" s="360">
        <f ca="1">ROUND(IF(F10="押一",C6/12*F11,IF(F10="押二",C6/12*2*F11,IF(F10="押三",C6/12*3*F11,C11*F11))),0)</f>
        <v>0</v>
      </c>
      <c r="D10" s="1822" t="s">
        <v>3025</v>
      </c>
      <c r="E10" s="357" t="s">
        <v>1405</v>
      </c>
      <c r="F10" s="3358"/>
      <c r="G10" s="1849"/>
      <c r="H10" s="1289" t="s">
        <v>1036</v>
      </c>
      <c r="I10" s="1821" t="s">
        <v>1404</v>
      </c>
      <c r="J10" s="345">
        <f ca="1">ROUND(IF(M10="押一",J6/12*M11,IF(M10="押二",J6/12*2*M11,IF(M10="押三",J6/12*3*M11,J11*M11))),0)</f>
        <v>0</v>
      </c>
      <c r="K10" s="1833" t="s">
        <v>3027</v>
      </c>
      <c r="L10" s="357" t="s">
        <v>1405</v>
      </c>
      <c r="M10" s="1364"/>
    </row>
    <row r="11" spans="1:37" ht="18" customHeight="1">
      <c r="A11" s="352"/>
      <c r="B11" s="1823" t="s">
        <v>1597</v>
      </c>
      <c r="C11" s="1176"/>
      <c r="D11" s="351"/>
      <c r="E11" s="357" t="s">
        <v>1407</v>
      </c>
      <c r="F11" s="358">
        <f ca="1">'数据-取费表'!B39</f>
        <v>1.4999999999999999E-2</v>
      </c>
      <c r="G11" s="1849"/>
      <c r="H11" s="1297"/>
      <c r="I11" s="1823" t="s">
        <v>1598</v>
      </c>
      <c r="J11" s="1176"/>
      <c r="K11" s="746"/>
      <c r="L11" s="357"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4">
        <f ca="1">ROUND(C29*F13,0)</f>
        <v>704788</v>
      </c>
      <c r="D13" s="1329" t="s">
        <v>1410</v>
      </c>
      <c r="E13" s="1329" t="s">
        <v>1411</v>
      </c>
      <c r="F13" s="1330">
        <f ca="1">INDIRECT("'数据-取费表'!y"&amp;$G$1)</f>
        <v>0.73333333333333328</v>
      </c>
      <c r="G13" s="1849"/>
      <c r="H13" s="1327">
        <v>2</v>
      </c>
      <c r="I13" s="1328" t="s">
        <v>1409</v>
      </c>
      <c r="J13" s="1288">
        <f ca="1">ROUND(J14*J15,0)</f>
        <v>0</v>
      </c>
      <c r="K13" s="1335" t="s">
        <v>1410</v>
      </c>
      <c r="L13" s="1850"/>
      <c r="M13" s="1851"/>
    </row>
    <row r="14" spans="1:37" ht="18" customHeight="1">
      <c r="A14" s="1199" t="s">
        <v>1031</v>
      </c>
      <c r="B14" s="346" t="s">
        <v>1412</v>
      </c>
      <c r="C14" s="362">
        <f ca="1">ROUND(INDIRECT("'数据-取费表'!l"&amp;$G$1)*F43+'数据-取费表'!L14*INDIRECT("'数据-取费表'!S"&amp;$G$1),0)</f>
        <v>583410</v>
      </c>
      <c r="D14" s="2953" t="s">
        <v>1413</v>
      </c>
      <c r="E14" s="2948"/>
      <c r="F14" s="363"/>
      <c r="G14" s="1849"/>
      <c r="H14" s="1199" t="s">
        <v>1032</v>
      </c>
      <c r="I14" s="346" t="s">
        <v>1414</v>
      </c>
      <c r="J14" s="23">
        <f ca="1">C29</f>
        <v>961075</v>
      </c>
      <c r="K14" s="2964"/>
      <c r="L14" s="977"/>
      <c r="M14" s="978"/>
    </row>
    <row r="15" spans="1:37" s="1856" customFormat="1" ht="18" customHeight="1" thickBot="1">
      <c r="A15" s="1199" t="s">
        <v>1033</v>
      </c>
      <c r="B15" s="346" t="s">
        <v>1415</v>
      </c>
      <c r="C15" s="23">
        <f ca="1">ROUND(C14*F15,0)</f>
        <v>29171</v>
      </c>
      <c r="D15" s="364" t="s">
        <v>1416</v>
      </c>
      <c r="E15" s="364" t="s">
        <v>1417</v>
      </c>
      <c r="F15" s="365">
        <f>'数据-取费表'!B33</f>
        <v>0.05</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6" t="s">
        <v>1418</v>
      </c>
      <c r="C16" s="23">
        <f ca="1">ROUND(INDIRECT("'数据-取费表'!l"&amp;$G$1)*F43*F16,0)</f>
        <v>29171</v>
      </c>
      <c r="D16" s="346" t="s">
        <v>1416</v>
      </c>
      <c r="E16" s="346" t="s">
        <v>1417</v>
      </c>
      <c r="F16" s="366">
        <f ca="1">IF(INDIRECT("'数据-取费表'!c"&amp;$G$1)="住宅",'数据-取费表'!B34,0)</f>
        <v>0.05</v>
      </c>
      <c r="G16" s="1849"/>
      <c r="H16" s="1327" t="s">
        <v>1027</v>
      </c>
      <c r="I16" s="1328" t="s">
        <v>1419</v>
      </c>
      <c r="J16" s="354">
        <f ca="1">ROUND(J17+J22+J23+J24,0)</f>
        <v>14416</v>
      </c>
      <c r="K16" s="1335" t="s">
        <v>1420</v>
      </c>
      <c r="L16" s="2955"/>
      <c r="M16" s="1292"/>
    </row>
    <row r="17" spans="1:37" s="1856" customFormat="1" ht="18" customHeight="1">
      <c r="A17" s="1199" t="s">
        <v>1385</v>
      </c>
      <c r="B17" s="346" t="s">
        <v>1421</v>
      </c>
      <c r="C17" s="23">
        <f ca="1">ROUND(F17*(F43+INDIRECT("'数据-取费表'!S"&amp;$G$1)),0)</f>
        <v>38894</v>
      </c>
      <c r="D17" s="346" t="s">
        <v>1422</v>
      </c>
      <c r="E17" s="346" t="s">
        <v>1423</v>
      </c>
      <c r="F17" s="25">
        <f>'数据-取费表'!B35</f>
        <v>200</v>
      </c>
      <c r="G17" s="1852"/>
      <c r="H17" s="1199" t="s">
        <v>1032</v>
      </c>
      <c r="I17" s="346" t="s">
        <v>1424</v>
      </c>
      <c r="J17" s="23">
        <f ca="1">ROUND(IF(项目基本情况!B11="自然人",J5*M17,J18+J19+J20),0)</f>
        <v>0</v>
      </c>
      <c r="K17" s="2953" t="s">
        <v>1425</v>
      </c>
      <c r="L17" s="2951" t="s">
        <v>1426</v>
      </c>
      <c r="M17" s="367">
        <f ca="1">IF(项目基本情况!B11="企业","",IF(INDIRECT("'数据-取费表'!c"&amp;$G$1)="住宅",5%,IF(M6*M7*M8/12/(1+'数据-取费表'!C42)&gt;20000,12%,7%)))</f>
        <v>0.05</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6" t="s">
        <v>1427</v>
      </c>
      <c r="C18" s="23">
        <f ca="1">ROUND(C14*F18,0)</f>
        <v>8751</v>
      </c>
      <c r="D18" s="346" t="s">
        <v>1416</v>
      </c>
      <c r="E18" s="346" t="s">
        <v>1417</v>
      </c>
      <c r="F18" s="366">
        <f>'数据-取费表'!B36</f>
        <v>1.4999999999999999E-2</v>
      </c>
      <c r="G18" s="1852"/>
      <c r="H18" s="1199" t="s">
        <v>1031</v>
      </c>
      <c r="I18" s="346" t="s">
        <v>1428</v>
      </c>
      <c r="J18" s="23">
        <f ca="1">ROUND(J5*M18/(1+'数据-取费表'!C42),0)</f>
        <v>0</v>
      </c>
      <c r="K18" s="2951"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1430</v>
      </c>
      <c r="C19" s="23">
        <f ca="1">SUM(C14:C18)</f>
        <v>689397</v>
      </c>
      <c r="D19" s="139" t="s">
        <v>1431</v>
      </c>
      <c r="E19" s="2962"/>
      <c r="F19" s="25"/>
      <c r="G19" s="1849"/>
      <c r="H19" s="1199" t="s">
        <v>1033</v>
      </c>
      <c r="I19" s="346" t="s">
        <v>1432</v>
      </c>
      <c r="J19" s="23">
        <f ca="1">IF(K19="按租金收入计税",ROUND(J5*M19,0),ROUND(C29*M19*0.7,0))</f>
        <v>8073</v>
      </c>
      <c r="K19" s="1826" t="s">
        <v>1433</v>
      </c>
      <c r="L19" s="346" t="s">
        <v>1417</v>
      </c>
      <c r="M19" s="366">
        <f>IF(K19="按租金收入计税",'数据-取费表'!B51,'数据-取费表'!B50)</f>
        <v>1.2E-2</v>
      </c>
    </row>
    <row r="20" spans="1:37" s="1856" customFormat="1" ht="18" customHeight="1">
      <c r="A20" s="1199" t="s">
        <v>1036</v>
      </c>
      <c r="B20" s="346" t="s">
        <v>1434</v>
      </c>
      <c r="C20" s="23">
        <f ca="1">ROUND(C19*F20,0)</f>
        <v>20682</v>
      </c>
      <c r="D20" s="368" t="s">
        <v>1435</v>
      </c>
      <c r="E20" s="346" t="s">
        <v>1417</v>
      </c>
      <c r="F20" s="366">
        <f>'数据-取费表'!B37</f>
        <v>0.03</v>
      </c>
      <c r="G20" s="1852"/>
      <c r="H20" s="1199" t="s">
        <v>1384</v>
      </c>
      <c r="I20" s="163" t="s">
        <v>1436</v>
      </c>
      <c r="J20" s="24">
        <f ca="1">ROUND(M20*M21,0)</f>
        <v>1287</v>
      </c>
      <c r="K20" s="369" t="s">
        <v>1437</v>
      </c>
      <c r="L20" s="346" t="s">
        <v>1438</v>
      </c>
      <c r="M20" s="370">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1439</v>
      </c>
      <c r="C21" s="23" t="s">
        <v>1</v>
      </c>
      <c r="D21" s="368" t="s">
        <v>1440</v>
      </c>
      <c r="E21" s="346" t="s">
        <v>1441</v>
      </c>
      <c r="F21" s="366">
        <f>'数据-取费表'!B38</f>
        <v>0.02</v>
      </c>
      <c r="G21" s="1852"/>
      <c r="H21" s="371"/>
      <c r="I21" s="355"/>
      <c r="J21" s="28"/>
      <c r="K21" s="372"/>
      <c r="L21" s="346" t="s">
        <v>1442</v>
      </c>
      <c r="M21" s="347">
        <f ca="1">INDIRECT("'数据-取费表'!r"&amp;$G$1)</f>
        <v>53.64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2962"/>
      <c r="F22" s="25"/>
      <c r="G22" s="1849"/>
      <c r="H22" s="1199" t="s">
        <v>1036</v>
      </c>
      <c r="I22" s="346" t="s">
        <v>1444</v>
      </c>
      <c r="J22" s="23">
        <f ca="1">ROUND(J14*M22,0)</f>
        <v>14416</v>
      </c>
      <c r="K22" s="2951" t="s">
        <v>1445</v>
      </c>
      <c r="L22" s="346" t="s">
        <v>1417</v>
      </c>
      <c r="M22" s="373">
        <f ca="1">INDIRECT("'数据-取费表'!Ak"&amp;$G$1)</f>
        <v>1.4999999999999999E-2</v>
      </c>
    </row>
    <row r="23" spans="1:37" s="1856" customFormat="1" ht="18" customHeight="1">
      <c r="A23" s="1199" t="s">
        <v>1031</v>
      </c>
      <c r="B23" s="346" t="s">
        <v>1446</v>
      </c>
      <c r="C23" s="23">
        <f ca="1">IF('数据-取费表'!B22&lt;=1,ROUND(C19*F24*F23/2,0)+ROUND(C20*F24*F23/2,0),ROUND(C19*(POWER((1+F24),F23/2)-1),0)+ROUND(C20*(POWER((1+F24),F23/2)-1),0))</f>
        <v>33728</v>
      </c>
      <c r="D23" s="374" t="str">
        <f>IF(F23&lt;=1,"(建造成本+管理费用)×利率×(建设周期÷2)","(建造成本+管理费用)×((1+利率)^(建设周期÷2)-1)")</f>
        <v>(建造成本+管理费用)×((1+利率)^(建设周期÷2)-1)</v>
      </c>
      <c r="E23" s="346" t="s">
        <v>1447</v>
      </c>
      <c r="F23" s="370">
        <f>'数据-取费表'!B20</f>
        <v>2</v>
      </c>
      <c r="G23" s="1852"/>
      <c r="H23" s="1199" t="s">
        <v>1072</v>
      </c>
      <c r="I23" s="346" t="s">
        <v>1448</v>
      </c>
      <c r="J23" s="23">
        <f ca="1">ROUND(J13*M23,0)</f>
        <v>0</v>
      </c>
      <c r="K23" s="2951" t="s">
        <v>1449</v>
      </c>
      <c r="L23" s="346" t="s">
        <v>1450</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2"/>
      <c r="H24" s="1337" t="s">
        <v>1388</v>
      </c>
      <c r="I24" s="1338" t="s">
        <v>1434</v>
      </c>
      <c r="J24" s="1339">
        <f ca="1">ROUND(J5*M24,0)</f>
        <v>0</v>
      </c>
      <c r="K24" s="1340" t="s">
        <v>1454</v>
      </c>
      <c r="L24" s="1338" t="s">
        <v>1450</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6" t="s">
        <v>1456</v>
      </c>
      <c r="C25" s="23"/>
      <c r="D25" s="139" t="s">
        <v>1457</v>
      </c>
      <c r="E25" s="2962"/>
      <c r="F25" s="25"/>
      <c r="G25" s="1849"/>
      <c r="H25" s="1327" t="s">
        <v>1028</v>
      </c>
      <c r="I25" s="1342" t="s">
        <v>1458</v>
      </c>
      <c r="J25" s="354">
        <f ca="1">J5-J16</f>
        <v>-14416</v>
      </c>
      <c r="K25" s="1343" t="s">
        <v>1459</v>
      </c>
      <c r="L25" s="1344"/>
      <c r="M25" s="1345"/>
    </row>
    <row r="26" spans="1:37" ht="18" customHeight="1">
      <c r="A26" s="1199" t="s">
        <v>1031</v>
      </c>
      <c r="B26" s="346" t="s">
        <v>1460</v>
      </c>
      <c r="C26" s="23">
        <f ca="1">ROUND((C19+C20)*F26,0)</f>
        <v>142016</v>
      </c>
      <c r="D26" s="368" t="s">
        <v>1461</v>
      </c>
      <c r="E26" s="357" t="s">
        <v>1462</v>
      </c>
      <c r="F26" s="356">
        <f ca="1">INDIRECT("'数据-取费表'!q"&amp;$G$1)</f>
        <v>0.2</v>
      </c>
      <c r="G26" s="1849"/>
      <c r="H26" s="343" t="s">
        <v>1029</v>
      </c>
      <c r="I26" s="344" t="s">
        <v>1463</v>
      </c>
      <c r="J26" s="345">
        <f ca="1">IF(J5&lt;&gt;0,ROUND(J25*(1-((1+M28)/(1+M26))^M27)/(M26-M28),0),0)</f>
        <v>0</v>
      </c>
      <c r="K26" s="369" t="s">
        <v>1464</v>
      </c>
      <c r="L26" s="346" t="s">
        <v>1465</v>
      </c>
      <c r="M26" s="356">
        <f ca="1">INDIRECT("'数据-取费表'!I"&amp;$G$1)</f>
        <v>0.05</v>
      </c>
    </row>
    <row r="27" spans="1:37" ht="18" customHeight="1">
      <c r="A27" s="1199" t="s">
        <v>1033</v>
      </c>
      <c r="B27" s="346" t="s">
        <v>1466</v>
      </c>
      <c r="C27" s="23">
        <f ca="1">ROUND(F21*F26,4)</f>
        <v>4.0000000000000001E-3</v>
      </c>
      <c r="D27" s="368" t="s">
        <v>1467</v>
      </c>
      <c r="E27" s="364"/>
      <c r="F27" s="365"/>
      <c r="G27" s="1849"/>
      <c r="H27" s="348"/>
      <c r="I27" s="349"/>
      <c r="J27" s="350"/>
      <c r="K27" s="377" t="s">
        <v>1468</v>
      </c>
      <c r="L27" s="346" t="s">
        <v>1469</v>
      </c>
      <c r="M27" s="378">
        <f ca="1">INDIRECT("'数据-取费表'!ag"&amp;$G$1)</f>
        <v>0</v>
      </c>
    </row>
    <row r="28" spans="1:37" s="1856" customFormat="1" ht="18" customHeight="1">
      <c r="A28" s="1199" t="s">
        <v>1034</v>
      </c>
      <c r="B28" s="346" t="s">
        <v>1470</v>
      </c>
      <c r="C28" s="23">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961075</v>
      </c>
      <c r="D29" s="1340"/>
      <c r="E29" s="1338"/>
      <c r="F29" s="1341"/>
      <c r="G29" s="1852"/>
      <c r="H29" s="379" t="s">
        <v>1030</v>
      </c>
      <c r="I29" s="380" t="s">
        <v>1474</v>
      </c>
      <c r="J29" s="381">
        <f ca="1">ROUND(J26/(1+F40)^F41,0)</f>
        <v>0</v>
      </c>
      <c r="K29" s="382" t="s">
        <v>1475</v>
      </c>
      <c r="L29" s="383"/>
      <c r="M29" s="384">
        <f ca="1">INDIRECT("'数据-取费表'!k"&amp;$G$1)</f>
        <v>194.47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4">
        <f ca="1">ROUND(C31+C36+C37+C38,0)</f>
        <v>40388</v>
      </c>
      <c r="D30" s="1335" t="s">
        <v>1420</v>
      </c>
      <c r="E30" s="2955"/>
      <c r="F30" s="1292"/>
      <c r="G30" s="1849"/>
      <c r="H30" s="743"/>
      <c r="I30" s="744"/>
      <c r="J30" s="745"/>
      <c r="K30" s="746"/>
      <c r="L30" s="747"/>
      <c r="M30" s="748"/>
    </row>
    <row r="31" spans="1:37" ht="18" customHeight="1">
      <c r="A31" s="1199" t="s">
        <v>1032</v>
      </c>
      <c r="B31" s="346" t="s">
        <v>1424</v>
      </c>
      <c r="C31" s="23">
        <f ca="1">ROUND(IF(项目基本情况!B11="自然人",C5*F31,C32+C33+C34),0)</f>
        <v>19165</v>
      </c>
      <c r="D31" s="2953" t="s">
        <v>1425</v>
      </c>
      <c r="E31" s="2951" t="s">
        <v>1476</v>
      </c>
      <c r="F31" s="367">
        <f ca="1">IF(项目基本情况!B11="企业","",IF(INDIRECT("'数据-取费表'!c"&amp;$G$1)="住宅",5%,IF(F6*F7*F8/12/(1+'数据-取费表'!C42)&gt;20000,12%,7%)))</f>
        <v>0.05</v>
      </c>
      <c r="G31" s="1849"/>
      <c r="H31" s="743"/>
      <c r="I31" s="744"/>
      <c r="J31" s="745"/>
      <c r="K31" s="746"/>
      <c r="L31" s="747"/>
      <c r="M31" s="748"/>
    </row>
    <row r="32" spans="1:37" ht="18" customHeight="1">
      <c r="A32" s="1199" t="s">
        <v>1031</v>
      </c>
      <c r="B32" s="346" t="s">
        <v>1428</v>
      </c>
      <c r="C32" s="23" t="str">
        <f>IF(项目基本情况!B11="自然人","——",ROUND(C5*F32/(1+'数据-取费表'!C42),0))</f>
        <v>——</v>
      </c>
      <c r="D32" s="2951" t="s">
        <v>1429</v>
      </c>
      <c r="E32" s="346" t="s">
        <v>1417</v>
      </c>
      <c r="F32" s="376">
        <f>'数据-取费表'!B41</f>
        <v>5.6000000000000001E-2</v>
      </c>
      <c r="G32" s="1849"/>
      <c r="H32" s="743"/>
      <c r="I32" s="744"/>
      <c r="J32" s="745"/>
      <c r="K32" s="746"/>
      <c r="L32" s="747"/>
      <c r="M32" s="748"/>
    </row>
    <row r="33" spans="1:18" ht="18" customHeight="1">
      <c r="A33" s="1199" t="s">
        <v>1033</v>
      </c>
      <c r="B33" s="346" t="s">
        <v>1432</v>
      </c>
      <c r="C33" s="23" t="str">
        <f ca="1">IF(项目基本情况!B11="自然人","——",IF(D33="按租金收入计税",ROUND(C5*F33,0),IF(D33="按房产原值计税",ROUND(C29*F33*0.7,0),INDIRECT("'数据-取费表'!Aj"&amp;$G$1))))</f>
        <v>——</v>
      </c>
      <c r="D33" s="1826" t="s">
        <v>3074</v>
      </c>
      <c r="E33" s="346" t="s">
        <v>1417</v>
      </c>
      <c r="F33" s="366">
        <f>IF(D33="按票据","——",IF(D33="按租金收入计税",'数据-取费表'!B51,'数据-取费表'!B50))</f>
        <v>0.12</v>
      </c>
      <c r="G33" s="1849"/>
      <c r="H33" s="1857"/>
      <c r="I33" s="1858"/>
      <c r="J33" s="1859"/>
      <c r="K33" s="1860"/>
      <c r="L33" s="1857"/>
      <c r="M33" s="1857"/>
    </row>
    <row r="34" spans="1:18" ht="18" customHeight="1">
      <c r="A34" s="1289" t="s">
        <v>1384</v>
      </c>
      <c r="B34" s="163" t="s">
        <v>1436</v>
      </c>
      <c r="C34" s="24" t="str">
        <f>IF(项目基本情况!B11="自然人","——",ROUND(F34*F35,))</f>
        <v>——</v>
      </c>
      <c r="D34" s="369" t="s">
        <v>1437</v>
      </c>
      <c r="E34" s="346" t="s">
        <v>1438</v>
      </c>
      <c r="F34" s="370">
        <f>'数据-取费表'!B52</f>
        <v>24</v>
      </c>
      <c r="G34" s="1849"/>
      <c r="H34" s="743"/>
      <c r="I34" s="1858"/>
      <c r="J34" s="1859"/>
      <c r="K34" s="1861"/>
      <c r="L34" s="1862"/>
      <c r="M34" s="1862"/>
    </row>
    <row r="35" spans="1:18" ht="18" customHeight="1">
      <c r="A35" s="1351"/>
      <c r="B35" s="1349"/>
      <c r="C35" s="28"/>
      <c r="D35" s="372"/>
      <c r="E35" s="346" t="s">
        <v>1442</v>
      </c>
      <c r="F35" s="347">
        <f ca="1">INDIRECT("'数据-取费表'!r"&amp;$G$1)</f>
        <v>53.64</v>
      </c>
      <c r="G35" s="1849"/>
      <c r="H35" s="743"/>
      <c r="I35" s="1858"/>
      <c r="J35" s="1859"/>
      <c r="K35" s="1860"/>
      <c r="L35" s="1857"/>
      <c r="M35" s="1857"/>
    </row>
    <row r="36" spans="1:18" ht="18" customHeight="1">
      <c r="A36" s="1350" t="s">
        <v>1036</v>
      </c>
      <c r="B36" s="346" t="s">
        <v>1444</v>
      </c>
      <c r="C36" s="23">
        <f ca="1">ROUND(C29*F36,0)</f>
        <v>14416</v>
      </c>
      <c r="D36" s="2951" t="s">
        <v>1477</v>
      </c>
      <c r="E36" s="346" t="s">
        <v>1417</v>
      </c>
      <c r="F36" s="373">
        <f ca="1">INDIRECT("'数据-取费表'!Ak"&amp;$G$1)</f>
        <v>1.4999999999999999E-2</v>
      </c>
      <c r="G36" s="1849"/>
      <c r="H36" s="1857"/>
      <c r="I36" s="1858"/>
      <c r="J36" s="1859"/>
      <c r="K36" s="749"/>
      <c r="L36" s="1857"/>
      <c r="M36" s="1857"/>
    </row>
    <row r="37" spans="1:18" ht="18" customHeight="1">
      <c r="A37" s="1199" t="s">
        <v>1072</v>
      </c>
      <c r="B37" s="346" t="s">
        <v>1448</v>
      </c>
      <c r="C37" s="23">
        <f ca="1">ROUND(C13*F37,0)</f>
        <v>1057</v>
      </c>
      <c r="D37" s="2951" t="s">
        <v>1449</v>
      </c>
      <c r="E37" s="346" t="s">
        <v>1450</v>
      </c>
      <c r="F37" s="375">
        <f ca="1">INDIRECT("'数据-取费表'!Al"&amp;$G$1)</f>
        <v>1.5E-3</v>
      </c>
      <c r="G37" s="1849"/>
      <c r="H37" s="1857"/>
      <c r="I37" s="1858"/>
      <c r="J37" s="1859"/>
      <c r="K37" s="749"/>
      <c r="L37" s="1857"/>
      <c r="M37" s="1857"/>
    </row>
    <row r="38" spans="1:18" ht="18" customHeight="1" thickBot="1">
      <c r="A38" s="1337" t="s">
        <v>1388</v>
      </c>
      <c r="B38" s="1338" t="s">
        <v>1434</v>
      </c>
      <c r="C38" s="1339">
        <f ca="1">ROUND(C5*F38,1)</f>
        <v>5749.5</v>
      </c>
      <c r="D38" s="1340" t="s">
        <v>1454</v>
      </c>
      <c r="E38" s="1338" t="s">
        <v>1450</v>
      </c>
      <c r="F38" s="1334">
        <f ca="1">INDIRECT("'数据-取费表'!Am"&amp;$G$1)</f>
        <v>1.4999999999999999E-2</v>
      </c>
      <c r="G38" s="1849"/>
      <c r="H38" s="1857"/>
      <c r="I38" s="1858"/>
      <c r="J38" s="1859"/>
      <c r="K38" s="1863"/>
      <c r="L38" s="1857"/>
      <c r="M38" s="1857"/>
    </row>
    <row r="39" spans="1:18" ht="24.6" customHeight="1" thickTop="1">
      <c r="A39" s="1327" t="s">
        <v>1028</v>
      </c>
      <c r="B39" s="1342" t="s">
        <v>1478</v>
      </c>
      <c r="C39" s="354">
        <f ca="1">C5-C30</f>
        <v>342912</v>
      </c>
      <c r="D39" s="1343" t="s">
        <v>1479</v>
      </c>
      <c r="E39" s="1344"/>
      <c r="F39" s="1345"/>
      <c r="G39" s="1849"/>
      <c r="H39" s="1857"/>
      <c r="I39" s="1858"/>
      <c r="J39" s="1859"/>
      <c r="K39" s="1863"/>
      <c r="L39" s="1857"/>
      <c r="M39" s="1857"/>
    </row>
    <row r="40" spans="1:18" ht="18" customHeight="1">
      <c r="A40" s="343" t="s">
        <v>1029</v>
      </c>
      <c r="B40" s="344" t="s">
        <v>1480</v>
      </c>
      <c r="C40" s="345">
        <f ca="1">ROUND(C39*(1-((1+F42)/(1+F40))^F41)/(F40-F42),0)</f>
        <v>8924172</v>
      </c>
      <c r="D40" s="369" t="s">
        <v>1464</v>
      </c>
      <c r="E40" s="346" t="s">
        <v>1465</v>
      </c>
      <c r="F40" s="356">
        <f ca="1">INDIRECT("'数据-取费表'!I"&amp;$G$1)</f>
        <v>0.05</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52.35</v>
      </c>
      <c r="G41" s="1849"/>
      <c r="H41" s="730"/>
      <c r="I41" s="1858"/>
      <c r="J41" s="1859"/>
      <c r="K41" s="749"/>
      <c r="L41" s="730"/>
      <c r="M41" s="730"/>
    </row>
    <row r="42" spans="1:18" ht="18" customHeight="1">
      <c r="A42" s="352"/>
      <c r="B42" s="353"/>
      <c r="C42" s="354"/>
      <c r="D42" s="372"/>
      <c r="E42" s="346" t="s">
        <v>1472</v>
      </c>
      <c r="F42" s="356">
        <f ca="1">INDIRECT("'数据-取费表'!v"&amp;$G$1)</f>
        <v>0.02</v>
      </c>
      <c r="G42" s="1849"/>
      <c r="H42" s="730"/>
      <c r="I42" s="1858"/>
      <c r="J42" s="1859"/>
      <c r="K42" s="749"/>
      <c r="L42" s="730"/>
      <c r="M42" s="730"/>
    </row>
    <row r="43" spans="1:18" ht="18" customHeight="1" thickBot="1">
      <c r="A43" s="379" t="s">
        <v>1030</v>
      </c>
      <c r="B43" s="380" t="s">
        <v>1482</v>
      </c>
      <c r="C43" s="381">
        <f ca="1">ROUND(C40/F43,0)</f>
        <v>45890</v>
      </c>
      <c r="D43" s="382" t="s">
        <v>1483</v>
      </c>
      <c r="E43" s="383" t="s">
        <v>1484</v>
      </c>
      <c r="F43" s="384">
        <f ca="1">INDIRECT("'数据-取费表'!k"&amp;$G$1)</f>
        <v>194.47</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f ca="1">C68-C40</f>
        <v>-9326852</v>
      </c>
      <c r="D45" s="1938" t="s">
        <v>1599</v>
      </c>
      <c r="E45" s="1864"/>
      <c r="F45" s="1864"/>
      <c r="O45" s="1867" t="s">
        <v>1514</v>
      </c>
      <c r="P45" s="1837"/>
      <c r="Q45" s="1837"/>
      <c r="R45" s="1837"/>
    </row>
    <row r="46" spans="1:18" s="1840" customFormat="1" ht="13.5" thickBot="1">
      <c r="A46" s="1868" t="s">
        <v>1515</v>
      </c>
      <c r="C46" s="1869">
        <f ca="1">ROUND(C45/10000,0)</f>
        <v>-933</v>
      </c>
      <c r="D46" s="1870" t="str">
        <f>C2</f>
        <v>万元</v>
      </c>
      <c r="I46" s="1871" t="s">
        <v>1516</v>
      </c>
      <c r="J46" s="1872"/>
      <c r="K46" s="1873"/>
      <c r="L46" s="1874">
        <f>IF(M47="住宅",0,IF(L48&gt;J51,L60,J60))</f>
        <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0"/>
      <c r="I47" s="1878" t="s">
        <v>1521</v>
      </c>
      <c r="J47" s="1879" t="s">
        <v>3075</v>
      </c>
      <c r="K47" s="1880" t="s">
        <v>1522</v>
      </c>
      <c r="L47" s="1881">
        <f ca="1">INDIRECT("'数据-取费表'!d"&amp;$G$1)</f>
        <v>70</v>
      </c>
      <c r="M47" s="1836" t="str">
        <f>IF(ISNUMBER(FIND("住宅",C1)),"住宅","非住宅")</f>
        <v>住宅</v>
      </c>
      <c r="O47" s="1882" t="s">
        <v>1037</v>
      </c>
      <c r="P47" s="1883" t="s">
        <v>1523</v>
      </c>
      <c r="Q47" s="1884">
        <f ca="1">C40+J29</f>
        <v>8924172</v>
      </c>
      <c r="R47" s="1884" t="s">
        <v>1524</v>
      </c>
    </row>
    <row r="48" spans="1:18" s="1840" customFormat="1" ht="28.5" thickBot="1">
      <c r="A48" s="1358" t="s">
        <v>1132</v>
      </c>
      <c r="B48" s="344" t="s">
        <v>1396</v>
      </c>
      <c r="C48" s="2961">
        <f ca="1">C49+C53+C55</f>
        <v>0</v>
      </c>
      <c r="D48" s="1360"/>
      <c r="E48" s="1361"/>
      <c r="F48" s="1179"/>
      <c r="G48" s="790"/>
      <c r="H48" s="791"/>
      <c r="I48" s="1885" t="s">
        <v>1525</v>
      </c>
      <c r="J48" s="1886" t="s">
        <v>3076</v>
      </c>
      <c r="K48" s="1887" t="s">
        <v>1526</v>
      </c>
      <c r="L48" s="1888">
        <f ca="1">INDIRECT("'数据-取费表'!f"&amp;$G$1)</f>
        <v>52.35</v>
      </c>
      <c r="O48" s="1882" t="s">
        <v>1038</v>
      </c>
      <c r="P48" s="1883" t="s">
        <v>1527</v>
      </c>
      <c r="Q48" s="1884" t="str">
        <f ca="1">J60</f>
        <v>0</v>
      </c>
      <c r="R48" s="1884" t="s">
        <v>1528</v>
      </c>
    </row>
    <row r="49" spans="1:18" s="1840" customFormat="1" ht="13.5" thickBot="1">
      <c r="A49" s="1192" t="s">
        <v>1133</v>
      </c>
      <c r="B49" s="1827" t="s">
        <v>1485</v>
      </c>
      <c r="C49" s="1362">
        <f ca="1">ROUND(F49*F51*F50*(1-F52),0)</f>
        <v>0</v>
      </c>
      <c r="D49" s="1274" t="s">
        <v>1399</v>
      </c>
      <c r="E49" s="1828" t="s">
        <v>1486</v>
      </c>
      <c r="F49" s="1279"/>
      <c r="G49" s="1889"/>
      <c r="H49" s="791"/>
      <c r="I49" s="1885" t="s">
        <v>1529</v>
      </c>
      <c r="J49" s="1890">
        <v>2003</v>
      </c>
      <c r="K49" s="1887" t="s">
        <v>1530</v>
      </c>
      <c r="L49" s="1891"/>
      <c r="O49" s="1892" t="s">
        <v>1039</v>
      </c>
      <c r="P49" s="1883" t="s">
        <v>1531</v>
      </c>
      <c r="Q49" s="1884">
        <f ca="1">C29</f>
        <v>961075</v>
      </c>
      <c r="R49" s="1884" t="s">
        <v>1524</v>
      </c>
    </row>
    <row r="50" spans="1:18" s="1840" customFormat="1" ht="13.5" thickBot="1">
      <c r="A50" s="1193"/>
      <c r="B50" s="1196"/>
      <c r="C50" s="1197"/>
      <c r="D50" s="1170"/>
      <c r="E50" s="1275" t="s">
        <v>1401</v>
      </c>
      <c r="F50" s="1276">
        <f ca="1">F7</f>
        <v>194.47</v>
      </c>
      <c r="H50" s="791"/>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4"/>
      <c r="B51" s="1196"/>
      <c r="C51" s="1197"/>
      <c r="D51" s="1170"/>
      <c r="E51" s="1198" t="s">
        <v>1402</v>
      </c>
      <c r="F51" s="347">
        <f ca="1">F8</f>
        <v>365</v>
      </c>
      <c r="I51" s="1896" t="s">
        <v>1535</v>
      </c>
      <c r="J51" s="1897">
        <f>IF(J49="",J50,J49+J50-YEAR('数据-取费表'!B2))</f>
        <v>44</v>
      </c>
      <c r="K51" s="1898" t="s">
        <v>1536</v>
      </c>
      <c r="L51" s="1899">
        <f ca="1">ROUND(-PV(INDIRECT("'数据-取费表'!h"&amp;$G$1),L48,(C39-C13*C76),0),0)</f>
        <v>5731660</v>
      </c>
      <c r="M51" s="1900"/>
      <c r="O51" s="1892" t="s">
        <v>1041</v>
      </c>
      <c r="P51" s="1883" t="s">
        <v>1537</v>
      </c>
      <c r="Q51" s="1895">
        <f>J52</f>
        <v>8.5000000000000006E-2</v>
      </c>
      <c r="R51" s="1884"/>
    </row>
    <row r="52" spans="1:18" s="1840" customFormat="1" ht="13.5" thickBot="1">
      <c r="A52" s="1194"/>
      <c r="B52" s="1196"/>
      <c r="C52" s="1197"/>
      <c r="D52" s="1170"/>
      <c r="E52" s="1198" t="s">
        <v>1403</v>
      </c>
      <c r="F52" s="1273"/>
      <c r="I52" s="1901" t="s">
        <v>1538</v>
      </c>
      <c r="J52" s="1902">
        <v>8.5000000000000006E-2</v>
      </c>
      <c r="K52" s="1901" t="s">
        <v>1539</v>
      </c>
      <c r="L52" s="1902"/>
      <c r="O52" s="1892" t="s">
        <v>1042</v>
      </c>
      <c r="P52" s="1883" t="s">
        <v>1540</v>
      </c>
      <c r="Q52" s="1884">
        <f ca="1">J53</f>
        <v>52.35</v>
      </c>
      <c r="R52" s="1884" t="s">
        <v>1541</v>
      </c>
    </row>
    <row r="53" spans="1:18" s="1840" customFormat="1" ht="30.75" customHeight="1" thickBot="1">
      <c r="A53" s="1359" t="s">
        <v>1134</v>
      </c>
      <c r="B53" s="368" t="s">
        <v>1404</v>
      </c>
      <c r="C53" s="360">
        <f ca="1">ROUND(IF(F53="押一",C49/12*F11,IF(F53="押二",C49/12*2*F11,IF(F53="押三",C49/12*3*F11,C54*F11))),0)</f>
        <v>0</v>
      </c>
      <c r="D53" s="1822" t="s">
        <v>3028</v>
      </c>
      <c r="E53" s="357" t="s">
        <v>1405</v>
      </c>
      <c r="F53" s="1364"/>
      <c r="I53" s="1903" t="s">
        <v>1542</v>
      </c>
      <c r="J53" s="1904">
        <f ca="1">IF(M47="住宅",IF(D1="——",MAX(J51,L48),IF(D1="在建（套用方法）",MAX(J51,L48-'数据-取费表'!B24),MAX(J51,L48-'数据-取费表'!B20))),IF(D1="——",MIN(J51,L48),IF(D1="在建（套用方法）",MIN(J51,L48-'数据-取费表'!B24),IF(D1="土地（套用方法）",MIN(J51,L48-'数据-取费表'!B20)))))</f>
        <v>52.35</v>
      </c>
      <c r="K53" s="3209" t="s">
        <v>1543</v>
      </c>
      <c r="L53" s="3210"/>
      <c r="O53" s="1882" t="s">
        <v>1043</v>
      </c>
      <c r="P53" s="1883" t="s">
        <v>1544</v>
      </c>
      <c r="Q53" s="1884">
        <f ca="1">Q47+Q48</f>
        <v>8924172</v>
      </c>
      <c r="R53" s="1884" t="s">
        <v>1044</v>
      </c>
    </row>
    <row r="54" spans="1:18" s="1840" customFormat="1" ht="13.5" thickBot="1">
      <c r="A54" s="1192"/>
      <c r="B54" s="1939" t="s">
        <v>1598</v>
      </c>
      <c r="C54" s="1176"/>
      <c r="D54" s="1822"/>
      <c r="E54" s="2957"/>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89"/>
      <c r="O54" s="1867" t="s">
        <v>1545</v>
      </c>
      <c r="P54" s="1837"/>
      <c r="Q54" s="1837"/>
      <c r="R54" s="1837"/>
    </row>
    <row r="55" spans="1:18" s="1840" customFormat="1" ht="13.5" thickBot="1">
      <c r="A55" s="1331" t="s">
        <v>1072</v>
      </c>
      <c r="B55" s="1825" t="s">
        <v>1408</v>
      </c>
      <c r="C55" s="1332"/>
      <c r="D55" s="1822"/>
      <c r="E55" s="2957"/>
      <c r="F55" s="1905"/>
      <c r="I55" s="1908" t="s">
        <v>1546</v>
      </c>
      <c r="J55" s="1909" t="e">
        <f ca="1">ROUND(IF(J47="钢混",J57/J50,1-(1-2%)*(J50-J57)/J50),3)</f>
        <v>#VALUE!</v>
      </c>
      <c r="K55" s="1910" t="s">
        <v>1547</v>
      </c>
      <c r="L55" s="1911"/>
      <c r="O55" s="1875" t="s">
        <v>1517</v>
      </c>
      <c r="P55" s="1876" t="s">
        <v>1518</v>
      </c>
      <c r="Q55" s="1877" t="s">
        <v>1519</v>
      </c>
      <c r="R55" s="1877" t="s">
        <v>1520</v>
      </c>
    </row>
    <row r="56" spans="1:18" s="1840" customFormat="1" ht="36" customHeight="1" thickTop="1" thickBot="1">
      <c r="A56" s="1174">
        <v>2</v>
      </c>
      <c r="B56" s="1175" t="s">
        <v>1409</v>
      </c>
      <c r="C56" s="275">
        <f ca="1">C13</f>
        <v>704788</v>
      </c>
      <c r="D56" s="1912"/>
      <c r="E56" s="1913"/>
      <c r="F56" s="1905"/>
      <c r="I56" s="1914" t="s">
        <v>1549</v>
      </c>
      <c r="J56" s="1915" t="s">
        <v>3051</v>
      </c>
      <c r="K56" s="1885" t="s">
        <v>1550</v>
      </c>
      <c r="L56" s="1888">
        <f ca="1">IF(L48&lt;J51,"——",L48-J51)</f>
        <v>8.3500000000000014</v>
      </c>
      <c r="O56" s="1882" t="s">
        <v>1037</v>
      </c>
      <c r="P56" s="1883" t="s">
        <v>1523</v>
      </c>
      <c r="Q56" s="1884">
        <f ca="1">C40+J29</f>
        <v>8924172</v>
      </c>
      <c r="R56" s="1884" t="s">
        <v>1524</v>
      </c>
    </row>
    <row r="57" spans="1:18" s="1840" customFormat="1" ht="24.75" thickBot="1">
      <c r="A57" s="1916"/>
      <c r="B57" s="1167" t="s">
        <v>1473</v>
      </c>
      <c r="C57" s="281">
        <f ca="1">C29</f>
        <v>961075</v>
      </c>
      <c r="D57" s="1917"/>
      <c r="E57" s="1918"/>
      <c r="F57" s="1919"/>
      <c r="I57" s="1920" t="s">
        <v>1551</v>
      </c>
      <c r="J57" s="1921" t="str">
        <f ca="1">IF(OR(M47="住宅",J51&lt;L48,J56="是"),"——",J51-L48)</f>
        <v>——</v>
      </c>
      <c r="K57" s="1885" t="s">
        <v>1600</v>
      </c>
      <c r="L57" s="1888">
        <f ca="1">IF(L48&lt;J51,"——",IF(L55="比较法",L49,IF(L55="基准地价",L50,L51)))</f>
        <v>5731660</v>
      </c>
      <c r="O57" s="1882" t="s">
        <v>1038</v>
      </c>
      <c r="P57" s="1883" t="s">
        <v>1601</v>
      </c>
      <c r="Q57" s="1884">
        <f ca="1">L60</f>
        <v>0</v>
      </c>
      <c r="R57" s="1884" t="s">
        <v>1602</v>
      </c>
    </row>
    <row r="58" spans="1:18" s="1840" customFormat="1" ht="24.75" thickBot="1">
      <c r="A58" s="359" t="s">
        <v>1027</v>
      </c>
      <c r="B58" s="1175" t="s">
        <v>1419</v>
      </c>
      <c r="C58" s="360">
        <f ca="1">ROUND(C59+C64+C65+C66,0)</f>
        <v>15473</v>
      </c>
      <c r="D58" s="1177" t="s">
        <v>1420</v>
      </c>
      <c r="E58" s="1178"/>
      <c r="F58" s="1179"/>
      <c r="I58" s="1920" t="s">
        <v>1555</v>
      </c>
      <c r="J58" s="1922"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3">
        <f ca="1">ROUND(IF(项目基本情况!B11="自然人",C48*F59,C60+C61+C62),0)</f>
        <v>0</v>
      </c>
      <c r="D59" s="1180" t="s">
        <v>1425</v>
      </c>
      <c r="E59" s="1181" t="s">
        <v>1426</v>
      </c>
      <c r="F59" s="367">
        <f ca="1">IF(项目基本情况!B11="企业","",IF(INDIRECT("'数据-取费表'!c"&amp;$G$1)="住宅",5%,IF(F49*F50*F51/12/(1+'数据-取费表'!C42)&gt;20000,12%,7%)))</f>
        <v>0.05</v>
      </c>
      <c r="I59" s="1920" t="s">
        <v>1558</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3" t="str">
        <f>IF(项目基本情况!B11="自然人","——",ROUND(C48*F60/(1+'数据-取费表'!C42),0))</f>
        <v>——</v>
      </c>
      <c r="D60" s="1181" t="s">
        <v>1429</v>
      </c>
      <c r="E60" s="1167" t="s">
        <v>1417</v>
      </c>
      <c r="F60" s="376">
        <f t="shared" ref="F60:F66" si="0">F32</f>
        <v>5.6000000000000001E-2</v>
      </c>
      <c r="I60" s="1923" t="s">
        <v>1560</v>
      </c>
      <c r="J60" s="1924" t="str">
        <f ca="1">IF(OR(M47="住宅",J51&lt;L48,J56="是"),"0",ROUND(J59/(1+J52)^J53,0))</f>
        <v>0</v>
      </c>
      <c r="K60" s="1925" t="s">
        <v>1561</v>
      </c>
      <c r="L60" s="1924">
        <f ca="1">IF(OR(M47="住宅",L48&lt;J51),0,ROUND(L57*(L58/L59-1),0))</f>
        <v>0</v>
      </c>
      <c r="O60" s="1892" t="s">
        <v>1041</v>
      </c>
      <c r="P60" s="1883" t="s">
        <v>1562</v>
      </c>
      <c r="Q60" s="1884" t="e">
        <f ca="1">L58</f>
        <v>#DIV/0!</v>
      </c>
      <c r="R60" s="1884" t="s">
        <v>1563</v>
      </c>
    </row>
    <row r="61" spans="1:18" s="1840" customFormat="1" ht="13.5" thickBot="1">
      <c r="A61" s="1199" t="s">
        <v>1487</v>
      </c>
      <c r="B61" s="1167" t="s">
        <v>1488</v>
      </c>
      <c r="C61" s="23" t="str">
        <f ca="1">IF(项目基本情况!B11="自然人","——",IF(D61="按租金收入计税",ROUND(C48*F61,0),IF(D61="按房产原值计税",ROUND(C57*F61*0.7,0),INDIRECT("'数据-取费表'!Aj"&amp;$G$1))))</f>
        <v>——</v>
      </c>
      <c r="D61" s="1826" t="s">
        <v>1433</v>
      </c>
      <c r="E61" s="1167" t="s">
        <v>1489</v>
      </c>
      <c r="F61" s="366">
        <f t="shared" si="0"/>
        <v>0.12</v>
      </c>
      <c r="I61" s="1926"/>
      <c r="J61" s="1926"/>
      <c r="K61" s="1926"/>
      <c r="L61" s="1926"/>
      <c r="O61" s="1892" t="s">
        <v>1042</v>
      </c>
      <c r="P61" s="1883" t="str">
        <f>K59</f>
        <v>建筑物剩余耐用年限下的土地年期修正系数Kn</v>
      </c>
      <c r="Q61" s="1884" t="e">
        <f ca="1">L59</f>
        <v>#DIV/0!</v>
      </c>
      <c r="R61" s="1884" t="s">
        <v>1564</v>
      </c>
    </row>
    <row r="62" spans="1:18" s="1840" customFormat="1" ht="13.5" thickBot="1">
      <c r="A62" s="1199" t="s">
        <v>1490</v>
      </c>
      <c r="B62" s="1166" t="s">
        <v>1491</v>
      </c>
      <c r="C62" s="24" t="str">
        <f>IF(项目基本情况!B11="自然人","——",ROUND(F62*F63,0))</f>
        <v>——</v>
      </c>
      <c r="D62" s="1182" t="s">
        <v>1492</v>
      </c>
      <c r="E62" s="1167" t="s">
        <v>1493</v>
      </c>
      <c r="F62" s="370">
        <f t="shared" si="0"/>
        <v>24</v>
      </c>
      <c r="I62" s="1927" t="s">
        <v>1565</v>
      </c>
      <c r="J62" s="1928" t="s">
        <v>1566</v>
      </c>
      <c r="K62" s="1928" t="s">
        <v>1567</v>
      </c>
      <c r="L62" s="1928" t="s">
        <v>1568</v>
      </c>
      <c r="M62" s="1929" t="s">
        <v>1569</v>
      </c>
      <c r="O62" s="1882" t="s">
        <v>1043</v>
      </c>
      <c r="P62" s="1883" t="s">
        <v>1570</v>
      </c>
      <c r="Q62" s="1884">
        <f ca="1">Q56+Q57</f>
        <v>8924172</v>
      </c>
      <c r="R62" s="1884" t="s">
        <v>1044</v>
      </c>
    </row>
    <row r="63" spans="1:18" s="1840" customFormat="1" ht="13.5" thickBot="1">
      <c r="A63" s="371"/>
      <c r="B63" s="1173"/>
      <c r="C63" s="28"/>
      <c r="D63" s="1183"/>
      <c r="E63" s="1167" t="s">
        <v>1494</v>
      </c>
      <c r="F63" s="347">
        <f t="shared" ca="1" si="0"/>
        <v>53.64</v>
      </c>
      <c r="I63" s="1927" t="s">
        <v>1571</v>
      </c>
      <c r="J63" s="1928">
        <v>70</v>
      </c>
      <c r="K63" s="1928">
        <v>50</v>
      </c>
      <c r="L63" s="1928">
        <v>80</v>
      </c>
      <c r="M63" s="1930">
        <v>0.02</v>
      </c>
      <c r="O63" s="1867" t="s">
        <v>1572</v>
      </c>
      <c r="P63" s="1837"/>
      <c r="Q63" s="1837"/>
      <c r="R63" s="1837"/>
    </row>
    <row r="64" spans="1:18" s="1840" customFormat="1" ht="13.5" thickBot="1">
      <c r="A64" s="1199" t="s">
        <v>1495</v>
      </c>
      <c r="B64" s="1167" t="s">
        <v>1496</v>
      </c>
      <c r="C64" s="23">
        <f ca="1">ROUND(C57*F64,0)</f>
        <v>14416</v>
      </c>
      <c r="D64" s="1181" t="s">
        <v>1497</v>
      </c>
      <c r="E64" s="1167" t="s">
        <v>1489</v>
      </c>
      <c r="F64" s="373">
        <f t="shared" ca="1" si="0"/>
        <v>1.4999999999999999E-2</v>
      </c>
      <c r="I64" s="1927" t="s">
        <v>1573</v>
      </c>
      <c r="J64" s="1928">
        <v>50</v>
      </c>
      <c r="K64" s="1928">
        <v>35</v>
      </c>
      <c r="L64" s="1928">
        <v>60</v>
      </c>
      <c r="M64" s="1929">
        <v>0</v>
      </c>
      <c r="O64" s="1875" t="s">
        <v>1517</v>
      </c>
      <c r="P64" s="1876" t="s">
        <v>1518</v>
      </c>
      <c r="Q64" s="1877" t="s">
        <v>1519</v>
      </c>
      <c r="R64" s="1877" t="s">
        <v>1520</v>
      </c>
    </row>
    <row r="65" spans="1:18" s="1840" customFormat="1" ht="13.5" thickBot="1">
      <c r="A65" s="1199" t="s">
        <v>1498</v>
      </c>
      <c r="B65" s="1167" t="s">
        <v>1448</v>
      </c>
      <c r="C65" s="23">
        <f ca="1">ROUND(C56*F65,0)</f>
        <v>1057</v>
      </c>
      <c r="D65" s="1181" t="s">
        <v>1449</v>
      </c>
      <c r="E65" s="1167" t="s">
        <v>1450</v>
      </c>
      <c r="F65" s="375">
        <f t="shared" ca="1" si="0"/>
        <v>1.5E-3</v>
      </c>
      <c r="I65" s="1927" t="s">
        <v>1574</v>
      </c>
      <c r="J65" s="1928">
        <v>40</v>
      </c>
      <c r="K65" s="1928">
        <v>30</v>
      </c>
      <c r="L65" s="1928">
        <v>50</v>
      </c>
      <c r="M65" s="1930">
        <v>0.02</v>
      </c>
      <c r="O65" s="1882" t="s">
        <v>1037</v>
      </c>
      <c r="P65" s="1883" t="s">
        <v>1575</v>
      </c>
      <c r="Q65" s="1884">
        <f ca="1">C40+J29</f>
        <v>8924172</v>
      </c>
      <c r="R65" s="1884" t="s">
        <v>1524</v>
      </c>
    </row>
    <row r="66" spans="1:18" s="1840" customFormat="1" ht="16.5" thickBot="1">
      <c r="A66" s="1199" t="s">
        <v>1499</v>
      </c>
      <c r="B66" s="1167" t="s">
        <v>1434</v>
      </c>
      <c r="C66" s="23">
        <f ca="1">ROUND(C48*F66,0)</f>
        <v>0</v>
      </c>
      <c r="D66" s="1181" t="s">
        <v>1500</v>
      </c>
      <c r="E66" s="1167" t="s">
        <v>1417</v>
      </c>
      <c r="F66" s="356">
        <f t="shared" ca="1" si="0"/>
        <v>1.4999999999999999E-2</v>
      </c>
      <c r="O66" s="1882" t="s">
        <v>1038</v>
      </c>
      <c r="P66" s="1883" t="s">
        <v>1553</v>
      </c>
      <c r="Q66" s="1884">
        <f ca="1">L60</f>
        <v>0</v>
      </c>
      <c r="R66" s="1884" t="s">
        <v>1576</v>
      </c>
    </row>
    <row r="67" spans="1:18" s="1840" customFormat="1" ht="16.5" thickBot="1">
      <c r="A67" s="1174" t="s">
        <v>1028</v>
      </c>
      <c r="B67" s="1184" t="s">
        <v>1458</v>
      </c>
      <c r="C67" s="360">
        <f ca="1">C48-C58</f>
        <v>-15473</v>
      </c>
      <c r="D67" s="1180" t="s">
        <v>1459</v>
      </c>
      <c r="E67" s="1185"/>
      <c r="F67" s="1186"/>
      <c r="O67" s="1892" t="s">
        <v>1039</v>
      </c>
      <c r="P67" s="1883" t="s">
        <v>1557</v>
      </c>
      <c r="Q67" s="1931">
        <f ca="1">L51</f>
        <v>5731660</v>
      </c>
      <c r="R67" s="1884" t="s">
        <v>1577</v>
      </c>
    </row>
    <row r="68" spans="1:18" s="1840" customFormat="1" ht="16.5" thickBot="1">
      <c r="A68" s="1164" t="s">
        <v>1029</v>
      </c>
      <c r="B68" s="1165" t="s">
        <v>1480</v>
      </c>
      <c r="C68" s="345">
        <f ca="1">ROUND(C67*(1-((1+F70)/(1+F68))^F69)/(F68-F70),0)</f>
        <v>-402680</v>
      </c>
      <c r="D68" s="1182" t="s">
        <v>1464</v>
      </c>
      <c r="E68" s="1167" t="s">
        <v>1465</v>
      </c>
      <c r="F68" s="356">
        <f ca="1">F40</f>
        <v>0.05</v>
      </c>
      <c r="O68" s="1892" t="s">
        <v>1040</v>
      </c>
      <c r="P68" s="1932" t="s">
        <v>1578</v>
      </c>
      <c r="Q68" s="1884">
        <f ca="1">ROUND(Q69-Q70*Q71,0)</f>
        <v>286529</v>
      </c>
      <c r="R68" s="1884" t="s">
        <v>1048</v>
      </c>
    </row>
    <row r="69" spans="1:18" s="1840" customFormat="1" ht="13.5" thickBot="1">
      <c r="A69" s="1168"/>
      <c r="B69" s="1169"/>
      <c r="C69" s="350"/>
      <c r="D69" s="1187" t="s">
        <v>1468</v>
      </c>
      <c r="E69" s="1167" t="s">
        <v>1469</v>
      </c>
      <c r="F69" s="378">
        <f ca="1">F41</f>
        <v>52.35</v>
      </c>
      <c r="O69" s="1892" t="s">
        <v>1045</v>
      </c>
      <c r="P69" s="1932" t="s">
        <v>1579</v>
      </c>
      <c r="Q69" s="1884">
        <f ca="1">C39</f>
        <v>342912</v>
      </c>
      <c r="R69" s="1884" t="s">
        <v>1524</v>
      </c>
    </row>
    <row r="70" spans="1:18" s="1840" customFormat="1" ht="13.5" thickBot="1">
      <c r="A70" s="1171"/>
      <c r="B70" s="1172"/>
      <c r="C70" s="354"/>
      <c r="D70" s="1183"/>
      <c r="E70" s="1167" t="s">
        <v>1472</v>
      </c>
      <c r="F70" s="1273">
        <f ca="1">F42</f>
        <v>0.02</v>
      </c>
      <c r="O70" s="1892" t="s">
        <v>1046</v>
      </c>
      <c r="P70" s="1932" t="s">
        <v>1580</v>
      </c>
      <c r="Q70" s="1884">
        <f ca="1">C13</f>
        <v>704788</v>
      </c>
      <c r="R70" s="1884" t="s">
        <v>1524</v>
      </c>
    </row>
    <row r="71" spans="1:18" s="1840" customFormat="1" ht="13.5" thickBot="1">
      <c r="A71" s="1188" t="s">
        <v>1030</v>
      </c>
      <c r="B71" s="1189" t="s">
        <v>1482</v>
      </c>
      <c r="C71" s="381">
        <f ca="1">ROUND(C68/F71,0)</f>
        <v>-2071</v>
      </c>
      <c r="D71" s="1190" t="s">
        <v>1483</v>
      </c>
      <c r="E71" s="1191" t="s">
        <v>1484</v>
      </c>
      <c r="F71" s="384">
        <f ca="1">F43</f>
        <v>194.47</v>
      </c>
      <c r="O71" s="1892" t="s">
        <v>1047</v>
      </c>
      <c r="P71" s="1932" t="s">
        <v>1581</v>
      </c>
      <c r="Q71" s="1895">
        <f ca="1">C76</f>
        <v>0.08</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6" t="s">
        <v>1582</v>
      </c>
      <c r="C74" s="1934"/>
      <c r="D74" s="1840"/>
      <c r="E74" s="1840"/>
      <c r="F74" s="1840"/>
      <c r="O74" s="1892" t="s">
        <v>1049</v>
      </c>
      <c r="P74" s="1883" t="str">
        <f>K59</f>
        <v>建筑物剩余耐用年限下的土地年期修正系数Kn</v>
      </c>
      <c r="Q74" s="1884" t="e">
        <f ca="1">L59</f>
        <v>#DIV/0!</v>
      </c>
      <c r="R74" s="1884" t="s">
        <v>1564</v>
      </c>
    </row>
    <row r="75" spans="1:18" ht="13.5" thickBot="1">
      <c r="A75" s="1840"/>
      <c r="B75" s="385" t="s">
        <v>1501</v>
      </c>
      <c r="C75" s="386">
        <f ca="1">ROUND(C13*C76,0)</f>
        <v>56383</v>
      </c>
      <c r="D75" s="1840"/>
      <c r="E75" s="1840"/>
      <c r="F75" s="1840"/>
      <c r="K75" s="1866"/>
      <c r="L75" s="1840"/>
      <c r="O75" s="1882" t="s">
        <v>1043</v>
      </c>
      <c r="P75" s="1883" t="s">
        <v>1544</v>
      </c>
      <c r="Q75" s="1884">
        <f ca="1">Q65+Q66</f>
        <v>8924172</v>
      </c>
      <c r="R75" s="1884" t="s">
        <v>1044</v>
      </c>
    </row>
    <row r="76" spans="1:18">
      <c r="B76" s="387" t="s">
        <v>1502</v>
      </c>
      <c r="C76" s="388">
        <f ca="1">INDIRECT("'数据-取费表'!j"&amp;$G$1)</f>
        <v>0.08</v>
      </c>
      <c r="I76" s="1840"/>
      <c r="J76" s="1840"/>
      <c r="K76" s="1866"/>
      <c r="L76" s="1840"/>
    </row>
    <row r="77" spans="1:18">
      <c r="B77" s="389" t="s">
        <v>1503</v>
      </c>
      <c r="C77" s="390"/>
      <c r="I77" s="1840"/>
      <c r="J77" s="1840"/>
      <c r="K77" s="1866"/>
      <c r="L77" s="1840"/>
    </row>
    <row r="78" spans="1:18">
      <c r="B78" s="313" t="s">
        <v>1504</v>
      </c>
      <c r="C78" s="391"/>
    </row>
    <row r="79" spans="1:18">
      <c r="B79" s="385" t="s">
        <v>1505</v>
      </c>
      <c r="C79" s="317">
        <f ca="1">1-C80</f>
        <v>0.83599999999999997</v>
      </c>
    </row>
    <row r="80" spans="1:18">
      <c r="B80" s="385" t="s">
        <v>1506</v>
      </c>
      <c r="C80" s="317">
        <f ca="1">ROUND(C75/C39,3)</f>
        <v>0.16400000000000001</v>
      </c>
    </row>
    <row r="81" spans="2:3">
      <c r="B81" s="313" t="s">
        <v>1507</v>
      </c>
      <c r="C81" s="281"/>
    </row>
    <row r="82" spans="2:3">
      <c r="B82" s="316" t="s">
        <v>1508</v>
      </c>
      <c r="C82" s="318">
        <f ca="1">1-C83</f>
        <v>0.92100000000000004</v>
      </c>
    </row>
    <row r="83" spans="2:3">
      <c r="B83" s="316" t="s">
        <v>1509</v>
      </c>
      <c r="C83" s="317">
        <f ca="1">ROUND(C13/C40,3)</f>
        <v>7.9000000000000001E-2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2315</v>
      </c>
      <c r="B1" s="1935" t="s">
        <v>3053</v>
      </c>
      <c r="C1" s="241"/>
      <c r="D1" s="241"/>
      <c r="E1" s="241"/>
      <c r="F1" s="241"/>
      <c r="G1" s="1377">
        <f>MATCH(B1,'数据-取费表'!A6:A16,0)+5</f>
        <v>7</v>
      </c>
    </row>
    <row r="2" spans="1:9" s="243" customFormat="1" ht="18" customHeight="1">
      <c r="A2" s="244" t="s">
        <v>2316</v>
      </c>
      <c r="B2" s="245">
        <f ca="1">IF(D2="——",C52,C52-E2)</f>
        <v>1355</v>
      </c>
      <c r="C2" s="242" t="s">
        <v>2317</v>
      </c>
      <c r="D2" s="2545" t="s">
        <v>70</v>
      </c>
      <c r="E2" s="1438" t="e">
        <f ca="1">SUMIF(INDIRECT("'"&amp;G2&amp;"'"&amp;"!A:A"),"承租人权益价值",INDIRECT("'"&amp;G2&amp;"'"&amp;"!c:c"))</f>
        <v>#REF!</v>
      </c>
      <c r="F2" s="2546" t="s">
        <v>2317</v>
      </c>
      <c r="G2" s="2547"/>
    </row>
    <row r="3" spans="1:9" s="243" customFormat="1" ht="18" customHeight="1" thickBot="1">
      <c r="A3" s="246" t="s">
        <v>2318</v>
      </c>
      <c r="B3" s="247">
        <f ca="1">ROUND(B2*10000/(IF(B1="",'数据-汇总表'!E3,INDIRECT("'数据-取费表'!k"&amp;$G$1))),0)</f>
        <v>69677</v>
      </c>
      <c r="C3" s="242" t="s">
        <v>2319</v>
      </c>
      <c r="D3" s="242"/>
      <c r="E3" s="242"/>
      <c r="F3" s="242"/>
      <c r="G3" s="242"/>
    </row>
    <row r="4" spans="1:9" s="251" customFormat="1" ht="15.75">
      <c r="A4" s="248" t="s">
        <v>2320</v>
      </c>
      <c r="B4" s="249"/>
      <c r="C4" s="249"/>
      <c r="D4" s="249"/>
      <c r="E4" s="249"/>
      <c r="F4" s="249"/>
      <c r="G4" s="250"/>
    </row>
    <row r="5" spans="1:9" s="257" customFormat="1" ht="13.5" customHeight="1">
      <c r="A5" s="298" t="s">
        <v>2321</v>
      </c>
      <c r="B5" s="253" t="s">
        <v>2322</v>
      </c>
      <c r="C5" s="254">
        <f ca="1">C6+C7+C8</f>
        <v>883</v>
      </c>
      <c r="D5" s="254" t="s">
        <v>2323</v>
      </c>
      <c r="E5" s="255" t="s">
        <v>2324</v>
      </c>
      <c r="F5" s="255" t="s">
        <v>2325</v>
      </c>
      <c r="G5" s="256"/>
    </row>
    <row r="6" spans="1:9" s="257" customFormat="1" ht="13.5" customHeight="1">
      <c r="A6" s="947" t="s">
        <v>2326</v>
      </c>
      <c r="B6" s="258" t="s">
        <v>2327</v>
      </c>
      <c r="C6" s="259">
        <f ca="1">基准地价修正!B2</f>
        <v>857</v>
      </c>
      <c r="D6" s="260"/>
      <c r="E6" s="261"/>
      <c r="F6" s="261"/>
      <c r="G6" s="262"/>
    </row>
    <row r="7" spans="1:9" s="257" customFormat="1" ht="13.5" customHeight="1">
      <c r="A7" s="947" t="s">
        <v>2328</v>
      </c>
      <c r="B7" s="258" t="s">
        <v>2329</v>
      </c>
      <c r="C7" s="263">
        <f ca="1">ROUND(C6*F7,0)</f>
        <v>26</v>
      </c>
      <c r="D7" s="263"/>
      <c r="E7" s="261"/>
      <c r="F7" s="264">
        <f>IF(项目基本情况!B8="出让",0,'数据-取费表'!B48+'数据-取费表'!B49)</f>
        <v>3.0499999999999999E-2</v>
      </c>
      <c r="G7" s="262"/>
    </row>
    <row r="8" spans="1:9" s="266" customFormat="1">
      <c r="A8" s="947" t="s">
        <v>2330</v>
      </c>
      <c r="B8" s="258" t="s">
        <v>2331</v>
      </c>
      <c r="C8" s="263" t="str">
        <f>IF(G8="已包含在土地购买价格中","0",IF(B1="",'数据-取费表'!B29,IF(G9="全部缴纳",C9+C10,H9)))</f>
        <v>0</v>
      </c>
      <c r="D8" s="265"/>
      <c r="E8" s="263"/>
      <c r="F8" s="264"/>
      <c r="G8" s="2548" t="s">
        <v>1145</v>
      </c>
    </row>
    <row r="9" spans="1:9" s="257" customFormat="1" ht="13.5" customHeight="1">
      <c r="A9" s="948" t="s">
        <v>800</v>
      </c>
      <c r="B9" s="267" t="s">
        <v>2332</v>
      </c>
      <c r="C9" s="268">
        <f ca="1">ROUND(D9*E9/10000,0)</f>
        <v>3</v>
      </c>
      <c r="D9" s="1030">
        <f ca="1">IF(B1="",'数据-汇总表'!E5,IF(INDIRECT("'数据-取费表'!c"&amp;$G$1)="住宅",INDIRECT("'数据-取费表'!k"&amp;$G$1),0))</f>
        <v>194.47</v>
      </c>
      <c r="E9" s="268">
        <f>'数据-取费表'!B27</f>
        <v>160</v>
      </c>
      <c r="F9" s="264"/>
      <c r="G9" s="2549" t="s">
        <v>3113</v>
      </c>
      <c r="H9" s="1388"/>
      <c r="I9" s="2550" t="s">
        <v>2333</v>
      </c>
    </row>
    <row r="10" spans="1:9" s="257" customFormat="1" ht="13.5" customHeight="1">
      <c r="A10" s="948" t="s">
        <v>801</v>
      </c>
      <c r="B10" s="267" t="s">
        <v>2334</v>
      </c>
      <c r="C10" s="268">
        <f ca="1">ROUND(D10*E10/10000,0)</f>
        <v>0</v>
      </c>
      <c r="D10" s="1030">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2335</v>
      </c>
      <c r="C11" s="254"/>
      <c r="D11" s="1032"/>
      <c r="E11" s="261"/>
      <c r="F11" s="261"/>
      <c r="G11" s="262"/>
    </row>
    <row r="12" spans="1:9" s="257" customFormat="1" ht="13.5" hidden="1" customHeight="1">
      <c r="A12" s="270" t="s">
        <v>8</v>
      </c>
      <c r="B12" s="258" t="s">
        <v>2336</v>
      </c>
      <c r="C12" s="254">
        <v>0</v>
      </c>
      <c r="D12" s="1032"/>
      <c r="E12" s="271"/>
      <c r="F12" s="264">
        <v>3.0499999999999999E-2</v>
      </c>
      <c r="G12" s="262"/>
    </row>
    <row r="13" spans="1:9" s="257" customFormat="1" ht="13.5" hidden="1" customHeight="1">
      <c r="A13" s="270" t="s">
        <v>9</v>
      </c>
      <c r="B13" s="258" t="s">
        <v>2337</v>
      </c>
      <c r="C13" s="254"/>
      <c r="D13" s="1032"/>
      <c r="E13" s="261"/>
      <c r="F13" s="261"/>
      <c r="G13" s="262"/>
    </row>
    <row r="14" spans="1:9" s="257" customFormat="1" ht="13.5" hidden="1" customHeight="1">
      <c r="A14" s="270" t="s">
        <v>10</v>
      </c>
      <c r="B14" s="258" t="s">
        <v>2338</v>
      </c>
      <c r="C14" s="254"/>
      <c r="D14" s="1032"/>
      <c r="E14" s="261"/>
      <c r="F14" s="261"/>
      <c r="G14" s="262" t="s">
        <v>2339</v>
      </c>
    </row>
    <row r="15" spans="1:9" s="257" customFormat="1" ht="13.5" hidden="1" customHeight="1">
      <c r="A15" s="270" t="s">
        <v>11</v>
      </c>
      <c r="B15" s="258" t="s">
        <v>2340</v>
      </c>
      <c r="C15" s="263"/>
      <c r="D15" s="1032"/>
      <c r="E15" s="261"/>
      <c r="F15" s="261"/>
      <c r="G15" s="262" t="s">
        <v>2341</v>
      </c>
    </row>
    <row r="16" spans="1:9" s="257" customFormat="1" ht="13.5" hidden="1" customHeight="1">
      <c r="A16" s="270" t="s">
        <v>12</v>
      </c>
      <c r="B16" s="258" t="s">
        <v>2338</v>
      </c>
      <c r="C16" s="263"/>
      <c r="D16" s="1032"/>
      <c r="E16" s="261"/>
      <c r="F16" s="261"/>
      <c r="G16" s="262"/>
    </row>
    <row r="17" spans="1:7" s="257" customFormat="1" ht="13.5" hidden="1" customHeight="1">
      <c r="A17" s="270" t="s">
        <v>13</v>
      </c>
      <c r="B17" s="258" t="s">
        <v>2342</v>
      </c>
      <c r="C17" s="272"/>
      <c r="D17" s="1033"/>
      <c r="E17" s="272"/>
      <c r="F17" s="272"/>
      <c r="G17" s="262" t="s">
        <v>2341</v>
      </c>
    </row>
    <row r="18" spans="1:7" s="257" customFormat="1" ht="13.5" hidden="1" customHeight="1">
      <c r="A18" s="270" t="s">
        <v>14</v>
      </c>
      <c r="B18" s="258" t="s">
        <v>2343</v>
      </c>
      <c r="C18" s="263">
        <v>0</v>
      </c>
      <c r="D18" s="1032"/>
      <c r="E18" s="261"/>
      <c r="F18" s="264">
        <v>3.0499999999999999E-2</v>
      </c>
      <c r="G18" s="262" t="s">
        <v>2344</v>
      </c>
    </row>
    <row r="19" spans="1:7" s="266" customFormat="1" ht="13.5" customHeight="1">
      <c r="A19" s="298" t="s">
        <v>2345</v>
      </c>
      <c r="B19" s="253" t="s">
        <v>2346</v>
      </c>
      <c r="C19" s="254">
        <f ca="1">IF(G19="已包含在土地取得成本中","0",ROUND(D19*E19/10000,0))</f>
        <v>4</v>
      </c>
      <c r="D19" s="1034">
        <f ca="1">D9+D10</f>
        <v>194.47</v>
      </c>
      <c r="E19" s="254">
        <f>'数据-取费表'!B31</f>
        <v>200</v>
      </c>
      <c r="F19" s="274"/>
      <c r="G19" s="2548" t="s">
        <v>1071</v>
      </c>
    </row>
    <row r="20" spans="1:7" s="257" customFormat="1" ht="13.5" customHeight="1">
      <c r="A20" s="298" t="s">
        <v>2347</v>
      </c>
      <c r="B20" s="253" t="s">
        <v>2348</v>
      </c>
      <c r="C20" s="275">
        <f ca="1">ROUND((C5+C19)*F20,0)</f>
        <v>27</v>
      </c>
      <c r="D20" s="275"/>
      <c r="E20" s="275"/>
      <c r="F20" s="276">
        <f>'数据-取费表'!B37</f>
        <v>0.03</v>
      </c>
      <c r="G20" s="277" t="s">
        <v>2349</v>
      </c>
    </row>
    <row r="21" spans="1:7" s="257" customFormat="1" ht="13.5" customHeight="1">
      <c r="A21" s="298" t="s">
        <v>2350</v>
      </c>
      <c r="B21" s="253" t="s">
        <v>2351</v>
      </c>
      <c r="C21" s="278">
        <f>F21</f>
        <v>0.02</v>
      </c>
      <c r="D21" s="279" t="s">
        <v>2352</v>
      </c>
      <c r="E21" s="275"/>
      <c r="F21" s="276">
        <f>'数据-取费表'!B38</f>
        <v>0.02</v>
      </c>
      <c r="G21" s="277" t="s">
        <v>2353</v>
      </c>
    </row>
    <row r="22" spans="1:7" s="257" customFormat="1" ht="13.5" customHeight="1">
      <c r="A22" s="298" t="s">
        <v>2354</v>
      </c>
      <c r="B22" s="253" t="s">
        <v>2355</v>
      </c>
      <c r="C22" s="1352">
        <f ca="1">ROUND(SUM(C23:C25),0)</f>
        <v>87</v>
      </c>
      <c r="D22" s="278">
        <f ca="1">C26</f>
        <v>1E-3</v>
      </c>
      <c r="E22" s="279" t="s">
        <v>2352</v>
      </c>
      <c r="F22" s="280">
        <f ca="1">'数据-取费表'!B40</f>
        <v>4.7500000000000001E-2</v>
      </c>
      <c r="G22" s="277" t="str">
        <f>IF('数据-取费表'!B22&lt;=1,"单利计息","复利计息")</f>
        <v>复利计息</v>
      </c>
    </row>
    <row r="23" spans="1:7" s="257" customFormat="1" ht="13.5" customHeight="1">
      <c r="A23" s="949" t="s">
        <v>2356</v>
      </c>
      <c r="B23" s="258" t="s">
        <v>2357</v>
      </c>
      <c r="C23" s="1353">
        <f ca="1">ROUND(IF('数据-取费表'!B22&lt;=1,C5*F22*'数据-取费表'!B23,C5*(POWER((1+F22),'数据-取费表'!B23)-1)),0)</f>
        <v>86</v>
      </c>
      <c r="D23" s="281"/>
      <c r="E23" s="281"/>
      <c r="F23" s="282"/>
      <c r="G23" s="283" t="s">
        <v>2358</v>
      </c>
    </row>
    <row r="24" spans="1:7" s="257" customFormat="1" ht="13.5" customHeight="1">
      <c r="A24" s="949" t="s">
        <v>2359</v>
      </c>
      <c r="B24" s="258" t="s">
        <v>2360</v>
      </c>
      <c r="C24" s="1353">
        <f ca="1">ROUND(IF('数据-取费表'!B22&lt;=1,C19*F22*('数据-取费表'!B19/2+'数据-取费表'!B21),C19*(POWER((1+F22),('数据-取费表'!B19/2+'数据-取费表'!B21))-1)),0)</f>
        <v>0</v>
      </c>
      <c r="D24" s="281"/>
      <c r="E24" s="281"/>
      <c r="F24" s="282"/>
      <c r="G24" s="283" t="s">
        <v>2361</v>
      </c>
    </row>
    <row r="25" spans="1:7" s="257" customFormat="1" ht="24">
      <c r="A25" s="949" t="s">
        <v>2362</v>
      </c>
      <c r="B25" s="258" t="s">
        <v>2363</v>
      </c>
      <c r="C25" s="1353">
        <f ca="1">ROUND(IF('数据-取费表'!B22&lt;=1,C20*F22*'数据-取费表'!B23/2,C20*(POWER((1+F22),'数据-取费表'!B23/2)-1)),0)</f>
        <v>1</v>
      </c>
      <c r="D25" s="281"/>
      <c r="E25" s="284"/>
      <c r="F25" s="282"/>
      <c r="G25" s="285" t="s">
        <v>2364</v>
      </c>
    </row>
    <row r="26" spans="1:7" s="257" customFormat="1">
      <c r="A26" s="949" t="s">
        <v>795</v>
      </c>
      <c r="B26" s="258" t="s">
        <v>2365</v>
      </c>
      <c r="C26" s="281">
        <f ca="1">ROUND(IF('数据-取费表'!B22&lt;=1,F21*F22*'数据-取费表'!B23/2,F21*(POWER((1+F22),'数据-取费表'!B23/2)-1)),4)</f>
        <v>1E-3</v>
      </c>
      <c r="D26" s="281"/>
      <c r="E26" s="284"/>
      <c r="F26" s="282"/>
      <c r="G26" s="286"/>
    </row>
    <row r="27" spans="1:7" s="257" customFormat="1" ht="24.75">
      <c r="A27" s="298" t="s">
        <v>2366</v>
      </c>
      <c r="B27" s="287" t="s">
        <v>2367</v>
      </c>
      <c r="C27" s="288">
        <f ca="1">C28</f>
        <v>183</v>
      </c>
      <c r="D27" s="278">
        <f ca="1">C29</f>
        <v>4.0000000000000001E-3</v>
      </c>
      <c r="E27" s="279" t="s">
        <v>2368</v>
      </c>
      <c r="F27" s="289">
        <f ca="1">IF(B1="",'数据-取费表'!Q16,INDIRECT("'数据-取费表'!q"&amp;$G$1))</f>
        <v>0.2</v>
      </c>
      <c r="G27" s="290" t="s">
        <v>2369</v>
      </c>
    </row>
    <row r="28" spans="1:7" s="257" customFormat="1" ht="13.5" customHeight="1">
      <c r="A28" s="949" t="s">
        <v>791</v>
      </c>
      <c r="B28" s="291" t="s">
        <v>2370</v>
      </c>
      <c r="C28" s="292">
        <f ca="1">ROUND((C5+C19+C20)*F27*'数据-取费表'!B21/'数据-取费表'!B20,0)</f>
        <v>183</v>
      </c>
      <c r="D28" s="278"/>
      <c r="E28" s="279"/>
      <c r="F28" s="289"/>
      <c r="G28" s="290"/>
    </row>
    <row r="29" spans="1:7" s="257" customFormat="1" ht="13.5" customHeight="1">
      <c r="A29" s="949" t="s">
        <v>792</v>
      </c>
      <c r="B29" s="291" t="s">
        <v>2371</v>
      </c>
      <c r="C29" s="281">
        <f ca="1">ROUND(C21*F27*'数据-取费表'!B21/'数据-取费表'!B20,4)</f>
        <v>4.0000000000000001E-3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1285</v>
      </c>
      <c r="D31" s="273"/>
      <c r="E31" s="254"/>
      <c r="F31" s="293"/>
      <c r="G31" s="277" t="s">
        <v>2376</v>
      </c>
    </row>
    <row r="32" spans="1:7" s="251" customFormat="1" ht="15.75">
      <c r="A32" s="295" t="s">
        <v>2377</v>
      </c>
      <c r="B32" s="296"/>
      <c r="C32" s="296"/>
      <c r="D32" s="296"/>
      <c r="E32" s="296"/>
      <c r="F32" s="296"/>
      <c r="G32" s="297"/>
    </row>
    <row r="33" spans="1:7" s="257" customFormat="1" ht="13.5" customHeight="1">
      <c r="A33" s="298" t="s">
        <v>782</v>
      </c>
      <c r="B33" s="253" t="s">
        <v>2378</v>
      </c>
      <c r="C33" s="299">
        <f ca="1">SUM(C34:C38)</f>
        <v>69</v>
      </c>
      <c r="D33" s="275"/>
      <c r="E33" s="255"/>
      <c r="F33" s="284"/>
      <c r="G33" s="277"/>
    </row>
    <row r="34" spans="1:7" s="301" customFormat="1" ht="13.5" customHeight="1">
      <c r="A34" s="949" t="s">
        <v>791</v>
      </c>
      <c r="B34" s="258" t="s">
        <v>2379</v>
      </c>
      <c r="C34" s="263">
        <f ca="1">IF(B1="",IF(F34=100%,'数据-取费表'!M16,'数据-取费表'!O16),IF(F34=100%,INDIRECT("'数据-取费表'!m"&amp;$G$1)+INDIRECT("'数据-取费表'!t"&amp;$G$1),INDIRECT("'数据-取费表'!o"&amp;$G$1)+INDIRECT("'数据-取费表'!aq"&amp;$G$1)))</f>
        <v>58</v>
      </c>
      <c r="D34" s="260"/>
      <c r="E34" s="263"/>
      <c r="F34" s="300">
        <f ca="1">IF('数据-取费表'!B24=0,1,IF(B1="",'数据-取费表'!N16,INDIRECT("'数据-取费表'!n"&amp;$G$1)))</f>
        <v>1</v>
      </c>
      <c r="G34" s="262" t="s">
        <v>2380</v>
      </c>
    </row>
    <row r="35" spans="1:7" ht="13.5" customHeight="1">
      <c r="A35" s="949" t="s">
        <v>796</v>
      </c>
      <c r="B35" s="258" t="s">
        <v>2381</v>
      </c>
      <c r="C35" s="263">
        <f ca="1">ROUND(C34*F35,0)</f>
        <v>3</v>
      </c>
      <c r="D35" s="263"/>
      <c r="E35" s="263"/>
      <c r="F35" s="302">
        <f>'数据-取费表'!B33</f>
        <v>0.05</v>
      </c>
      <c r="G35" s="262" t="s">
        <v>2382</v>
      </c>
    </row>
    <row r="36" spans="1:7" ht="24">
      <c r="A36" s="949" t="s">
        <v>797</v>
      </c>
      <c r="B36" s="258" t="s">
        <v>2383</v>
      </c>
      <c r="C36" s="263">
        <f ca="1">ROUND(IF(B1="",SUMIF('数据-取费表'!C:C,"住宅",IF(F34=100%,'数据-取费表'!M:M,'数据-取费表'!O:O))*F36,IF(INDIRECT("'数据-取费表'!c"&amp;$G$1)="住宅",IF(F34=100%,INDIRECT("'数据-取费表'!m"&amp;$G$1)*F36,INDIRECT("'数据-取费表'!o"&amp;$G$1)*F36),0)),0)</f>
        <v>3</v>
      </c>
      <c r="D36" s="263"/>
      <c r="E36" s="263"/>
      <c r="F36" s="302">
        <f>'数据-取费表'!B34</f>
        <v>0.05</v>
      </c>
      <c r="G36" s="303" t="s">
        <v>2384</v>
      </c>
    </row>
    <row r="37" spans="1:7" s="301" customFormat="1" ht="13.5" customHeight="1">
      <c r="A37" s="949" t="s">
        <v>798</v>
      </c>
      <c r="B37" s="258" t="s">
        <v>2385</v>
      </c>
      <c r="C37" s="292">
        <f ca="1">ROUND(E37*D37*F34/10000,0)</f>
        <v>4</v>
      </c>
      <c r="D37" s="260">
        <f ca="1">D19</f>
        <v>194.47</v>
      </c>
      <c r="E37" s="292">
        <f>'数据-取费表'!B35</f>
        <v>200</v>
      </c>
      <c r="F37" s="302"/>
      <c r="G37" s="304" t="s">
        <v>2386</v>
      </c>
    </row>
    <row r="38" spans="1:7" ht="13.5" customHeight="1">
      <c r="A38" s="949" t="s">
        <v>799</v>
      </c>
      <c r="B38" s="258" t="s">
        <v>2387</v>
      </c>
      <c r="C38" s="263">
        <f ca="1">ROUND(C34*F38,0)</f>
        <v>1</v>
      </c>
      <c r="D38" s="263"/>
      <c r="E38" s="263"/>
      <c r="F38" s="302">
        <f>'数据-取费表'!B36</f>
        <v>1.4999999999999999E-2</v>
      </c>
      <c r="G38" s="262" t="s">
        <v>2382</v>
      </c>
    </row>
    <row r="39" spans="1:7" s="257" customFormat="1" ht="13.5" customHeight="1">
      <c r="A39" s="298" t="s">
        <v>2388</v>
      </c>
      <c r="B39" s="253" t="s">
        <v>2389</v>
      </c>
      <c r="C39" s="275">
        <f ca="1">ROUND(C33*F20,0)</f>
        <v>2</v>
      </c>
      <c r="D39" s="275"/>
      <c r="E39" s="275"/>
      <c r="F39" s="276"/>
      <c r="G39" s="277" t="s">
        <v>2390</v>
      </c>
    </row>
    <row r="40" spans="1:7" s="257" customFormat="1" ht="13.5" customHeight="1">
      <c r="A40" s="298" t="s">
        <v>2391</v>
      </c>
      <c r="B40" s="253" t="s">
        <v>2392</v>
      </c>
      <c r="C40" s="1726">
        <f>F21</f>
        <v>0.02</v>
      </c>
      <c r="D40" s="279" t="s">
        <v>2393</v>
      </c>
      <c r="E40" s="275"/>
      <c r="F40" s="276"/>
      <c r="G40" s="277" t="s">
        <v>2394</v>
      </c>
    </row>
    <row r="41" spans="1:7" s="257" customFormat="1" ht="13.5" customHeight="1">
      <c r="A41" s="298" t="s">
        <v>2395</v>
      </c>
      <c r="B41" s="253" t="s">
        <v>2396</v>
      </c>
      <c r="C41" s="275">
        <f ca="1">ROUND(SUM(C42:C43),0)</f>
        <v>3</v>
      </c>
      <c r="D41" s="278">
        <f ca="1">C44</f>
        <v>1E-3</v>
      </c>
      <c r="E41" s="279" t="s">
        <v>2393</v>
      </c>
      <c r="F41" s="280"/>
      <c r="G41" s="277" t="str">
        <f>IF('数据-取费表'!B22&lt;=1,"单利计息","复利计息")</f>
        <v>复利计息</v>
      </c>
    </row>
    <row r="42" spans="1:7" ht="13.5" customHeight="1">
      <c r="A42" s="949" t="s">
        <v>791</v>
      </c>
      <c r="B42" s="258" t="s">
        <v>2397</v>
      </c>
      <c r="C42" s="281">
        <f ca="1">ROUND(IF('数据-取费表'!B22&lt;=1,C33*F22*'数据-取费表'!B21/2,C33*(POWER((1+F22),'数据-取费表'!B21/2)-1)),0)</f>
        <v>3</v>
      </c>
      <c r="D42" s="281"/>
      <c r="E42" s="281"/>
      <c r="F42" s="282"/>
      <c r="G42" s="3323" t="s">
        <v>2398</v>
      </c>
    </row>
    <row r="43" spans="1:7" ht="13.5" customHeight="1">
      <c r="A43" s="949" t="s">
        <v>792</v>
      </c>
      <c r="B43" s="258" t="s">
        <v>2399</v>
      </c>
      <c r="C43" s="281">
        <f ca="1">ROUND(IF('数据-取费表'!B22&lt;=1,C39*F22*'数据-取费表'!B21/2,C39*(POWER((1+F22),'数据-取费表'!B21/2)-1)),0)</f>
        <v>0</v>
      </c>
      <c r="D43" s="281"/>
      <c r="E43" s="281"/>
      <c r="F43" s="282"/>
      <c r="G43" s="3324"/>
    </row>
    <row r="44" spans="1:7" ht="13.5" customHeight="1">
      <c r="A44" s="949" t="s">
        <v>793</v>
      </c>
      <c r="B44" s="258" t="s">
        <v>2400</v>
      </c>
      <c r="C44" s="281">
        <f ca="1">ROUND(IF('数据-取费表'!B22&lt;=1,C40*F22*'数据-取费表'!B21/2,C40*(POWER((1+F22),'数据-取费表'!B21/2)-1)),4)</f>
        <v>1E-3</v>
      </c>
      <c r="D44" s="281"/>
      <c r="E44" s="281"/>
      <c r="F44" s="282"/>
      <c r="G44" s="3325"/>
    </row>
    <row r="45" spans="1:7" s="257" customFormat="1" ht="13.5" customHeight="1">
      <c r="A45" s="298" t="s">
        <v>2401</v>
      </c>
      <c r="B45" s="287" t="s">
        <v>2367</v>
      </c>
      <c r="C45" s="288">
        <f ca="1">C46</f>
        <v>14</v>
      </c>
      <c r="D45" s="278">
        <f ca="1">C47</f>
        <v>4.0000000000000001E-3</v>
      </c>
      <c r="E45" s="279" t="s">
        <v>2393</v>
      </c>
      <c r="F45" s="289"/>
      <c r="G45" s="290" t="s">
        <v>2402</v>
      </c>
    </row>
    <row r="46" spans="1:7" s="257" customFormat="1" ht="13.5" customHeight="1">
      <c r="A46" s="949" t="s">
        <v>791</v>
      </c>
      <c r="B46" s="291" t="s">
        <v>2403</v>
      </c>
      <c r="C46" s="292">
        <f ca="1">ROUND((C33+C39)*F27,0)</f>
        <v>14</v>
      </c>
      <c r="D46" s="306"/>
      <c r="E46" s="279"/>
      <c r="F46" s="289"/>
      <c r="G46" s="290"/>
    </row>
    <row r="47" spans="1:7" s="257" customFormat="1" ht="13.5" customHeight="1">
      <c r="A47" s="949" t="s">
        <v>792</v>
      </c>
      <c r="B47" s="291" t="s">
        <v>2404</v>
      </c>
      <c r="C47" s="281">
        <f ca="1">ROUND(C40*F27,4)</f>
        <v>4.0000000000000001E-3</v>
      </c>
      <c r="D47" s="306"/>
      <c r="E47" s="279"/>
      <c r="F47" s="289"/>
      <c r="G47" s="290"/>
    </row>
    <row r="48" spans="1:7" s="257" customFormat="1" ht="13.5" customHeight="1">
      <c r="A48" s="298" t="s">
        <v>2366</v>
      </c>
      <c r="B48" s="253" t="s">
        <v>2405</v>
      </c>
      <c r="C48" s="1726">
        <f>ROUND(F30/(1+'数据-取费表'!C42),4)</f>
        <v>5.33E-2</v>
      </c>
      <c r="D48" s="279" t="s">
        <v>2393</v>
      </c>
      <c r="E48" s="275"/>
      <c r="F48" s="280"/>
      <c r="G48" s="277" t="s">
        <v>2406</v>
      </c>
    </row>
    <row r="49" spans="1:7" ht="16.5" customHeight="1">
      <c r="A49" s="298" t="s">
        <v>2372</v>
      </c>
      <c r="B49" s="253" t="s">
        <v>2407</v>
      </c>
      <c r="C49" s="275">
        <f ca="1">ROUND((C33+C39+C41+C45)/(1-C40-D41-D45-C48),0)</f>
        <v>95</v>
      </c>
      <c r="D49" s="275"/>
      <c r="E49" s="275"/>
      <c r="F49" s="307"/>
      <c r="G49" s="277" t="s">
        <v>2408</v>
      </c>
    </row>
    <row r="50" spans="1:7" s="301" customFormat="1" ht="24">
      <c r="A50" s="298" t="s">
        <v>2409</v>
      </c>
      <c r="B50" s="253" t="s">
        <v>2410</v>
      </c>
      <c r="C50" s="275"/>
      <c r="D50" s="275"/>
      <c r="E50" s="275"/>
      <c r="F50" s="307">
        <f>IF('数据-取费表'!B24=0,'数据-取费表'!N16,1)</f>
        <v>0.73299999999999998</v>
      </c>
      <c r="G50" s="290" t="s">
        <v>2411</v>
      </c>
    </row>
    <row r="51" spans="1:7" ht="16.5" customHeight="1">
      <c r="A51" s="298" t="s">
        <v>2412</v>
      </c>
      <c r="B51" s="253" t="s">
        <v>2413</v>
      </c>
      <c r="C51" s="275">
        <f ca="1">ROUND(C49*F50,0)</f>
        <v>70</v>
      </c>
      <c r="D51" s="275"/>
      <c r="E51" s="275"/>
      <c r="F51" s="307"/>
      <c r="G51" s="277" t="s">
        <v>2414</v>
      </c>
    </row>
    <row r="52" spans="1:7" s="251" customFormat="1" ht="16.5" thickBot="1">
      <c r="A52" s="308" t="s">
        <v>2415</v>
      </c>
      <c r="B52" s="309"/>
      <c r="C52" s="310">
        <f ca="1">C31+C51</f>
        <v>1355</v>
      </c>
      <c r="D52" s="309"/>
      <c r="E52" s="309"/>
      <c r="F52" s="309"/>
      <c r="G52" s="311"/>
    </row>
    <row r="55" spans="1:7" ht="15">
      <c r="B55" s="313" t="s">
        <v>2416</v>
      </c>
      <c r="C55" s="314"/>
    </row>
    <row r="56" spans="1:7">
      <c r="B56" s="316" t="s">
        <v>1508</v>
      </c>
      <c r="C56" s="318">
        <f ca="1">1-C57</f>
        <v>0.94799999999999995</v>
      </c>
    </row>
    <row r="57" spans="1:7">
      <c r="B57" s="316" t="s">
        <v>1509</v>
      </c>
      <c r="C57" s="317">
        <f ca="1">ROUND(C51/C52,3)</f>
        <v>5.1999999999999998E-2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Normal="100" workbookViewId="0">
      <selection activeCell="F36" sqref="F36"/>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2315</v>
      </c>
      <c r="B1" s="1935" t="s">
        <v>3053</v>
      </c>
      <c r="C1" s="2551" t="s">
        <v>2417</v>
      </c>
      <c r="D1" s="241"/>
      <c r="E1" s="241"/>
      <c r="F1" s="241"/>
      <c r="G1" s="1377">
        <f>MATCH(B1,'数据-取费表'!A6:A16,0)+5</f>
        <v>7</v>
      </c>
      <c r="H1" s="1280" t="str">
        <f>IF(ISERROR(FIND("住宅",B1)),"非住宅","住宅")</f>
        <v>住宅</v>
      </c>
    </row>
    <row r="2" spans="1:8" s="243" customFormat="1" ht="18" customHeight="1">
      <c r="A2" s="244" t="s">
        <v>2316</v>
      </c>
      <c r="B2" s="245">
        <f ca="1">ROUND(IF(D2="——",C52/10000,C52/10000-E2),0)</f>
        <v>1354</v>
      </c>
      <c r="C2" s="242" t="s">
        <v>2317</v>
      </c>
      <c r="D2" s="2545" t="s">
        <v>70</v>
      </c>
      <c r="E2" s="1438" t="e">
        <f ca="1">SUMIF(INDIRECT("'"&amp;G2&amp;"'"&amp;"!A:A"),"承租人权益价值",INDIRECT("'"&amp;G2&amp;"'"&amp;"!c:c"))</f>
        <v>#REF!</v>
      </c>
      <c r="F2" s="2546" t="s">
        <v>2317</v>
      </c>
      <c r="G2" s="2547"/>
    </row>
    <row r="3" spans="1:8" s="243" customFormat="1" ht="18" customHeight="1" thickBot="1">
      <c r="A3" s="246" t="s">
        <v>2318</v>
      </c>
      <c r="B3" s="247">
        <f ca="1">ROUND(B2*10000/(IF(B1="",'数据-汇总表'!E3,INDIRECT("'数据-取费表'!k"&amp;$G$1))),0)</f>
        <v>69625</v>
      </c>
      <c r="C3" s="242" t="s">
        <v>2319</v>
      </c>
      <c r="D3" s="242"/>
      <c r="E3" s="242"/>
      <c r="F3" s="242"/>
      <c r="G3" s="242"/>
    </row>
    <row r="4" spans="1:8" s="251" customFormat="1" ht="15.75">
      <c r="A4" s="248" t="s">
        <v>2320</v>
      </c>
      <c r="B4" s="249"/>
      <c r="C4" s="249"/>
      <c r="D4" s="249"/>
      <c r="E4" s="249"/>
      <c r="F4" s="249"/>
      <c r="G4" s="250"/>
    </row>
    <row r="5" spans="1:8" s="257" customFormat="1" ht="13.5" customHeight="1">
      <c r="A5" s="298" t="s">
        <v>2321</v>
      </c>
      <c r="B5" s="253" t="s">
        <v>2322</v>
      </c>
      <c r="C5" s="254">
        <f ca="1">C6+C7+C8</f>
        <v>8862500</v>
      </c>
      <c r="D5" s="254" t="s">
        <v>2323</v>
      </c>
      <c r="E5" s="255" t="s">
        <v>2324</v>
      </c>
      <c r="F5" s="255" t="s">
        <v>2325</v>
      </c>
      <c r="G5" s="256"/>
    </row>
    <row r="6" spans="1:8" s="257" customFormat="1" ht="13.5" customHeight="1">
      <c r="A6" s="947" t="s">
        <v>2326</v>
      </c>
      <c r="B6" s="258" t="s">
        <v>2327</v>
      </c>
      <c r="C6" s="259">
        <f ca="1">基准地价修正!B2*10000</f>
        <v>8570000</v>
      </c>
      <c r="D6" s="260"/>
      <c r="E6" s="261"/>
      <c r="F6" s="261"/>
      <c r="G6" s="262"/>
    </row>
    <row r="7" spans="1:8" s="257" customFormat="1" ht="13.5" customHeight="1">
      <c r="A7" s="947" t="s">
        <v>2328</v>
      </c>
      <c r="B7" s="258" t="s">
        <v>2329</v>
      </c>
      <c r="C7" s="263">
        <f ca="1">ROUND(C6*F7,0)</f>
        <v>261385</v>
      </c>
      <c r="D7" s="263"/>
      <c r="E7" s="261"/>
      <c r="F7" s="264">
        <f>IF(项目基本情况!B8="出让",0,'数据-取费表'!B48+'数据-取费表'!B49)</f>
        <v>3.0499999999999999E-2</v>
      </c>
      <c r="G7" s="262"/>
    </row>
    <row r="8" spans="1:8" s="266" customFormat="1">
      <c r="A8" s="947" t="s">
        <v>2330</v>
      </c>
      <c r="B8" s="258" t="s">
        <v>2331</v>
      </c>
      <c r="C8" s="263">
        <f ca="1">IF(G8="已包含在土地购买价格中",0,C9+C10)</f>
        <v>31115</v>
      </c>
      <c r="D8" s="265"/>
      <c r="E8" s="263"/>
      <c r="F8" s="264"/>
      <c r="G8" s="2548" t="s">
        <v>3224</v>
      </c>
    </row>
    <row r="9" spans="1:8" s="257" customFormat="1" ht="13.5" customHeight="1">
      <c r="A9" s="948" t="s">
        <v>800</v>
      </c>
      <c r="B9" s="267" t="s">
        <v>2332</v>
      </c>
      <c r="C9" s="268">
        <f ca="1">ROUND(D9*E9,0)</f>
        <v>31115</v>
      </c>
      <c r="D9" s="1030">
        <f ca="1">IF(B1="",'数据-汇总表'!E5,IF(INDIRECT("'数据-取费表'!c"&amp;$G$1)="住宅",INDIRECT("'数据-取费表'!k"&amp;$G$1),0))</f>
        <v>194.47</v>
      </c>
      <c r="E9" s="268">
        <f>'数据-取费表'!B27</f>
        <v>160</v>
      </c>
      <c r="F9" s="264"/>
      <c r="G9" s="269"/>
    </row>
    <row r="10" spans="1:8" s="257" customFormat="1" ht="13.5" customHeight="1">
      <c r="A10" s="948" t="s">
        <v>801</v>
      </c>
      <c r="B10" s="267" t="s">
        <v>2334</v>
      </c>
      <c r="C10" s="268">
        <f ca="1">ROUND(D10*E10,0)</f>
        <v>0</v>
      </c>
      <c r="D10" s="1030">
        <f ca="1">IF(B1="",'数据-汇总表'!E6,IF(INDIRECT("'数据-取费表'!c"&amp;$G$1)="住宅",INDIRECT("'数据-取费表'!s"&amp;$G$1),INDIRECT("'数据-取费表'!k"&amp;$G$1)+INDIRECT("'数据-取费表'!s"&amp;$G$1)))</f>
        <v>0</v>
      </c>
      <c r="E10" s="268">
        <f>'数据-取费表'!B28</f>
        <v>200</v>
      </c>
      <c r="F10" s="264"/>
      <c r="G10" s="269"/>
    </row>
    <row r="11" spans="1:8" s="257" customFormat="1" ht="13.5" hidden="1" customHeight="1">
      <c r="A11" s="270" t="s">
        <v>7</v>
      </c>
      <c r="B11" s="258" t="s">
        <v>2335</v>
      </c>
      <c r="C11" s="254"/>
      <c r="D11" s="1032"/>
      <c r="E11" s="261"/>
      <c r="F11" s="261"/>
      <c r="G11" s="262"/>
    </row>
    <row r="12" spans="1:8" s="257" customFormat="1" ht="13.5" hidden="1" customHeight="1">
      <c r="A12" s="270" t="s">
        <v>8</v>
      </c>
      <c r="B12" s="258" t="s">
        <v>2418</v>
      </c>
      <c r="C12" s="254">
        <v>0</v>
      </c>
      <c r="D12" s="1032"/>
      <c r="E12" s="271"/>
      <c r="F12" s="264">
        <v>3.0499999999999999E-2</v>
      </c>
      <c r="G12" s="262"/>
    </row>
    <row r="13" spans="1:8" s="257" customFormat="1" ht="13.5" hidden="1" customHeight="1">
      <c r="A13" s="270" t="s">
        <v>9</v>
      </c>
      <c r="B13" s="258" t="s">
        <v>2419</v>
      </c>
      <c r="C13" s="254"/>
      <c r="D13" s="1032"/>
      <c r="E13" s="261"/>
      <c r="F13" s="261"/>
      <c r="G13" s="262"/>
    </row>
    <row r="14" spans="1:8" s="257" customFormat="1" ht="13.5" hidden="1" customHeight="1">
      <c r="A14" s="270" t="s">
        <v>10</v>
      </c>
      <c r="B14" s="258" t="s">
        <v>2331</v>
      </c>
      <c r="C14" s="254"/>
      <c r="D14" s="1032"/>
      <c r="E14" s="261"/>
      <c r="F14" s="261"/>
      <c r="G14" s="262" t="s">
        <v>2420</v>
      </c>
    </row>
    <row r="15" spans="1:8" s="257" customFormat="1" ht="13.5" hidden="1" customHeight="1">
      <c r="A15" s="270" t="s">
        <v>11</v>
      </c>
      <c r="B15" s="258" t="s">
        <v>2421</v>
      </c>
      <c r="C15" s="263"/>
      <c r="D15" s="1032"/>
      <c r="E15" s="261"/>
      <c r="F15" s="261"/>
      <c r="G15" s="262" t="s">
        <v>2422</v>
      </c>
    </row>
    <row r="16" spans="1:8" s="257" customFormat="1" ht="13.5" hidden="1" customHeight="1">
      <c r="A16" s="270" t="s">
        <v>12</v>
      </c>
      <c r="B16" s="258" t="s">
        <v>2331</v>
      </c>
      <c r="C16" s="263"/>
      <c r="D16" s="1032"/>
      <c r="E16" s="261"/>
      <c r="F16" s="261"/>
      <c r="G16" s="262"/>
    </row>
    <row r="17" spans="1:8" s="257" customFormat="1" ht="13.5" hidden="1" customHeight="1">
      <c r="A17" s="270" t="s">
        <v>13</v>
      </c>
      <c r="B17" s="258" t="s">
        <v>2423</v>
      </c>
      <c r="C17" s="272"/>
      <c r="D17" s="1033"/>
      <c r="E17" s="272"/>
      <c r="F17" s="272"/>
      <c r="G17" s="262" t="s">
        <v>2422</v>
      </c>
    </row>
    <row r="18" spans="1:8" s="257" customFormat="1" ht="13.5" hidden="1" customHeight="1">
      <c r="A18" s="270" t="s">
        <v>14</v>
      </c>
      <c r="B18" s="258" t="s">
        <v>2424</v>
      </c>
      <c r="C18" s="263">
        <v>0</v>
      </c>
      <c r="D18" s="1032"/>
      <c r="E18" s="261"/>
      <c r="F18" s="264">
        <v>3.0499999999999999E-2</v>
      </c>
      <c r="G18" s="262" t="s">
        <v>2425</v>
      </c>
    </row>
    <row r="19" spans="1:8" s="266" customFormat="1" ht="13.5" customHeight="1">
      <c r="A19" s="298" t="s">
        <v>2426</v>
      </c>
      <c r="B19" s="253" t="s">
        <v>2427</v>
      </c>
      <c r="C19" s="254" t="str">
        <f>IF(G19="已包含在土地取得成本中","0",ROUND(D19*E19,0))</f>
        <v>0</v>
      </c>
      <c r="D19" s="1034">
        <f ca="1">D9+D10</f>
        <v>194.47</v>
      </c>
      <c r="E19" s="254">
        <f>'数据-取费表'!B31</f>
        <v>200</v>
      </c>
      <c r="F19" s="274"/>
      <c r="G19" s="2548" t="s">
        <v>3225</v>
      </c>
    </row>
    <row r="20" spans="1:8" s="257" customFormat="1" ht="13.5" customHeight="1">
      <c r="A20" s="298" t="s">
        <v>2428</v>
      </c>
      <c r="B20" s="253" t="s">
        <v>2429</v>
      </c>
      <c r="C20" s="275">
        <f ca="1">ROUND((C5+C19)*F20,0)</f>
        <v>265875</v>
      </c>
      <c r="D20" s="275"/>
      <c r="E20" s="275"/>
      <c r="F20" s="276">
        <f>'数据-取费表'!B37</f>
        <v>0.03</v>
      </c>
      <c r="G20" s="277" t="s">
        <v>2430</v>
      </c>
    </row>
    <row r="21" spans="1:8" s="257" customFormat="1" ht="13.5" customHeight="1">
      <c r="A21" s="298" t="s">
        <v>2431</v>
      </c>
      <c r="B21" s="253" t="s">
        <v>2432</v>
      </c>
      <c r="C21" s="278">
        <f>F21</f>
        <v>0.02</v>
      </c>
      <c r="D21" s="279" t="s">
        <v>2433</v>
      </c>
      <c r="E21" s="275"/>
      <c r="F21" s="276">
        <f>'数据-取费表'!B38</f>
        <v>0.02</v>
      </c>
      <c r="G21" s="277" t="s">
        <v>2434</v>
      </c>
    </row>
    <row r="22" spans="1:8" s="257" customFormat="1" ht="13.5" customHeight="1">
      <c r="A22" s="298" t="s">
        <v>2435</v>
      </c>
      <c r="B22" s="253" t="s">
        <v>2436</v>
      </c>
      <c r="C22" s="1378">
        <f ca="1">ROUND(SUM(C23:C25),0)</f>
        <v>874563</v>
      </c>
      <c r="D22" s="278">
        <f ca="1">C26</f>
        <v>1E-3</v>
      </c>
      <c r="E22" s="279" t="s">
        <v>2433</v>
      </c>
      <c r="F22" s="280">
        <f ca="1">'数据-取费表'!B40</f>
        <v>4.7500000000000001E-2</v>
      </c>
      <c r="G22" s="277" t="str">
        <f>IF('数据-取费表'!B22&lt;=1,"单利计息","复利计息")</f>
        <v>复利计息</v>
      </c>
    </row>
    <row r="23" spans="1:8" s="257" customFormat="1" ht="13.5" customHeight="1">
      <c r="A23" s="949" t="s">
        <v>2326</v>
      </c>
      <c r="B23" s="258" t="s">
        <v>2437</v>
      </c>
      <c r="C23" s="1379">
        <f ca="1">ROUND(IF('数据-取费表'!B22&lt;=1,C5*F22*'数据-取费表'!B22,C5*(POWER((1+F22),'数据-取费表'!B22)-1)),0)</f>
        <v>861934</v>
      </c>
      <c r="D23" s="281"/>
      <c r="E23" s="281"/>
      <c r="F23" s="282"/>
      <c r="G23" s="283" t="s">
        <v>2438</v>
      </c>
    </row>
    <row r="24" spans="1:8" s="257" customFormat="1" ht="13.5" customHeight="1">
      <c r="A24" s="949" t="s">
        <v>2328</v>
      </c>
      <c r="B24" s="258" t="s">
        <v>2439</v>
      </c>
      <c r="C24" s="1379">
        <f ca="1">ROUND(IF('数据-取费表'!B22&lt;=1,C19*F22*('数据-取费表'!B19/2+'数据-取费表'!B20),C19*(POWER((1+F22),('数据-取费表'!B19/2+'数据-取费表'!B20))-1)),0)</f>
        <v>0</v>
      </c>
      <c r="D24" s="281"/>
      <c r="E24" s="281"/>
      <c r="F24" s="282"/>
      <c r="G24" s="283" t="s">
        <v>2440</v>
      </c>
    </row>
    <row r="25" spans="1:8" s="257" customFormat="1" ht="24">
      <c r="A25" s="949" t="s">
        <v>2330</v>
      </c>
      <c r="B25" s="258" t="s">
        <v>2441</v>
      </c>
      <c r="C25" s="1379">
        <f ca="1">ROUND(IF('数据-取费表'!B22&lt;=1,C20*F22*'数据-取费表'!B22/2,C20*(POWER((1+F22),'数据-取费表'!B22/2)-1)),0)</f>
        <v>12629</v>
      </c>
      <c r="D25" s="281"/>
      <c r="E25" s="284"/>
      <c r="F25" s="282"/>
      <c r="G25" s="285" t="s">
        <v>2442</v>
      </c>
      <c r="H25" s="257">
        <f ca="1">C23+C24+C25</f>
        <v>874563</v>
      </c>
    </row>
    <row r="26" spans="1:8" s="257" customFormat="1">
      <c r="A26" s="949" t="s">
        <v>795</v>
      </c>
      <c r="B26" s="258" t="s">
        <v>2365</v>
      </c>
      <c r="C26" s="281">
        <f ca="1">ROUND(IF('数据-取费表'!B22&lt;=1,F21*F22*'数据-取费表'!B22/2,F21*(POWER((1+F22),'数据-取费表'!B22/2)-1)),4)</f>
        <v>1E-3</v>
      </c>
      <c r="D26" s="281"/>
      <c r="E26" s="284"/>
      <c r="F26" s="282"/>
      <c r="G26" s="286"/>
    </row>
    <row r="27" spans="1:8" s="257" customFormat="1" ht="24.75">
      <c r="A27" s="298" t="s">
        <v>2366</v>
      </c>
      <c r="B27" s="287" t="s">
        <v>2367</v>
      </c>
      <c r="C27" s="288">
        <f ca="1">C28</f>
        <v>1825675</v>
      </c>
      <c r="D27" s="278">
        <f ca="1">C29</f>
        <v>4.0000000000000001E-3</v>
      </c>
      <c r="E27" s="279" t="s">
        <v>2368</v>
      </c>
      <c r="F27" s="289">
        <f ca="1">IF(B1="",'数据-取费表'!Q16,INDIRECT("'数据-取费表'!q"&amp;$G$1))</f>
        <v>0.2</v>
      </c>
      <c r="G27" s="290" t="s">
        <v>2369</v>
      </c>
    </row>
    <row r="28" spans="1:8" s="257" customFormat="1" ht="13.5" customHeight="1">
      <c r="A28" s="949" t="s">
        <v>791</v>
      </c>
      <c r="B28" s="291" t="s">
        <v>2370</v>
      </c>
      <c r="C28" s="292">
        <f ca="1">ROUND((C5+C19+C20)*F27,0)</f>
        <v>1825675</v>
      </c>
      <c r="D28" s="278"/>
      <c r="E28" s="279"/>
      <c r="F28" s="289"/>
      <c r="G28" s="290"/>
    </row>
    <row r="29" spans="1:8" s="257" customFormat="1" ht="13.5" customHeight="1">
      <c r="A29" s="949" t="s">
        <v>792</v>
      </c>
      <c r="B29" s="291" t="s">
        <v>2371</v>
      </c>
      <c r="C29" s="281">
        <f ca="1">ROUND(C21*F27,4)</f>
        <v>4.0000000000000001E-3</v>
      </c>
      <c r="D29" s="278"/>
      <c r="E29" s="279"/>
      <c r="F29" s="289"/>
      <c r="G29" s="290"/>
    </row>
    <row r="30" spans="1:8" s="257" customFormat="1" ht="13.5" customHeight="1">
      <c r="A30" s="298" t="s">
        <v>2372</v>
      </c>
      <c r="B30" s="253" t="s">
        <v>2373</v>
      </c>
      <c r="C30" s="278">
        <f>ROUND(F30/(1+'数据-取费表'!C42),4)</f>
        <v>5.33E-2</v>
      </c>
      <c r="D30" s="279" t="s">
        <v>2368</v>
      </c>
      <c r="E30" s="284"/>
      <c r="F30" s="280">
        <f>'数据-取费表'!B41</f>
        <v>5.6000000000000001E-2</v>
      </c>
      <c r="G30" s="277" t="s">
        <v>2374</v>
      </c>
    </row>
    <row r="31" spans="1:8" ht="16.5" customHeight="1">
      <c r="A31" s="252">
        <v>1</v>
      </c>
      <c r="B31" s="253" t="s">
        <v>2375</v>
      </c>
      <c r="C31" s="254">
        <f ca="1">ROUND((C5+C19+C20+C22+C27)/(1-C21-D22-D27-C30),0)</f>
        <v>12833474</v>
      </c>
      <c r="D31" s="273"/>
      <c r="E31" s="254"/>
      <c r="F31" s="293"/>
      <c r="G31" s="277" t="s">
        <v>2376</v>
      </c>
    </row>
    <row r="32" spans="1:8" s="251" customFormat="1" ht="15.75">
      <c r="A32" s="295" t="s">
        <v>2443</v>
      </c>
      <c r="B32" s="296"/>
      <c r="C32" s="296"/>
      <c r="D32" s="296"/>
      <c r="E32" s="296"/>
      <c r="F32" s="296"/>
      <c r="G32" s="297"/>
    </row>
    <row r="33" spans="1:8" s="257" customFormat="1" ht="13.5" customHeight="1">
      <c r="A33" s="298" t="s">
        <v>782</v>
      </c>
      <c r="B33" s="253" t="s">
        <v>2444</v>
      </c>
      <c r="C33" s="299">
        <f ca="1">SUM(C34:C38)</f>
        <v>689397</v>
      </c>
      <c r="D33" s="275"/>
      <c r="E33" s="255"/>
      <c r="F33" s="284"/>
      <c r="G33" s="277"/>
    </row>
    <row r="34" spans="1:8" s="301" customFormat="1" ht="13.5" customHeight="1">
      <c r="A34" s="949" t="s">
        <v>791</v>
      </c>
      <c r="B34" s="258" t="s">
        <v>2379</v>
      </c>
      <c r="C34" s="263">
        <f ca="1">ROUND(IF(B1="",SUMPRODUCT('数据-取费表'!K6:K14,'数据-取费表'!L6:L14),INDIRECT("'数据-取费表'!l"&amp;$G$1)*INDIRECT("'数据-取费表'!k"&amp;$G$1)+'数据-取费表'!L14*INDIRECT("'数据-取费表'!S"&amp;$G$1)),0)</f>
        <v>583410</v>
      </c>
      <c r="D34" s="260"/>
      <c r="E34" s="263"/>
      <c r="F34" s="300"/>
      <c r="G34" s="262"/>
    </row>
    <row r="35" spans="1:8" ht="13.5" customHeight="1">
      <c r="A35" s="949" t="s">
        <v>796</v>
      </c>
      <c r="B35" s="258" t="s">
        <v>2381</v>
      </c>
      <c r="C35" s="263">
        <f ca="1">ROUND(C34*F35,0)</f>
        <v>29171</v>
      </c>
      <c r="D35" s="263"/>
      <c r="E35" s="263"/>
      <c r="F35" s="302">
        <f>'数据-取费表'!B33</f>
        <v>0.05</v>
      </c>
      <c r="G35" s="262" t="s">
        <v>2382</v>
      </c>
    </row>
    <row r="36" spans="1:8" ht="24">
      <c r="A36" s="949" t="s">
        <v>797</v>
      </c>
      <c r="B36" s="258" t="s">
        <v>2383</v>
      </c>
      <c r="C36" s="263">
        <f ca="1">ROUND(IF(B1="",SUM('数据-取费表'!AP6:AP13)*F36,IF(INDIRECT("'数据-取费表'!c"&amp;$G$1)="住宅",INDIRECT("'数据-取费表'!k"&amp;$G$1)*INDIRECT("'数据-取费表'!l"&amp;$G$1)*F36,0)),0)</f>
        <v>29171</v>
      </c>
      <c r="D36" s="263"/>
      <c r="E36" s="263"/>
      <c r="F36" s="302">
        <f>'数据-取费表'!B34</f>
        <v>0.05</v>
      </c>
      <c r="G36" s="303" t="s">
        <v>2384</v>
      </c>
    </row>
    <row r="37" spans="1:8" s="301" customFormat="1" ht="13.5" customHeight="1">
      <c r="A37" s="949" t="s">
        <v>798</v>
      </c>
      <c r="B37" s="258" t="s">
        <v>2385</v>
      </c>
      <c r="C37" s="292">
        <f ca="1">ROUND(E37*D37,0)</f>
        <v>38894</v>
      </c>
      <c r="D37" s="260">
        <f ca="1">D19</f>
        <v>194.47</v>
      </c>
      <c r="E37" s="292">
        <f>'数据-取费表'!B35</f>
        <v>200</v>
      </c>
      <c r="F37" s="302"/>
      <c r="G37" s="304"/>
    </row>
    <row r="38" spans="1:8" ht="13.5" customHeight="1">
      <c r="A38" s="949" t="s">
        <v>799</v>
      </c>
      <c r="B38" s="258" t="s">
        <v>2387</v>
      </c>
      <c r="C38" s="263">
        <f ca="1">ROUND(C34*F38,0)</f>
        <v>8751</v>
      </c>
      <c r="D38" s="263"/>
      <c r="E38" s="263"/>
      <c r="F38" s="302">
        <f>'数据-取费表'!B36</f>
        <v>1.4999999999999999E-2</v>
      </c>
      <c r="G38" s="262" t="s">
        <v>2382</v>
      </c>
    </row>
    <row r="39" spans="1:8" s="257" customFormat="1" ht="13.5" customHeight="1">
      <c r="A39" s="298" t="s">
        <v>2388</v>
      </c>
      <c r="B39" s="253" t="s">
        <v>2389</v>
      </c>
      <c r="C39" s="275">
        <f ca="1">ROUND(C33*F20,0)</f>
        <v>20682</v>
      </c>
      <c r="D39" s="275"/>
      <c r="E39" s="275"/>
      <c r="F39" s="276"/>
      <c r="G39" s="277" t="s">
        <v>2390</v>
      </c>
    </row>
    <row r="40" spans="1:8" s="257" customFormat="1" ht="13.5" customHeight="1">
      <c r="A40" s="298" t="s">
        <v>2391</v>
      </c>
      <c r="B40" s="253" t="s">
        <v>2392</v>
      </c>
      <c r="C40" s="1726">
        <f>F21</f>
        <v>0.02</v>
      </c>
      <c r="D40" s="279" t="s">
        <v>2393</v>
      </c>
      <c r="E40" s="275"/>
      <c r="F40" s="276"/>
      <c r="G40" s="277" t="s">
        <v>2394</v>
      </c>
    </row>
    <row r="41" spans="1:8" s="257" customFormat="1" ht="13.5" customHeight="1">
      <c r="A41" s="298" t="s">
        <v>2395</v>
      </c>
      <c r="B41" s="253" t="s">
        <v>2396</v>
      </c>
      <c r="C41" s="275">
        <f ca="1">ROUND(SUM(C42:C43),0)</f>
        <v>33728</v>
      </c>
      <c r="D41" s="278">
        <f ca="1">C44</f>
        <v>1E-3</v>
      </c>
      <c r="E41" s="279" t="s">
        <v>2393</v>
      </c>
      <c r="F41" s="280"/>
      <c r="G41" s="277" t="str">
        <f>IF('数据-取费表'!B22&lt;=1,"单利计息","复利计息")</f>
        <v>复利计息</v>
      </c>
      <c r="H41" s="257">
        <f ca="1">C42+C43</f>
        <v>33728</v>
      </c>
    </row>
    <row r="42" spans="1:8" ht="13.5" customHeight="1">
      <c r="A42" s="949" t="s">
        <v>791</v>
      </c>
      <c r="B42" s="258" t="s">
        <v>2397</v>
      </c>
      <c r="C42" s="281">
        <f ca="1">ROUND(IF('数据-取费表'!B22&lt;=1,C33*F22*'数据-取费表'!B20/2,C33*(POWER((1+F22),'数据-取费表'!B20/2)-1)),0)</f>
        <v>32746</v>
      </c>
      <c r="D42" s="281"/>
      <c r="E42" s="281"/>
      <c r="F42" s="282"/>
      <c r="G42" s="3323" t="s">
        <v>2445</v>
      </c>
    </row>
    <row r="43" spans="1:8" ht="13.5" customHeight="1">
      <c r="A43" s="949" t="s">
        <v>792</v>
      </c>
      <c r="B43" s="258" t="s">
        <v>2399</v>
      </c>
      <c r="C43" s="281">
        <f ca="1">ROUND(IF('数据-取费表'!B22&lt;=1,C39*F22*'数据-取费表'!B20/2,C39*(POWER((1+F22),'数据-取费表'!B20/2)-1)),0)</f>
        <v>982</v>
      </c>
      <c r="D43" s="281"/>
      <c r="E43" s="281"/>
      <c r="F43" s="282"/>
      <c r="G43" s="3324"/>
    </row>
    <row r="44" spans="1:8" ht="13.5" customHeight="1">
      <c r="A44" s="949" t="s">
        <v>793</v>
      </c>
      <c r="B44" s="258" t="s">
        <v>2400</v>
      </c>
      <c r="C44" s="281">
        <f ca="1">ROUND(IF('数据-取费表'!B22&lt;=1,C40*F22*'数据-取费表'!B20/2,C40*(POWER((1+F22),'数据-取费表'!B20/2)-1)),4)</f>
        <v>1E-3</v>
      </c>
      <c r="D44" s="281"/>
      <c r="E44" s="281"/>
      <c r="F44" s="282"/>
      <c r="G44" s="3325"/>
    </row>
    <row r="45" spans="1:8" s="257" customFormat="1" ht="13.5" customHeight="1">
      <c r="A45" s="298" t="s">
        <v>2401</v>
      </c>
      <c r="B45" s="287" t="s">
        <v>2367</v>
      </c>
      <c r="C45" s="288">
        <f ca="1">C46</f>
        <v>142016</v>
      </c>
      <c r="D45" s="278">
        <f ca="1">C47</f>
        <v>4.0000000000000001E-3</v>
      </c>
      <c r="E45" s="279" t="s">
        <v>2393</v>
      </c>
      <c r="F45" s="289"/>
      <c r="G45" s="290" t="s">
        <v>2402</v>
      </c>
    </row>
    <row r="46" spans="1:8" s="257" customFormat="1" ht="13.5" customHeight="1">
      <c r="A46" s="949" t="s">
        <v>791</v>
      </c>
      <c r="B46" s="291" t="s">
        <v>2403</v>
      </c>
      <c r="C46" s="292">
        <f ca="1">ROUND((C33+C39)*F27,0)</f>
        <v>142016</v>
      </c>
      <c r="D46" s="306"/>
      <c r="E46" s="279"/>
      <c r="F46" s="289"/>
      <c r="G46" s="290"/>
    </row>
    <row r="47" spans="1:8" s="257" customFormat="1" ht="13.5" customHeight="1">
      <c r="A47" s="949" t="s">
        <v>792</v>
      </c>
      <c r="B47" s="291" t="s">
        <v>2404</v>
      </c>
      <c r="C47" s="281">
        <f ca="1">ROUND(C40*F27,4)</f>
        <v>4.0000000000000001E-3</v>
      </c>
      <c r="D47" s="306"/>
      <c r="E47" s="279"/>
      <c r="F47" s="289"/>
      <c r="G47" s="290"/>
    </row>
    <row r="48" spans="1:8" s="257" customFormat="1" ht="13.5" customHeight="1">
      <c r="A48" s="298" t="s">
        <v>2366</v>
      </c>
      <c r="B48" s="253" t="s">
        <v>2405</v>
      </c>
      <c r="C48" s="305">
        <f>ROUND(F30/(1+'数据-取费表'!C42),4)</f>
        <v>5.33E-2</v>
      </c>
      <c r="D48" s="279" t="s">
        <v>2393</v>
      </c>
      <c r="E48" s="275"/>
      <c r="F48" s="280"/>
      <c r="G48" s="277" t="s">
        <v>2406</v>
      </c>
    </row>
    <row r="49" spans="1:7" ht="16.5" customHeight="1">
      <c r="A49" s="298" t="s">
        <v>2372</v>
      </c>
      <c r="B49" s="253" t="s">
        <v>2446</v>
      </c>
      <c r="C49" s="275">
        <f ca="1">ROUND((C33+C39+C41+C45)/(1-C40-D41-D45-C48),0)</f>
        <v>961075</v>
      </c>
      <c r="D49" s="275"/>
      <c r="E49" s="275"/>
      <c r="F49" s="307"/>
      <c r="G49" s="277" t="s">
        <v>2408</v>
      </c>
    </row>
    <row r="50" spans="1:7" s="301" customFormat="1">
      <c r="A50" s="298" t="s">
        <v>2409</v>
      </c>
      <c r="B50" s="253" t="s">
        <v>2410</v>
      </c>
      <c r="C50" s="275"/>
      <c r="D50" s="275"/>
      <c r="E50" s="275"/>
      <c r="F50" s="307">
        <f>IF('数据-取费表'!B24=0,'数据-取费表'!N16,1)</f>
        <v>0.73299999999999998</v>
      </c>
      <c r="G50" s="290"/>
    </row>
    <row r="51" spans="1:7" ht="16.5" customHeight="1">
      <c r="A51" s="298" t="s">
        <v>2412</v>
      </c>
      <c r="B51" s="253" t="s">
        <v>2447</v>
      </c>
      <c r="C51" s="275">
        <f ca="1">ROUND(C49*F50,0)</f>
        <v>704468</v>
      </c>
      <c r="D51" s="275"/>
      <c r="E51" s="275"/>
      <c r="F51" s="307"/>
      <c r="G51" s="277" t="s">
        <v>2414</v>
      </c>
    </row>
    <row r="52" spans="1:7" s="251" customFormat="1" ht="16.5" thickBot="1">
      <c r="A52" s="308" t="s">
        <v>2415</v>
      </c>
      <c r="B52" s="309"/>
      <c r="C52" s="310">
        <f ca="1">C31+C51</f>
        <v>13537942</v>
      </c>
      <c r="D52" s="309"/>
      <c r="E52" s="309"/>
      <c r="F52" s="309"/>
      <c r="G52" s="311"/>
    </row>
    <row r="55" spans="1:7" ht="15">
      <c r="B55" s="313" t="s">
        <v>2416</v>
      </c>
      <c r="C55" s="314"/>
    </row>
    <row r="56" spans="1:7">
      <c r="B56" s="316" t="s">
        <v>1508</v>
      </c>
      <c r="C56" s="318">
        <f ca="1">1-C57</f>
        <v>0.94799999999999995</v>
      </c>
    </row>
    <row r="57" spans="1:7">
      <c r="B57" s="316" t="s">
        <v>1509</v>
      </c>
      <c r="C57" s="317">
        <f ca="1">ROUND(C51/C52,3)</f>
        <v>5.1999999999999998E-2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0" zoomScaleNormal="100" zoomScaleSheetLayoutView="96" workbookViewId="0">
      <selection activeCell="E77" sqref="E77"/>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0" customWidth="1"/>
    <col min="33" max="36" width="9.375" style="2784" customWidth="1"/>
    <col min="37" max="38" width="9.375" style="2716" customWidth="1"/>
    <col min="39" max="16384" width="12" style="2716"/>
  </cols>
  <sheetData>
    <row r="1" spans="1:36" ht="28.5">
      <c r="A1" s="239" t="s">
        <v>2793</v>
      </c>
      <c r="B1" s="240"/>
      <c r="C1" s="244" t="s">
        <v>2794</v>
      </c>
      <c r="D1" s="387">
        <f>SUM(D29:D30,D33:D39)</f>
        <v>194.47</v>
      </c>
      <c r="E1" s="2713"/>
      <c r="F1" s="2713"/>
      <c r="G1" s="2713"/>
      <c r="H1" s="2713"/>
      <c r="I1" s="2713"/>
      <c r="J1" s="2713"/>
      <c r="K1" s="1368"/>
      <c r="L1" s="2714" t="s">
        <v>2795</v>
      </c>
      <c r="M1" s="1078">
        <f>SUMPRODUCT((区片价!B5:B9=I2)*(区片价!C3:F3=E2)*(区片价!C5:F9))</f>
        <v>0</v>
      </c>
      <c r="N1" s="1081">
        <f>SUMPRODUCT((因素修正幅度!B5:B9=I2)*(因素修正幅度!C3:F3=E2)*(因素修正幅度!C5:F9))</f>
        <v>0</v>
      </c>
      <c r="O1" s="2715"/>
      <c r="P1" s="2715"/>
      <c r="Q1" s="1368"/>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75">
      <c r="A2" s="244" t="s">
        <v>2801</v>
      </c>
      <c r="B2" s="247">
        <f ca="1">C26</f>
        <v>857</v>
      </c>
      <c r="C2" s="2717" t="s">
        <v>2802</v>
      </c>
      <c r="D2" s="2718" t="s">
        <v>2803</v>
      </c>
      <c r="E2" s="2719" t="s">
        <v>3053</v>
      </c>
      <c r="F2" s="2718" t="s">
        <v>2804</v>
      </c>
      <c r="G2" s="2720" t="str">
        <f>IF(E2="商业",项目基本情况!B37,IF(E2="办公",项目基本情况!C37,IF(E2="住宅",项目基本情况!D37,项目基本情况!E37)))</f>
        <v>二级</v>
      </c>
      <c r="H2" s="2718" t="s">
        <v>2805</v>
      </c>
      <c r="I2" s="2720" t="str">
        <f>IF(E2="商业",项目基本情况!B38,IF(E2="办公",项目基本情况!C38,IF(E2="住宅",项目基本情况!D38,项目基本情况!E38)))</f>
        <v>Ⅱ—16</v>
      </c>
      <c r="J2" s="2721"/>
      <c r="K2" s="1368"/>
      <c r="L2" s="2722" t="s">
        <v>2806</v>
      </c>
      <c r="M2" s="1079">
        <f>SUMPRODUCT((区片价!B10:B28=I2)*(区片价!C3:F3=E2)*(区片价!C10:F28))</f>
        <v>25340</v>
      </c>
      <c r="N2" s="1081">
        <f>SUMPRODUCT((因素修正幅度!B10:B28=I2)*(因素修正幅度!C3:F3=E2)*(因素修正幅度!C10:F28))</f>
        <v>8.1000000000000003E-2</v>
      </c>
      <c r="O2" s="1368"/>
      <c r="P2" s="1368"/>
      <c r="Q2" s="1368"/>
      <c r="R2" s="1600">
        <v>1</v>
      </c>
      <c r="S2" s="1600">
        <f>ROUND(IF(G3&gt;1,IF(R2&lt;7,SUMPRODUCT((B93:B98=R2)*(C92:N92=G2)*(C93:N98)),SUMIF(C92:N92,G2,C100:N100)),IF(R2&lt;7,SUMPRODUCT((B102:B107=R2)*(C92:N92=G2)*(C102:N107)),SUMIF(C92:N92,G2,C109:N109))),4)</f>
        <v>1.9361999999999999</v>
      </c>
      <c r="T2" s="1600">
        <f ca="1">ROUND($C$5*$C$18*$C$19*$C$20*S2*$C$24,0)</f>
        <v>103907</v>
      </c>
      <c r="U2" s="1601"/>
      <c r="V2" s="1600">
        <f ca="1">ROUND(T2*U2/10000,0)</f>
        <v>0</v>
      </c>
      <c r="W2" s="1604"/>
      <c r="X2" s="1604"/>
      <c r="Y2" s="1604"/>
      <c r="Z2" s="1604"/>
      <c r="AA2" s="1604"/>
      <c r="AB2" s="1604"/>
      <c r="AC2" s="1605"/>
      <c r="AD2" s="1606"/>
      <c r="AE2" s="1606"/>
      <c r="AF2" s="1606"/>
      <c r="AG2" s="1606"/>
      <c r="AH2" s="1606"/>
      <c r="AI2" s="1606"/>
      <c r="AJ2" s="1607"/>
    </row>
    <row r="3" spans="1:36" ht="25.5">
      <c r="A3" s="246" t="s">
        <v>2807</v>
      </c>
      <c r="B3" s="247">
        <f ca="1">ROUND(B2*10000/D1,0)</f>
        <v>44068</v>
      </c>
      <c r="C3" s="2717" t="s">
        <v>2808</v>
      </c>
      <c r="D3" s="2718" t="s">
        <v>2809</v>
      </c>
      <c r="E3" s="2723" t="s">
        <v>3115</v>
      </c>
      <c r="F3" s="2724" t="s">
        <v>2810</v>
      </c>
      <c r="G3" s="914">
        <f>IF(F3="宗地容积率",'数据-汇总表'!I4,IF(F3="估价对象容积率",'数据-汇总表'!I6,'数据-汇总表'!I7))</f>
        <v>9.8699999999999992</v>
      </c>
      <c r="H3" s="197" t="s">
        <v>2811</v>
      </c>
      <c r="I3" s="942">
        <v>31</v>
      </c>
      <c r="J3" s="2721" t="s">
        <v>2812</v>
      </c>
      <c r="K3" s="1368"/>
      <c r="L3" s="2722" t="s">
        <v>2813</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1.4198</v>
      </c>
      <c r="T3" s="1600">
        <f t="shared" ref="T3:T16" ca="1" si="0">ROUND($C$5*$C$18*$C$19*$C$20*S3*$C$24,0)</f>
        <v>76194</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329"/>
      <c r="B4" s="3330"/>
      <c r="C4" s="3330"/>
      <c r="D4" s="3331"/>
      <c r="E4" s="3331"/>
      <c r="F4" s="3331"/>
      <c r="G4" s="3331"/>
      <c r="H4" s="3331"/>
      <c r="I4" s="3331"/>
      <c r="J4" s="3332"/>
      <c r="K4" s="1368"/>
      <c r="L4" s="2722" t="s">
        <v>2814</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1.1594</v>
      </c>
      <c r="T4" s="1600">
        <f t="shared" ca="1" si="0"/>
        <v>62220</v>
      </c>
      <c r="U4" s="1601"/>
      <c r="V4" s="1600">
        <f t="shared" ca="1" si="1"/>
        <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2815</v>
      </c>
      <c r="C5" s="915">
        <f>ROUND(IF(E2="商业",C6*C7+C16,(IF(E2="住宅",C6*C12+C16,C6+C16))),0)</f>
        <v>33449</v>
      </c>
      <c r="D5" s="1785">
        <f>ROUND(C6+C16,0)</f>
        <v>25340</v>
      </c>
      <c r="E5" s="1785"/>
      <c r="F5" s="2727"/>
      <c r="G5" s="2728"/>
      <c r="H5" s="2728"/>
      <c r="I5" s="2728"/>
      <c r="J5" s="2729"/>
      <c r="K5" s="2730"/>
      <c r="L5" s="2722" t="s">
        <v>2816</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0.96220000000000006</v>
      </c>
      <c r="T5" s="1600">
        <f t="shared" ca="1" si="0"/>
        <v>51637</v>
      </c>
      <c r="U5" s="1601"/>
      <c r="V5" s="1600">
        <f t="shared" ca="1" si="1"/>
        <v>0</v>
      </c>
      <c r="W5" s="1604"/>
      <c r="X5" s="1604"/>
      <c r="Y5" s="1604"/>
      <c r="Z5" s="1604"/>
      <c r="AA5" s="1604"/>
      <c r="AB5" s="1604"/>
      <c r="AC5" s="2731"/>
      <c r="AD5" s="2732"/>
      <c r="AE5" s="2732"/>
      <c r="AF5" s="2732"/>
      <c r="AG5" s="2732"/>
      <c r="AH5" s="2732"/>
      <c r="AI5" s="2732"/>
      <c r="AJ5" s="2733"/>
    </row>
    <row r="6" spans="1:36" ht="15.75" thickBot="1">
      <c r="A6" s="2735" t="s">
        <v>2817</v>
      </c>
      <c r="B6" s="2736" t="s">
        <v>2818</v>
      </c>
      <c r="C6" s="916">
        <f>SUMIF(L1:L12,G2,M1:M12)</f>
        <v>25340</v>
      </c>
      <c r="D6" s="2737" t="s">
        <v>2819</v>
      </c>
      <c r="E6" s="2738"/>
      <c r="F6" s="2738"/>
      <c r="G6" s="2739"/>
      <c r="H6" s="2739"/>
      <c r="I6" s="2739"/>
      <c r="J6" s="2740"/>
      <c r="K6" s="1840"/>
      <c r="L6" s="2722" t="s">
        <v>2820</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0.8417</v>
      </c>
      <c r="T6" s="1600">
        <f t="shared" ca="1" si="0"/>
        <v>45170</v>
      </c>
      <c r="U6" s="1601"/>
      <c r="V6" s="1600">
        <f t="shared" ca="1" si="1"/>
        <v>0</v>
      </c>
      <c r="W6" s="1604"/>
      <c r="X6" s="1604"/>
      <c r="Y6" s="1604"/>
      <c r="Z6" s="1604"/>
      <c r="AA6" s="1604"/>
      <c r="AB6" s="1604"/>
      <c r="AC6" s="2731"/>
      <c r="AD6" s="2732"/>
      <c r="AE6" s="2732"/>
      <c r="AF6" s="2732"/>
      <c r="AG6" s="2732"/>
      <c r="AH6" s="2732"/>
      <c r="AI6" s="2732"/>
      <c r="AJ6" s="2733"/>
    </row>
    <row r="7" spans="1:36" ht="24">
      <c r="A7" s="3333" t="str">
        <f>IF(E2="商业",IF(C8="不临58条商业街","",2),"")</f>
        <v/>
      </c>
      <c r="B7" s="2741" t="s">
        <v>2821</v>
      </c>
      <c r="C7" s="917" t="e">
        <f>IF(C8="不临58条商业街",1,ROUND(1+(1.6*E8+1.2*E9+0.8*E10+0.4*E11)*C9,4))</f>
        <v>#DIV/0!</v>
      </c>
      <c r="D7" s="2742" t="s">
        <v>2822</v>
      </c>
      <c r="E7" s="943"/>
      <c r="F7" s="2743"/>
      <c r="G7" s="2744"/>
      <c r="H7" s="2744"/>
      <c r="I7" s="2744"/>
      <c r="J7" s="2745"/>
      <c r="K7" s="1840"/>
      <c r="L7" s="2722" t="s">
        <v>2823</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0.76080000000000003</v>
      </c>
      <c r="T7" s="1600">
        <f t="shared" ca="1" si="0"/>
        <v>40829</v>
      </c>
      <c r="U7" s="1601"/>
      <c r="V7" s="1600">
        <f t="shared" ca="1" si="1"/>
        <v>0</v>
      </c>
      <c r="W7" s="1814" t="s">
        <v>2824</v>
      </c>
      <c r="X7" s="1602" t="str">
        <f>G2</f>
        <v>二级</v>
      </c>
      <c r="Y7" s="1602" t="s">
        <v>2825</v>
      </c>
      <c r="Z7" s="1603">
        <f>G3</f>
        <v>9.8699999999999992</v>
      </c>
      <c r="AA7" s="1604"/>
      <c r="AB7" s="1604"/>
      <c r="AC7" s="1605"/>
      <c r="AD7" s="1606"/>
      <c r="AE7" s="1606"/>
      <c r="AF7" s="1606"/>
      <c r="AG7" s="1606"/>
      <c r="AH7" s="1606"/>
      <c r="AI7" s="1606"/>
      <c r="AJ7" s="1607"/>
    </row>
    <row r="8" spans="1:36" ht="15">
      <c r="A8" s="3334"/>
      <c r="B8" s="197" t="s">
        <v>2826</v>
      </c>
      <c r="C8" s="2746"/>
      <c r="D8" s="918" t="s">
        <v>139</v>
      </c>
      <c r="E8" s="919" t="e">
        <f>ROUND(C11/E7,4)</f>
        <v>#DIV/0!</v>
      </c>
      <c r="F8" s="2747" t="s">
        <v>2827</v>
      </c>
      <c r="G8" s="2748"/>
      <c r="H8" s="2748"/>
      <c r="I8" s="2748"/>
      <c r="J8" s="2749"/>
      <c r="K8" s="1368"/>
      <c r="L8" s="2722" t="s">
        <v>2828</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326" t="s">
        <v>2829</v>
      </c>
      <c r="X8" s="3327"/>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c r="A9" s="3334"/>
      <c r="B9" s="197" t="s">
        <v>2842</v>
      </c>
      <c r="C9" s="920">
        <f>SUMIF(修正!C59:C119,C8,修正!E59:E119)</f>
        <v>0</v>
      </c>
      <c r="D9" s="199" t="s">
        <v>140</v>
      </c>
      <c r="E9" s="199" t="e">
        <f>ROUND(C11/E7,4)</f>
        <v>#DIV/0!</v>
      </c>
      <c r="F9" s="2747" t="s">
        <v>2843</v>
      </c>
      <c r="G9" s="2748"/>
      <c r="H9" s="2748"/>
      <c r="I9" s="2748"/>
      <c r="J9" s="2749"/>
      <c r="K9" s="1368"/>
      <c r="L9" s="2722" t="s">
        <v>2844</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328" t="s">
        <v>2845</v>
      </c>
      <c r="X9" s="1609" t="s">
        <v>2846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34"/>
      <c r="B10" s="197" t="s">
        <v>2847</v>
      </c>
      <c r="C10" s="199">
        <f>SUMIF(修正!C59:C119,C8,修正!F59:F119)</f>
        <v>0</v>
      </c>
      <c r="D10" s="199" t="s">
        <v>141</v>
      </c>
      <c r="E10" s="199" t="e">
        <f>ROUND(C11/E7,4)</f>
        <v>#DIV/0!</v>
      </c>
      <c r="F10" s="2747" t="s">
        <v>2848</v>
      </c>
      <c r="G10" s="2748"/>
      <c r="H10" s="2748"/>
      <c r="I10" s="2748"/>
      <c r="J10" s="2749"/>
      <c r="K10" s="1368"/>
      <c r="L10" s="2722" t="s">
        <v>2849</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32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34"/>
      <c r="B11" s="2750" t="s">
        <v>2850</v>
      </c>
      <c r="C11" s="921">
        <f>C10/4</f>
        <v>0</v>
      </c>
      <c r="D11" s="921" t="s">
        <v>142</v>
      </c>
      <c r="E11" s="921" t="e">
        <f>ROUND(C11/E7,4)</f>
        <v>#DIV/0!</v>
      </c>
      <c r="F11" s="2751" t="s">
        <v>2851</v>
      </c>
      <c r="G11" s="2752"/>
      <c r="H11" s="2752"/>
      <c r="I11" s="2752"/>
      <c r="J11" s="2753"/>
      <c r="K11" s="1368"/>
      <c r="L11" s="2722" t="s">
        <v>2852</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328" t="s">
        <v>2853</v>
      </c>
      <c r="X11" s="1612" t="s">
        <v>2854</v>
      </c>
      <c r="Y11" s="1613">
        <f>$G$3</f>
        <v>9.8699999999999992</v>
      </c>
      <c r="Z11" s="1613">
        <f t="shared" ref="Z11:AJ11" si="3">$G$3</f>
        <v>9.8699999999999992</v>
      </c>
      <c r="AA11" s="1613">
        <f t="shared" si="3"/>
        <v>9.8699999999999992</v>
      </c>
      <c r="AB11" s="1613">
        <f t="shared" si="3"/>
        <v>9.8699999999999992</v>
      </c>
      <c r="AC11" s="1613">
        <f t="shared" si="3"/>
        <v>9.8699999999999992</v>
      </c>
      <c r="AD11" s="1613">
        <f t="shared" si="3"/>
        <v>9.8699999999999992</v>
      </c>
      <c r="AE11" s="1613">
        <f t="shared" si="3"/>
        <v>9.8699999999999992</v>
      </c>
      <c r="AF11" s="1613">
        <f t="shared" si="3"/>
        <v>9.8699999999999992</v>
      </c>
      <c r="AG11" s="1613">
        <f t="shared" si="3"/>
        <v>9.8699999999999992</v>
      </c>
      <c r="AH11" s="1613">
        <f t="shared" si="3"/>
        <v>9.8699999999999992</v>
      </c>
      <c r="AI11" s="1613">
        <f t="shared" si="3"/>
        <v>9.8699999999999992</v>
      </c>
      <c r="AJ11" s="1613">
        <f t="shared" si="3"/>
        <v>9.8699999999999992</v>
      </c>
    </row>
    <row r="12" spans="1:36" ht="25.5" thickBot="1">
      <c r="A12" s="3333" t="s">
        <v>2855</v>
      </c>
      <c r="B12" s="2754" t="s">
        <v>2856</v>
      </c>
      <c r="C12" s="917">
        <f>ROUND(C15*D15*E15*F15*G15*H15*I15*J15,4)</f>
        <v>1.32</v>
      </c>
      <c r="D12" s="2755" t="s">
        <v>2857</v>
      </c>
      <c r="E12" s="2756"/>
      <c r="F12" s="2756"/>
      <c r="G12" s="2757"/>
      <c r="H12" s="2757"/>
      <c r="I12" s="2757"/>
      <c r="J12" s="2758"/>
      <c r="K12" s="1368"/>
      <c r="L12" s="2759" t="s">
        <v>2858</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328"/>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35"/>
      <c r="B13" s="2760" t="s">
        <v>2860</v>
      </c>
      <c r="C13" s="2761" t="s">
        <v>2861</v>
      </c>
      <c r="D13" s="1806" t="s">
        <v>2862</v>
      </c>
      <c r="E13" s="1806" t="s">
        <v>2863</v>
      </c>
      <c r="F13" s="29" t="s">
        <v>2864</v>
      </c>
      <c r="G13" s="2762" t="s">
        <v>2865</v>
      </c>
      <c r="H13" s="2762" t="s">
        <v>2865</v>
      </c>
      <c r="I13" s="2762" t="s">
        <v>2865</v>
      </c>
      <c r="J13" s="2763" t="s">
        <v>2865</v>
      </c>
      <c r="K13" s="1368"/>
      <c r="L13" s="1368"/>
      <c r="M13" s="1368"/>
      <c r="N13" s="1368"/>
      <c r="O13" s="1368"/>
      <c r="P13" s="1368"/>
      <c r="Q13" s="1368"/>
      <c r="R13" s="1600">
        <v>12</v>
      </c>
      <c r="S13" s="1601"/>
      <c r="T13" s="1600">
        <f t="shared" ca="1" si="0"/>
        <v>0</v>
      </c>
      <c r="U13" s="1601"/>
      <c r="V13" s="1600">
        <f t="shared" ca="1" si="1"/>
        <v>0</v>
      </c>
      <c r="W13" s="3328"/>
      <c r="X13" s="1614"/>
      <c r="Y13" s="1611">
        <f>(-0.163*(Y12^2)-0.59*Y12+7617)*(10^(-4))/Y11</f>
        <v>7.7173252279635271E-2</v>
      </c>
      <c r="Z13" s="1611">
        <f t="shared" ref="Z13:AJ13" si="5">(-0.163*(Z12^2)-0.59*Z12+7617)*(10^(-4))/Z11</f>
        <v>7.7173252279635271E-2</v>
      </c>
      <c r="AA13" s="1611">
        <f t="shared" si="5"/>
        <v>7.7173252279635271E-2</v>
      </c>
      <c r="AB13" s="1611">
        <f t="shared" si="5"/>
        <v>7.7173252279635271E-2</v>
      </c>
      <c r="AC13" s="1611">
        <f t="shared" si="5"/>
        <v>7.7173252279635271E-2</v>
      </c>
      <c r="AD13" s="1611">
        <f t="shared" si="5"/>
        <v>7.7173252279635271E-2</v>
      </c>
      <c r="AE13" s="1611">
        <f t="shared" si="5"/>
        <v>7.7173252279635271E-2</v>
      </c>
      <c r="AF13" s="1611">
        <f t="shared" si="5"/>
        <v>7.7173252279635271E-2</v>
      </c>
      <c r="AG13" s="1611">
        <f t="shared" si="5"/>
        <v>7.7173252279635271E-2</v>
      </c>
      <c r="AH13" s="1611">
        <f t="shared" si="5"/>
        <v>7.7173252279635271E-2</v>
      </c>
      <c r="AI13" s="1611">
        <f t="shared" si="5"/>
        <v>7.7173252279635271E-2</v>
      </c>
      <c r="AJ13" s="1611">
        <f t="shared" si="5"/>
        <v>7.7173252279635271E-2</v>
      </c>
    </row>
    <row r="14" spans="1:36" ht="15">
      <c r="A14" s="3335"/>
      <c r="B14" s="2764"/>
      <c r="C14" s="2765" t="s">
        <v>3116</v>
      </c>
      <c r="D14" s="2766" t="s">
        <v>3116</v>
      </c>
      <c r="E14" s="2766" t="s">
        <v>3117</v>
      </c>
      <c r="F14" s="2767" t="s">
        <v>3118</v>
      </c>
      <c r="G14" s="2768" t="s">
        <v>2866</v>
      </c>
      <c r="H14" s="2769"/>
      <c r="I14" s="2770"/>
      <c r="J14" s="2771"/>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336"/>
      <c r="B15" s="2772" t="s">
        <v>2867</v>
      </c>
      <c r="C15" s="228">
        <f>IF(C14="有",1.1,1)</f>
        <v>1</v>
      </c>
      <c r="D15" s="228">
        <f>IF(D14="有",1.1,1)</f>
        <v>1</v>
      </c>
      <c r="E15" s="228">
        <f>IF(E14="有",1.1,1)</f>
        <v>1.1000000000000001</v>
      </c>
      <c r="F15" s="228">
        <f>IF(F14="500米范围内",1.2,IF(F14="500-1000米",1.1,1))</f>
        <v>1.2</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333" t="s">
        <v>2872</v>
      </c>
      <c r="B16" s="2741" t="s">
        <v>2873</v>
      </c>
      <c r="C16" s="2928">
        <f>ROUND(IF(F17="与级别开发程度一致",0,(G17-E17)/C17),0)</f>
        <v>0</v>
      </c>
      <c r="D16" s="3347" t="s">
        <v>2877</v>
      </c>
      <c r="E16" s="3348"/>
      <c r="F16" s="3347" t="s">
        <v>2874</v>
      </c>
      <c r="G16" s="3348"/>
      <c r="H16" s="2775" t="s">
        <v>3250</v>
      </c>
      <c r="I16" s="2775" t="s">
        <v>3251</v>
      </c>
      <c r="J16" s="2932" t="s">
        <v>3252</v>
      </c>
      <c r="K16" s="2775" t="s">
        <v>3253</v>
      </c>
      <c r="L16" s="2775" t="s">
        <v>3254</v>
      </c>
      <c r="M16" s="2775" t="s">
        <v>3255</v>
      </c>
      <c r="N16" s="2775" t="s">
        <v>3256</v>
      </c>
      <c r="O16" s="2776" t="s">
        <v>3264</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337"/>
      <c r="B17" s="2939" t="s">
        <v>2876</v>
      </c>
      <c r="C17" s="2940">
        <f>SUMPRODUCT((修正!A2:A5=E2)*(修正!B1:M1=G2)*(修正!B2:M5))</f>
        <v>2.5</v>
      </c>
      <c r="D17" s="228" t="str">
        <f>IF(OR(G2="八级",G2="九级",G2="十级",G2="十一级",G2="十二级"),"五通一平","七通一平")</f>
        <v>七通一平</v>
      </c>
      <c r="E17" s="2929">
        <f>SUMPRODUCT((修正!B1:M1=G2)*(修正!B15:M15))</f>
        <v>375</v>
      </c>
      <c r="F17" s="2930" t="s">
        <v>3110</v>
      </c>
      <c r="G17" s="2931">
        <f>SUM(H17:O17)</f>
        <v>375</v>
      </c>
      <c r="H17" s="2940">
        <f>SUMPRODUCT((七通一平=H16)*(修正!B1:M1=G2)*(修正!B6:M14))</f>
        <v>80</v>
      </c>
      <c r="I17" s="2940">
        <f>SUMPRODUCT((七通一平=I16)*(修正!B1:M1=G2)*(修正!B6:M14))</f>
        <v>70</v>
      </c>
      <c r="J17" s="2941">
        <f>SUMPRODUCT((七通一平=J16)*(修正!B1:M1=G2)*(修正!B6:M14))</f>
        <v>20</v>
      </c>
      <c r="K17" s="2940">
        <f>SUMPRODUCT((七通一平=K16)*(修正!B1:M1=G2)*(修正!B6:M14))</f>
        <v>30</v>
      </c>
      <c r="L17" s="2940">
        <f>SUMPRODUCT((七通一平=L16)*(修正!B1:M1=G2)*(修正!B6:M14))</f>
        <v>45</v>
      </c>
      <c r="M17" s="2940">
        <f>SUMPRODUCT((七通一平=M16)*(修正!B1:M1=G2)*(修正!B6:M14))</f>
        <v>60</v>
      </c>
      <c r="N17" s="2940">
        <f>SUMPRODUCT((七通一平=N16)*(修正!B1:M1=G2)*(修正!B6:M14))</f>
        <v>50</v>
      </c>
      <c r="O17" s="2942">
        <f>SUMPRODUCT((七通一平=O16)*(修正!B1:M1=G2)*(修正!B6:M14))</f>
        <v>20</v>
      </c>
      <c r="Q17" s="1368"/>
      <c r="R17" s="1368"/>
      <c r="S17" s="1368"/>
      <c r="T17" s="1368"/>
      <c r="U17" s="1368"/>
      <c r="V17" s="1368"/>
      <c r="W17" s="1368"/>
      <c r="X17" s="1368"/>
      <c r="Y17" s="1368"/>
      <c r="Z17" s="1369"/>
      <c r="AE17" s="2779"/>
      <c r="AF17" s="2779"/>
      <c r="AG17" s="2716"/>
      <c r="AH17" s="2716"/>
      <c r="AI17" s="2716"/>
      <c r="AJ17" s="2716"/>
    </row>
    <row r="18" spans="1:37" s="2734" customFormat="1" ht="15.75" thickBot="1">
      <c r="A18" s="2933" t="s">
        <v>808</v>
      </c>
      <c r="B18" s="2934" t="s">
        <v>2879</v>
      </c>
      <c r="C18" s="2935">
        <f>SUMIF(修正!C18:C39,E3,修正!E18:E39)</f>
        <v>1</v>
      </c>
      <c r="D18" s="2936"/>
      <c r="E18" s="2937"/>
      <c r="F18" s="2937"/>
      <c r="G18" s="2937"/>
      <c r="H18" s="2937"/>
      <c r="I18" s="2937"/>
      <c r="J18" s="2938"/>
      <c r="K18" s="1375"/>
      <c r="O18" s="1373"/>
      <c r="P18" s="1373"/>
      <c r="Q18" s="1374"/>
      <c r="R18" s="1374"/>
      <c r="S18" s="1374"/>
      <c r="T18" s="1369"/>
      <c r="U18" s="1369"/>
      <c r="V18" s="1369"/>
      <c r="W18" s="1368"/>
      <c r="X18" s="1368"/>
      <c r="Y18" s="1368"/>
      <c r="Z18" s="1375"/>
      <c r="AA18" s="1376"/>
      <c r="AB18" s="1376"/>
      <c r="AC18" s="1376"/>
      <c r="AD18" s="1376"/>
      <c r="AE18" s="1370"/>
      <c r="AF18" s="1370"/>
      <c r="AG18" s="2784"/>
      <c r="AH18" s="2784"/>
      <c r="AI18" s="2784"/>
    </row>
    <row r="19" spans="1:37" s="2734" customFormat="1" ht="27.75" thickBot="1">
      <c r="A19" s="2780" t="s">
        <v>809</v>
      </c>
      <c r="B19" s="2781" t="s">
        <v>2880</v>
      </c>
      <c r="C19" s="922">
        <f>ROUND(IF(H19="按公示增长率计算",SUMPRODUCT((地价!A3:A27=YEAR(G19)&amp;"-"&amp;ROUNDUP(MONTH(G19)/3,0))*(地价!X2:AB2=E2)*(地价!X3:AB27)),IF(H19="地价指数",M20/M19,(1+I19)^O19)),4)</f>
        <v>1.6028</v>
      </c>
      <c r="D19" s="2785" t="s">
        <v>2881</v>
      </c>
      <c r="E19" s="923">
        <v>41640</v>
      </c>
      <c r="F19" s="2785" t="s">
        <v>2882</v>
      </c>
      <c r="G19" s="924">
        <f>'数据-取费表'!B2</f>
        <v>43658</v>
      </c>
      <c r="H19" s="2786" t="s">
        <v>3111</v>
      </c>
      <c r="I19" s="925" t="str">
        <f>IF(H19="季度增幅（自定义）",SUMIF(N21:N24,E2,O21:O24),"")</f>
        <v/>
      </c>
      <c r="J19" s="2783"/>
      <c r="K19" s="1375"/>
      <c r="L19" s="2787" t="s">
        <v>2883</v>
      </c>
      <c r="M19" s="1732">
        <f>ROUND(SUMIF(地价!B2:F2,E2,地价!B27:F27),0)</f>
        <v>423</v>
      </c>
      <c r="N19" s="2788" t="s">
        <v>2884</v>
      </c>
      <c r="O19" s="926">
        <f>ROUNDDOWN(DATEDIF(E19,G19,"M")/3,0)</f>
        <v>22</v>
      </c>
      <c r="P19" s="1372"/>
      <c r="Q19" s="1374"/>
      <c r="R19" s="1374"/>
      <c r="S19" s="1374"/>
      <c r="T19" s="1369"/>
      <c r="U19" s="1369"/>
      <c r="V19" s="1369"/>
      <c r="W19" s="1368"/>
      <c r="X19" s="1368"/>
      <c r="Y19" s="1368"/>
      <c r="Z19" s="1375"/>
      <c r="AA19" s="1376"/>
      <c r="AB19" s="1376"/>
      <c r="AC19" s="1376"/>
      <c r="AD19" s="1376"/>
      <c r="AE19" s="1376"/>
      <c r="AF19" s="2789"/>
      <c r="AG19" s="2790"/>
      <c r="AH19" s="2784"/>
      <c r="AI19" s="2791"/>
      <c r="AJ19" s="2791"/>
      <c r="AK19" s="2791"/>
    </row>
    <row r="20" spans="1:37" s="2734" customFormat="1" ht="27.75" thickBot="1">
      <c r="A20" s="2792" t="s">
        <v>810</v>
      </c>
      <c r="B20" s="2793" t="s">
        <v>2885</v>
      </c>
      <c r="C20" s="927">
        <f ca="1">ROUND(POWER(1+G20,J20-I20)*(POWER(1+G20,I20)-1)/(POWER(1+G20,J20)-1),4)</f>
        <v>0.9536</v>
      </c>
      <c r="D20" s="2794" t="s">
        <v>2886</v>
      </c>
      <c r="E20" s="1766">
        <f ca="1">存贷款利率!D4/100</f>
        <v>4.3499999999999997E-2</v>
      </c>
      <c r="F20" s="2794" t="s">
        <v>2878</v>
      </c>
      <c r="G20" s="932">
        <f ca="1">SUMIF(M26:P26,E2,M28:P28)</f>
        <v>0.05</v>
      </c>
      <c r="H20" s="2794" t="s">
        <v>2887</v>
      </c>
      <c r="I20" s="933">
        <f>SUMIF('数据-取费表'!C6:C15,E2,'数据-取费表'!F6:F15)/COUNTIF('数据-取费表'!C6:C15,E2)</f>
        <v>52.35</v>
      </c>
      <c r="J20" s="934">
        <f>IF(E2="住宅",70,IF(E2="商业",40,50))</f>
        <v>70</v>
      </c>
      <c r="K20" s="1375"/>
      <c r="L20" s="2795" t="s">
        <v>2888</v>
      </c>
      <c r="M20" s="1733">
        <f>ROUND(SUMPRODUCT((地价!A4:A27=YEAR(G19)&amp;"-"&amp;ROUNDUP(MONTH(G19)/3,0))*(地价!B2:F2=E2)*(地价!B4:F27)),0)</f>
        <v>678</v>
      </c>
      <c r="N20" s="2796" t="s">
        <v>2889</v>
      </c>
      <c r="O20" s="2797" t="s">
        <v>2890</v>
      </c>
      <c r="P20" s="2798" t="s">
        <v>2891</v>
      </c>
      <c r="R20" s="1374"/>
      <c r="S20" s="1374"/>
      <c r="T20" s="1369"/>
      <c r="U20" s="1369"/>
      <c r="V20" s="1369"/>
      <c r="W20" s="1368"/>
      <c r="X20" s="1368"/>
      <c r="Y20" s="1368"/>
      <c r="Z20" s="1375"/>
      <c r="AA20" s="1376"/>
      <c r="AB20" s="1376"/>
      <c r="AC20" s="1376"/>
      <c r="AD20" s="1376"/>
      <c r="AE20" s="1376"/>
      <c r="AF20" s="1376"/>
    </row>
    <row r="21" spans="1:37" s="2734" customFormat="1" ht="15">
      <c r="A21" s="2799" t="s">
        <v>811</v>
      </c>
      <c r="B21" s="2800" t="s">
        <v>3119</v>
      </c>
      <c r="C21" s="935">
        <f>IF(B21="容积率修正",IF(G3&lt;=10,D22,J22),C23)</f>
        <v>0.8216</v>
      </c>
      <c r="D21" s="2801"/>
      <c r="E21" s="2801"/>
      <c r="F21" s="2801"/>
      <c r="G21" s="2801"/>
      <c r="H21" s="2801"/>
      <c r="I21" s="2801"/>
      <c r="J21" s="2802"/>
      <c r="K21" s="1375"/>
      <c r="N21" s="2803" t="s">
        <v>2892</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4" customFormat="1" ht="14.25">
      <c r="A22" s="2660" t="s">
        <v>2893</v>
      </c>
      <c r="B22" s="2804" t="s">
        <v>2894</v>
      </c>
      <c r="C22" s="1808" t="s">
        <v>2895</v>
      </c>
      <c r="D22" s="1808">
        <f>IF(E22=G22,F22,IF(G3&lt;=10,ROUND(F22+(H22-F22)*(G3-E22)/(G22-E22),4),"——"))</f>
        <v>0.8216</v>
      </c>
      <c r="E22" s="914">
        <f>ROUNDDOWN(G3,1)</f>
        <v>9.8000000000000007</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0.82199999999999995</v>
      </c>
      <c r="G22" s="914">
        <f>ROUNDUP(G3,1)</f>
        <v>9.9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0.82140000000000002</v>
      </c>
      <c r="I22" s="1808" t="s">
        <v>155</v>
      </c>
      <c r="J22" s="936" t="str">
        <f>IF(G3&gt;10,D113,"——")</f>
        <v>——</v>
      </c>
      <c r="K22" s="1375"/>
      <c r="N22" s="2803" t="s">
        <v>2896</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0" t="s">
        <v>2897</v>
      </c>
      <c r="B23" s="2805" t="s">
        <v>2898</v>
      </c>
      <c r="C23" s="1011">
        <f>ROUND(IF(G3&gt;1,IF(I3&lt;7,SUMPRODUCT((B93:B98=I3)*(C92:N92=G2)*(C93:N98)),SUMIF(C92:N92,G2,C100:N100)),IF(I3&lt;7,SUMPRODUCT((B102:B107=I3)*(C92:N92=G2)*(C102:N107)),SUMIF(C92:N92,G2,C109:N109))),4)</f>
        <v>0.74419999999999997</v>
      </c>
      <c r="D23" s="2769"/>
      <c r="E23" s="2769"/>
      <c r="F23" s="2806"/>
      <c r="G23" s="2807"/>
      <c r="H23" s="2808"/>
      <c r="I23" s="2809"/>
      <c r="J23" s="2810"/>
      <c r="K23" s="1368"/>
      <c r="N23" s="2803" t="s">
        <v>2899</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4"/>
    </row>
    <row r="24" spans="1:37" s="2734" customFormat="1" ht="15.75" thickBot="1">
      <c r="A24" s="2792" t="s">
        <v>812</v>
      </c>
      <c r="B24" s="2781" t="s">
        <v>2900</v>
      </c>
      <c r="C24" s="922">
        <f>SUMIF(A45:A88,E2,B45:B88)</f>
        <v>1.0497000000000001</v>
      </c>
      <c r="D24" s="2782"/>
      <c r="E24" s="2811"/>
      <c r="F24" s="2811"/>
      <c r="G24" s="2811"/>
      <c r="H24" s="2811"/>
      <c r="I24" s="2811"/>
      <c r="J24" s="2812"/>
      <c r="K24" s="1375"/>
      <c r="N24" s="2813" t="s">
        <v>2901</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2" t="s">
        <v>813</v>
      </c>
      <c r="B25" s="2814" t="s">
        <v>2902</v>
      </c>
      <c r="C25" s="928"/>
      <c r="D25" s="2744"/>
      <c r="E25" s="2744"/>
      <c r="F25" s="2815"/>
      <c r="G25" s="2744"/>
      <c r="H25" s="2744"/>
      <c r="I25" s="2744"/>
      <c r="J25" s="2745"/>
      <c r="K25" s="1368"/>
      <c r="N25" s="2816" t="s">
        <v>2903</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17"/>
      <c r="B26" s="2804" t="s">
        <v>2904</v>
      </c>
      <c r="C26" s="205">
        <f ca="1">E29+SUM(E33:E39)</f>
        <v>857</v>
      </c>
      <c r="D26" s="2818"/>
      <c r="E26" s="2769"/>
      <c r="F26" s="2819"/>
      <c r="G26" s="2769"/>
      <c r="H26" s="2769"/>
      <c r="I26" s="2769"/>
      <c r="J26" s="2820"/>
      <c r="K26" s="1368"/>
      <c r="L26" s="2773" t="s">
        <v>2803</v>
      </c>
      <c r="M26" s="918" t="s">
        <v>2868</v>
      </c>
      <c r="N26" s="918" t="s">
        <v>2869</v>
      </c>
      <c r="O26" s="918" t="s">
        <v>2870</v>
      </c>
      <c r="P26" s="2774" t="s">
        <v>2871</v>
      </c>
      <c r="R26" s="1374"/>
      <c r="S26" s="1374"/>
      <c r="T26" s="1369"/>
      <c r="U26" s="1369"/>
      <c r="V26" s="1369"/>
      <c r="W26" s="1368"/>
      <c r="X26" s="1368"/>
      <c r="Y26" s="1368"/>
      <c r="Z26" s="1375"/>
      <c r="AA26" s="1376"/>
      <c r="AB26" s="1376"/>
      <c r="AC26" s="1376"/>
      <c r="AD26" s="1376"/>
    </row>
    <row r="27" spans="1:37" ht="15.75" thickBot="1">
      <c r="A27" s="2817"/>
      <c r="B27" s="2821" t="s">
        <v>2905</v>
      </c>
      <c r="C27" s="929">
        <f ca="1">E30+SUM(I33:I39)</f>
        <v>0</v>
      </c>
      <c r="D27" s="2822"/>
      <c r="E27" s="2823"/>
      <c r="F27" s="2824"/>
      <c r="G27" s="2823"/>
      <c r="H27" s="2823"/>
      <c r="I27" s="2823"/>
      <c r="J27" s="2825"/>
      <c r="K27" s="1368"/>
      <c r="L27" s="2777" t="s">
        <v>2875</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6"/>
      <c r="B28" s="2827" t="s">
        <v>2906</v>
      </c>
      <c r="C28" s="2828" t="s">
        <v>2907</v>
      </c>
      <c r="D28" s="2828" t="s">
        <v>2908</v>
      </c>
      <c r="E28" s="2829" t="s">
        <v>2909</v>
      </c>
      <c r="F28" s="2830"/>
      <c r="G28" s="2757"/>
      <c r="H28" s="2757"/>
      <c r="I28" s="2757"/>
      <c r="J28" s="2758"/>
      <c r="K28" s="1368"/>
      <c r="L28" s="2778" t="s">
        <v>2878</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1"/>
      <c r="B29" s="2832" t="s">
        <v>2910</v>
      </c>
      <c r="C29" s="205">
        <f ca="1">ROUND(C5*C18*C19*C20*C21*C24,0)</f>
        <v>44091</v>
      </c>
      <c r="D29" s="2833">
        <f>'数据-汇总表'!F20</f>
        <v>194.47</v>
      </c>
      <c r="E29" s="940">
        <f ca="1">ROUND(C29*D29/10000,0)</f>
        <v>857</v>
      </c>
      <c r="F29" s="2834" t="s">
        <v>2911</v>
      </c>
      <c r="G29" s="2835"/>
      <c r="H29" s="2835"/>
      <c r="I29" s="2835"/>
      <c r="J29" s="2836"/>
      <c r="K29" s="1368"/>
      <c r="L29" s="1368"/>
      <c r="M29" s="1368"/>
      <c r="N29" s="1368"/>
      <c r="O29" s="1373"/>
      <c r="P29" s="1373"/>
      <c r="Q29" s="1374"/>
      <c r="R29" s="1374"/>
      <c r="S29" s="1374"/>
      <c r="T29" s="1369"/>
      <c r="U29" s="1369"/>
      <c r="V29" s="1369"/>
      <c r="W29" s="1368"/>
      <c r="X29" s="1368"/>
      <c r="Y29" s="1368"/>
      <c r="Z29" s="1375"/>
      <c r="AA29" s="1376"/>
      <c r="AB29" s="1376"/>
      <c r="AC29" s="1376"/>
      <c r="AD29" s="1376"/>
      <c r="AE29" s="2779"/>
      <c r="AF29" s="2779"/>
      <c r="AG29" s="2716"/>
      <c r="AH29" s="2716"/>
      <c r="AI29" s="2716"/>
      <c r="AJ29" s="2716"/>
    </row>
    <row r="30" spans="1:37" ht="25.5" thickBot="1">
      <c r="A30" s="2837"/>
      <c r="B30" s="2838" t="s">
        <v>2912</v>
      </c>
      <c r="C30" s="228">
        <f ca="1">ROUND(IF(E2="工业",C29*M39,C29*M38),0)</f>
        <v>11023</v>
      </c>
      <c r="D30" s="2839"/>
      <c r="E30" s="940">
        <f ca="1">ROUND(C30*D30/10000,0)</f>
        <v>0</v>
      </c>
      <c r="F30" s="2840" t="s">
        <v>2913</v>
      </c>
      <c r="G30" s="2841"/>
      <c r="H30" s="2841"/>
      <c r="I30" s="2841"/>
      <c r="J30" s="2842"/>
      <c r="K30" s="1368"/>
      <c r="L30" s="1368"/>
      <c r="M30" s="1368"/>
      <c r="N30" s="1368"/>
      <c r="O30" s="1373"/>
      <c r="P30" s="1373"/>
      <c r="Q30" s="1374"/>
      <c r="R30" s="1374"/>
      <c r="S30" s="1374"/>
      <c r="T30" s="1369"/>
      <c r="U30" s="1369"/>
      <c r="V30" s="1369"/>
      <c r="W30" s="1368"/>
      <c r="X30" s="1368"/>
      <c r="Y30" s="1368"/>
      <c r="Z30" s="1375"/>
      <c r="AA30" s="1376"/>
      <c r="AB30" s="1376"/>
      <c r="AC30" s="1376"/>
      <c r="AD30" s="1376"/>
      <c r="AE30" s="2779"/>
      <c r="AF30" s="2779"/>
      <c r="AG30" s="2716"/>
      <c r="AH30" s="2716"/>
      <c r="AI30" s="2716"/>
      <c r="AJ30" s="2716"/>
    </row>
    <row r="31" spans="1:37" ht="14.25">
      <c r="A31" s="2843"/>
      <c r="B31" s="2844" t="s">
        <v>2914</v>
      </c>
      <c r="C31" s="2845" t="s">
        <v>2915</v>
      </c>
      <c r="D31" s="2757"/>
      <c r="E31" s="2845"/>
      <c r="F31" s="2845"/>
      <c r="G31" s="2755" t="s">
        <v>2916</v>
      </c>
      <c r="H31" s="2757"/>
      <c r="I31" s="2846"/>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79"/>
      <c r="AF31" s="2779"/>
      <c r="AG31" s="2716"/>
      <c r="AH31" s="2716"/>
      <c r="AI31" s="2716"/>
      <c r="AJ31" s="2716"/>
    </row>
    <row r="32" spans="1:37" ht="24">
      <c r="A32" s="2831"/>
      <c r="B32" s="2847"/>
      <c r="C32" s="500" t="s">
        <v>2907</v>
      </c>
      <c r="D32" s="497" t="s">
        <v>2908</v>
      </c>
      <c r="E32" s="497" t="s">
        <v>2909</v>
      </c>
      <c r="F32" s="387" t="s">
        <v>2917</v>
      </c>
      <c r="G32" s="2848" t="s">
        <v>2907</v>
      </c>
      <c r="H32" s="2848" t="s">
        <v>2908</v>
      </c>
      <c r="I32" s="2848" t="s">
        <v>2909</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9"/>
      <c r="AF32" s="2779"/>
      <c r="AG32" s="2716"/>
      <c r="AH32" s="2716"/>
      <c r="AI32" s="2716"/>
      <c r="AJ32" s="2716"/>
    </row>
    <row r="33" spans="1:37" ht="36" customHeight="1">
      <c r="A33" s="3344" t="s">
        <v>2918</v>
      </c>
      <c r="B33" s="2849" t="s">
        <v>2919</v>
      </c>
      <c r="C33" s="205">
        <f ca="1">ROUND(D5*C19*C20*C24*F33,0)</f>
        <v>32524</v>
      </c>
      <c r="D33" s="2833"/>
      <c r="E33" s="199">
        <f ca="1">ROUND(C33*D33/10000,0)</f>
        <v>0</v>
      </c>
      <c r="F33" s="199">
        <f>SUMIF(修正!A45:A56,G2,修正!B45:B56)</f>
        <v>0.8</v>
      </c>
      <c r="G33" s="199">
        <f t="shared" ref="G33" ca="1" si="6">ROUND(IF(E2="工业",C33*$M$39,C33*$M$38),0)</f>
        <v>8131</v>
      </c>
      <c r="H33" s="199">
        <f>D33</f>
        <v>0</v>
      </c>
      <c r="I33" s="199">
        <f ca="1">ROUND(G33*H33/10000,0)</f>
        <v>0</v>
      </c>
      <c r="J33" s="285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45"/>
      <c r="B34" s="2761" t="s">
        <v>2920</v>
      </c>
      <c r="C34" s="205">
        <f ca="1">ROUND(D5*C19*C20*C24*F34,0)</f>
        <v>20328</v>
      </c>
      <c r="D34" s="2833"/>
      <c r="E34" s="199">
        <f t="shared" ref="E34:E39" ca="1" si="7">ROUND(C34*D34/10000,0)</f>
        <v>0</v>
      </c>
      <c r="F34" s="199">
        <f>SUMIF(修正!A45:A56,G2,修正!C45:C56)</f>
        <v>0.5</v>
      </c>
      <c r="G34" s="199">
        <f ca="1">ROUND(IF(E2="工业",C34*$M$39,C34*$M$38),0)</f>
        <v>5082</v>
      </c>
      <c r="H34" s="199">
        <f t="shared" ref="H34:H39" si="8">D34</f>
        <v>0</v>
      </c>
      <c r="I34" s="199">
        <f t="shared" ref="I34:I39" ca="1" si="9">ROUND(G34*H34/10000,0)</f>
        <v>0</v>
      </c>
      <c r="J34" s="285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45"/>
      <c r="B35" s="2761" t="s">
        <v>2921</v>
      </c>
      <c r="C35" s="205">
        <f ca="1">ROUND(D5*C19*C20*C24*F35,0)</f>
        <v>14636</v>
      </c>
      <c r="D35" s="2833"/>
      <c r="E35" s="199">
        <f t="shared" ca="1" si="7"/>
        <v>0</v>
      </c>
      <c r="F35" s="199">
        <f>SUMIF(修正!A45:A56,G2,修正!D45:D56)</f>
        <v>0.36</v>
      </c>
      <c r="G35" s="199">
        <f ca="1">ROUND(IF(E2="工业",C35*$M$39,C35*$M$38),0)</f>
        <v>3659</v>
      </c>
      <c r="H35" s="199">
        <f t="shared" si="8"/>
        <v>0</v>
      </c>
      <c r="I35" s="199">
        <f t="shared" ca="1" si="9"/>
        <v>0</v>
      </c>
      <c r="J35" s="2850"/>
      <c r="K35" s="1368"/>
      <c r="L35" s="1368"/>
      <c r="M35" s="1368"/>
      <c r="N35" s="1368"/>
      <c r="O35" s="1368"/>
      <c r="P35" s="1368"/>
      <c r="Q35" s="1368"/>
      <c r="R35" s="1368"/>
      <c r="S35" s="1368"/>
      <c r="T35" s="1368"/>
      <c r="U35" s="1368"/>
      <c r="V35" s="1368"/>
      <c r="W35" s="1368"/>
      <c r="X35" s="1368"/>
      <c r="Y35" s="1368"/>
      <c r="Z35" s="1369"/>
    </row>
    <row r="36" spans="1:37" ht="13.5" thickBot="1">
      <c r="A36" s="3346"/>
      <c r="B36" s="2761" t="s">
        <v>2922</v>
      </c>
      <c r="C36" s="205">
        <f ca="1">ROUND(D5*C19*C20*C24*F36,0)</f>
        <v>12197</v>
      </c>
      <c r="D36" s="2833"/>
      <c r="E36" s="199">
        <f t="shared" ca="1" si="7"/>
        <v>0</v>
      </c>
      <c r="F36" s="199">
        <f>SUMIF(修正!A45:A56,G2,修正!E45:E56)</f>
        <v>0.3</v>
      </c>
      <c r="G36" s="199">
        <f ca="1">ROUND(IF(E2="工业",C36*$M$39,C36*$M$38),0)</f>
        <v>3049</v>
      </c>
      <c r="H36" s="199">
        <f t="shared" si="8"/>
        <v>0</v>
      </c>
      <c r="I36" s="199">
        <f t="shared" ca="1" si="9"/>
        <v>0</v>
      </c>
      <c r="J36" s="2850"/>
      <c r="K36" s="1368"/>
      <c r="L36" s="2715"/>
      <c r="M36" s="2715"/>
      <c r="N36" s="1368"/>
      <c r="O36" s="1368"/>
      <c r="P36" s="1368"/>
      <c r="Q36" s="1368"/>
      <c r="R36" s="1368"/>
      <c r="S36" s="1368"/>
      <c r="T36" s="1368"/>
      <c r="U36" s="1368"/>
      <c r="V36" s="1368"/>
      <c r="W36" s="1368"/>
      <c r="X36" s="1368"/>
      <c r="Y36" s="1368"/>
      <c r="Z36" s="1369"/>
    </row>
    <row r="37" spans="1:37">
      <c r="A37" s="2851"/>
      <c r="B37" s="2761" t="s">
        <v>2923</v>
      </c>
      <c r="C37" s="199">
        <f ca="1">ROUND(D5*C19*C20*C24*F37,0)</f>
        <v>12197</v>
      </c>
      <c r="D37" s="2833"/>
      <c r="E37" s="199">
        <f t="shared" ca="1" si="7"/>
        <v>0</v>
      </c>
      <c r="F37" s="205">
        <f>SUMIF(修正!A45:A56,G2,修正!F45:F56)</f>
        <v>0.3</v>
      </c>
      <c r="G37" s="199">
        <f ca="1">ROUND(IF(E2="工业",C37*$M$39,C37*$M$38),0)</f>
        <v>3049</v>
      </c>
      <c r="H37" s="199">
        <f t="shared" si="8"/>
        <v>0</v>
      </c>
      <c r="I37" s="199">
        <f t="shared" ca="1" si="9"/>
        <v>0</v>
      </c>
      <c r="J37" s="2850"/>
      <c r="K37" s="1368"/>
      <c r="L37" s="2852" t="s">
        <v>2924</v>
      </c>
      <c r="M37" s="2853"/>
      <c r="N37" s="1368"/>
      <c r="O37" s="1368"/>
      <c r="P37" s="1368"/>
      <c r="Q37" s="1368"/>
      <c r="R37" s="1368"/>
      <c r="S37" s="1368"/>
      <c r="T37" s="1368"/>
      <c r="U37" s="1368"/>
      <c r="V37" s="1368"/>
      <c r="W37" s="1368"/>
      <c r="X37" s="1368"/>
      <c r="Y37" s="1368"/>
      <c r="Z37" s="1369"/>
    </row>
    <row r="38" spans="1:37">
      <c r="A38" s="2851"/>
      <c r="B38" s="2761" t="s">
        <v>2925</v>
      </c>
      <c r="C38" s="199">
        <f ca="1">ROUND(D5*C19*C41*C24*F38,0)</f>
        <v>11118</v>
      </c>
      <c r="D38" s="2833"/>
      <c r="E38" s="199">
        <f t="shared" ca="1" si="7"/>
        <v>0</v>
      </c>
      <c r="F38" s="205">
        <f>SUMIF(修正!A45:A56,G2,修正!G45:G56)</f>
        <v>0.3</v>
      </c>
      <c r="G38" s="199">
        <f ca="1">ROUND(IF(E2="工业",C38*$M$39,C38*$M$38),0)</f>
        <v>2780</v>
      </c>
      <c r="H38" s="199">
        <f t="shared" si="8"/>
        <v>0</v>
      </c>
      <c r="I38" s="199">
        <f t="shared" ca="1" si="9"/>
        <v>0</v>
      </c>
      <c r="J38" s="2850"/>
      <c r="K38" s="1368"/>
      <c r="L38" s="1885" t="s">
        <v>2926</v>
      </c>
      <c r="M38" s="2854">
        <v>0.25</v>
      </c>
      <c r="N38" s="1368"/>
      <c r="O38" s="1368"/>
      <c r="P38" s="1368"/>
      <c r="Q38" s="1368"/>
      <c r="R38" s="1368"/>
      <c r="S38" s="1368"/>
      <c r="T38" s="1368"/>
      <c r="U38" s="1368"/>
      <c r="V38" s="1368"/>
      <c r="W38" s="1368"/>
      <c r="X38" s="1368"/>
      <c r="Y38" s="1368"/>
      <c r="Z38" s="1369"/>
    </row>
    <row r="39" spans="1:37" ht="13.5" thickBot="1">
      <c r="A39" s="2837"/>
      <c r="B39" s="2855" t="s">
        <v>2927</v>
      </c>
      <c r="C39" s="228">
        <f ca="1">ROUND(D5*C19*C41*C24*F39,0)</f>
        <v>9265</v>
      </c>
      <c r="D39" s="2839"/>
      <c r="E39" s="228">
        <f t="shared" ca="1" si="7"/>
        <v>0</v>
      </c>
      <c r="F39" s="930">
        <f>SUMIF(修正!A45:A56,G2,修正!H45:H56)</f>
        <v>0.25</v>
      </c>
      <c r="G39" s="228">
        <f ca="1">ROUND(IF(E2="工业",C39*$M$39,C39*$M$38),0)</f>
        <v>2316</v>
      </c>
      <c r="H39" s="228">
        <f t="shared" si="8"/>
        <v>0</v>
      </c>
      <c r="I39" s="228">
        <f t="shared" ca="1" si="9"/>
        <v>0</v>
      </c>
      <c r="J39" s="2856"/>
      <c r="K39" s="1368"/>
      <c r="L39" s="2857" t="s">
        <v>2871</v>
      </c>
      <c r="M39" s="285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6" t="s">
        <v>3035</v>
      </c>
      <c r="C41" s="387">
        <f ca="1">ROUND(POWER(1+E41,H41-G41)*(POWER(1+E41,G41)-1)/(POWER(1+E41,H41)-1),4)</f>
        <v>0.86929999999999996</v>
      </c>
      <c r="D41" s="199" t="s">
        <v>2878</v>
      </c>
      <c r="E41" s="2925">
        <f ca="1">G20</f>
        <v>0.05</v>
      </c>
      <c r="F41" s="199" t="s">
        <v>2887</v>
      </c>
      <c r="G41" s="217">
        <f>项目基本情况!F15</f>
        <v>32.33</v>
      </c>
      <c r="H41" s="199">
        <v>50</v>
      </c>
      <c r="Z41" s="1369"/>
      <c r="AA41" s="1369"/>
      <c r="AB41" s="1369"/>
      <c r="AC41" s="1369"/>
      <c r="AD41" s="1369"/>
      <c r="AE41" s="1369"/>
      <c r="AF41" s="1369"/>
      <c r="AG41" s="1369"/>
      <c r="AH41" s="1369"/>
      <c r="AI41" s="1369"/>
      <c r="AJ41" s="1369"/>
    </row>
    <row r="42" spans="1:37" s="1368" customFormat="1">
      <c r="A42" s="1369"/>
      <c r="B42" s="2859"/>
      <c r="Z42" s="1369"/>
      <c r="AA42" s="1369"/>
      <c r="AB42" s="1369"/>
      <c r="AC42" s="1369"/>
      <c r="AD42" s="1369"/>
      <c r="AE42" s="1369"/>
      <c r="AF42" s="1369"/>
      <c r="AG42" s="1369"/>
      <c r="AH42" s="1369"/>
      <c r="AI42" s="1369"/>
      <c r="AJ42" s="1369"/>
    </row>
    <row r="43" spans="1:37" s="1368" customFormat="1">
      <c r="A43" s="1369"/>
      <c r="B43" s="2859"/>
      <c r="Z43" s="1369"/>
      <c r="AA43" s="1369"/>
      <c r="AB43" s="1369"/>
      <c r="AC43" s="1369"/>
      <c r="AD43" s="1369"/>
      <c r="AE43" s="1369"/>
      <c r="AF43" s="1369"/>
      <c r="AG43" s="1369"/>
      <c r="AH43" s="1369"/>
      <c r="AI43" s="1369"/>
      <c r="AJ43" s="1369"/>
    </row>
    <row r="44" spans="1:37" s="1368" customFormat="1">
      <c r="A44" s="1369"/>
      <c r="B44" s="2859"/>
      <c r="Z44" s="1369"/>
      <c r="AA44" s="1369"/>
      <c r="AB44" s="1369"/>
      <c r="AC44" s="1369"/>
      <c r="AD44" s="1369"/>
      <c r="AE44" s="1369"/>
      <c r="AF44" s="1369"/>
      <c r="AG44" s="1369"/>
      <c r="AH44" s="1369"/>
      <c r="AI44" s="1369"/>
      <c r="AJ44" s="1369"/>
    </row>
    <row r="45" spans="1:37" s="1368" customFormat="1" ht="15.75" thickBot="1">
      <c r="A45" s="2860" t="s">
        <v>2928</v>
      </c>
      <c r="B45" s="2861"/>
      <c r="C45" s="7"/>
      <c r="D45" s="7"/>
      <c r="E45" s="7"/>
      <c r="F45" s="6"/>
      <c r="G45" s="6"/>
      <c r="H45" s="6"/>
      <c r="I45" s="7"/>
      <c r="J45" s="7"/>
      <c r="K45" s="7"/>
      <c r="L45" s="7"/>
      <c r="M45" s="7"/>
      <c r="N45" s="2779"/>
      <c r="Z45" s="1369"/>
      <c r="AA45" s="1369"/>
      <c r="AB45" s="1369"/>
      <c r="AC45" s="1369"/>
      <c r="AD45" s="1369"/>
      <c r="AE45" s="1369"/>
      <c r="AF45" s="1369"/>
      <c r="AG45" s="1369"/>
      <c r="AH45" s="1369"/>
      <c r="AI45" s="1369"/>
      <c r="AJ45" s="1369"/>
    </row>
    <row r="46" spans="1:37" s="1368" customFormat="1" ht="15" hidden="1">
      <c r="A46" s="2862" t="s">
        <v>2929</v>
      </c>
      <c r="B46" s="2863">
        <f>1+E48</f>
        <v>1</v>
      </c>
      <c r="C46" s="2864"/>
      <c r="D46" s="812"/>
      <c r="E46" s="813"/>
      <c r="F46" s="2865"/>
      <c r="G46" s="6"/>
      <c r="H46" s="7"/>
      <c r="I46" s="7"/>
      <c r="J46" s="7"/>
      <c r="K46" s="7"/>
      <c r="L46" s="7"/>
      <c r="M46" s="7"/>
      <c r="N46" s="2779"/>
      <c r="Z46" s="1369"/>
      <c r="AA46" s="1369"/>
      <c r="AB46" s="1369"/>
      <c r="AC46" s="1369"/>
      <c r="AD46" s="1369"/>
      <c r="AE46" s="1369"/>
      <c r="AF46" s="1369"/>
      <c r="AG46" s="1369"/>
      <c r="AH46" s="1369"/>
      <c r="AI46" s="1369"/>
      <c r="AJ46" s="1369"/>
    </row>
    <row r="47" spans="1:37" s="1368" customFormat="1" ht="24.75" hidden="1">
      <c r="A47" s="2866" t="s">
        <v>2930</v>
      </c>
      <c r="B47" s="1807" t="s">
        <v>2931</v>
      </c>
      <c r="C47" s="1807" t="s">
        <v>2932</v>
      </c>
      <c r="D47" s="1807" t="s">
        <v>2933</v>
      </c>
      <c r="E47" s="817" t="s">
        <v>2934</v>
      </c>
      <c r="F47" s="2867" t="s">
        <v>2935</v>
      </c>
      <c r="G47" s="1807" t="s">
        <v>754</v>
      </c>
      <c r="H47" s="2868" t="s">
        <v>2936</v>
      </c>
      <c r="I47" s="1807" t="s">
        <v>2937</v>
      </c>
      <c r="J47" s="602" t="s">
        <v>2586</v>
      </c>
      <c r="K47" s="602" t="s">
        <v>2587</v>
      </c>
      <c r="L47" s="602" t="s">
        <v>2588</v>
      </c>
      <c r="M47" s="602" t="s">
        <v>2589</v>
      </c>
      <c r="N47" s="602" t="s">
        <v>2590</v>
      </c>
      <c r="AA47" s="1369"/>
      <c r="AB47" s="1369"/>
      <c r="AC47" s="1369"/>
      <c r="AD47" s="1369"/>
      <c r="AE47" s="1369"/>
      <c r="AF47" s="1369"/>
      <c r="AG47" s="1369"/>
      <c r="AH47" s="1369"/>
      <c r="AI47" s="1369"/>
      <c r="AJ47" s="1369"/>
      <c r="AK47" s="1369"/>
    </row>
    <row r="48" spans="1:37" s="1368" customFormat="1" ht="38.25" hidden="1">
      <c r="A48" s="2866" t="s">
        <v>2938</v>
      </c>
      <c r="B48" s="2869" t="str">
        <f>估价对象房地状况!C4</f>
        <v>估价对象位于XX商圈，周边商业氛围成熟，人流量大，商业繁华度好</v>
      </c>
      <c r="C48" s="2766"/>
      <c r="D48" s="1284">
        <f t="shared" ref="D48:D56" si="10">SUMIF($J$47:$N$47,C48,J48:N48)</f>
        <v>0</v>
      </c>
      <c r="E48" s="819">
        <f>ROUND(SUM(D48:D56),4)</f>
        <v>0</v>
      </c>
      <c r="F48" s="2499"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27.5" hidden="1">
      <c r="A49" s="2866" t="s">
        <v>2939</v>
      </c>
      <c r="B49" s="2870" t="str">
        <f>估价对象房地状况!C18</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C49" s="2766"/>
      <c r="D49" s="1284">
        <f t="shared" si="10"/>
        <v>0</v>
      </c>
      <c r="E49" s="820"/>
      <c r="F49" s="2499"/>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hidden="1">
      <c r="A50" s="2866" t="s">
        <v>2940</v>
      </c>
      <c r="B50" s="2870">
        <f>估价对象房地状况!C19</f>
        <v>0</v>
      </c>
      <c r="C50" s="2766"/>
      <c r="D50" s="1284">
        <f t="shared" si="10"/>
        <v>0</v>
      </c>
      <c r="E50" s="820"/>
      <c r="F50" s="2499"/>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hidden="1">
      <c r="A51" s="2866" t="s">
        <v>2941</v>
      </c>
      <c r="B51" s="2871" t="s">
        <v>2942</v>
      </c>
      <c r="C51" s="2766"/>
      <c r="D51" s="1284">
        <f t="shared" si="10"/>
        <v>0</v>
      </c>
      <c r="E51" s="820"/>
      <c r="F51" s="2499"/>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hidden="1">
      <c r="A52" s="2866" t="s">
        <v>2943</v>
      </c>
      <c r="B52" s="2870" t="str">
        <f>估价对象房地状况!C24</f>
        <v>主干道</v>
      </c>
      <c r="C52" s="2766"/>
      <c r="D52" s="1284">
        <f t="shared" si="10"/>
        <v>0</v>
      </c>
      <c r="E52" s="820"/>
      <c r="F52" s="2499"/>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hidden="1">
      <c r="A53" s="2866" t="s">
        <v>2944</v>
      </c>
      <c r="B53" s="2872" t="s">
        <v>2945</v>
      </c>
      <c r="C53" s="2766"/>
      <c r="D53" s="1284">
        <f t="shared" si="10"/>
        <v>0</v>
      </c>
      <c r="E53" s="820"/>
      <c r="F53" s="2499"/>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76.5" hidden="1">
      <c r="A54" s="2873" t="s">
        <v>2946</v>
      </c>
      <c r="B54" s="1723" t="str">
        <f>估价对象房地状况!C21</f>
        <v>区域内有新中街幼儿园、西中街小学、东直门中学、北京中医药大学东直门医院、招商银行、华联超市等，公共服务设施较完善</v>
      </c>
      <c r="C54" s="2766"/>
      <c r="D54" s="1284">
        <f t="shared" si="10"/>
        <v>0</v>
      </c>
      <c r="E54" s="820"/>
      <c r="F54" s="2499"/>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38.25" hidden="1">
      <c r="A55" s="2873" t="s">
        <v>2947</v>
      </c>
      <c r="B55" s="2870" t="str">
        <f>估价对象房地状况!C22</f>
        <v>估价对象所在区域红线内外七通，市政供暖，基础设施水平好。</v>
      </c>
      <c r="C55" s="2766"/>
      <c r="D55" s="1284">
        <f t="shared" si="10"/>
        <v>0</v>
      </c>
      <c r="E55" s="820"/>
      <c r="F55" s="2499"/>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90" hidden="1" thickBot="1">
      <c r="A56" s="2874" t="s">
        <v>2948</v>
      </c>
      <c r="B56" s="2875" t="str">
        <f>估价对象房地状况!C20</f>
        <v>区域内有新中街城市森林公园等，街道整洁，相邻路段无污染源，自然环境较好；区域内有保利剧院、中国医史博物馆等，人文环境较较好；综合评价环境状况较好。</v>
      </c>
      <c r="C56" s="2766"/>
      <c r="D56" s="1284">
        <f t="shared" si="10"/>
        <v>0</v>
      </c>
      <c r="E56" s="823"/>
      <c r="F56" s="2499"/>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hidden="1">
      <c r="A57" s="2862" t="s">
        <v>2949</v>
      </c>
      <c r="B57" s="2863" t="e">
        <f>1+E59</f>
        <v>#VALUE!</v>
      </c>
      <c r="C57" s="812"/>
      <c r="D57" s="812"/>
      <c r="E57" s="813"/>
      <c r="F57" s="286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hidden="1">
      <c r="A58" s="2866" t="s">
        <v>2930</v>
      </c>
      <c r="B58" s="1807"/>
      <c r="C58" s="1807" t="s">
        <v>2932</v>
      </c>
      <c r="D58" s="1807" t="s">
        <v>2933</v>
      </c>
      <c r="E58" s="817" t="s">
        <v>2934</v>
      </c>
      <c r="F58" s="2867" t="s">
        <v>2950</v>
      </c>
      <c r="G58" s="1807" t="s">
        <v>754</v>
      </c>
      <c r="H58" s="2868" t="s">
        <v>2936</v>
      </c>
      <c r="I58" s="1807" t="s">
        <v>2937</v>
      </c>
      <c r="J58" s="602" t="s">
        <v>2586</v>
      </c>
      <c r="K58" s="602" t="s">
        <v>2587</v>
      </c>
      <c r="L58" s="602" t="s">
        <v>2588</v>
      </c>
      <c r="M58" s="602" t="s">
        <v>2589</v>
      </c>
      <c r="N58" s="602" t="s">
        <v>2590</v>
      </c>
      <c r="AA58" s="1369"/>
      <c r="AB58" s="1369"/>
      <c r="AC58" s="1369"/>
      <c r="AD58" s="1369"/>
      <c r="AE58" s="1369"/>
      <c r="AF58" s="1369"/>
      <c r="AG58" s="1369"/>
      <c r="AH58" s="1369"/>
      <c r="AI58" s="1369"/>
      <c r="AJ58" s="1369"/>
      <c r="AK58" s="1369"/>
    </row>
    <row r="59" spans="1:37" s="1368" customFormat="1" ht="51" hidden="1">
      <c r="A59" s="2866" t="s">
        <v>2951</v>
      </c>
      <c r="B59" s="2869" t="str">
        <f>估价对象房地状况!C17</f>
        <v>估价对象位于东直门商圈，周边办公楼项目较多，入驻率高，办公集聚程度较好</v>
      </c>
      <c r="C59" s="2766" t="s">
        <v>3112</v>
      </c>
      <c r="D59" s="1284" t="e">
        <f t="shared" ref="D59:D67" si="15">SUMIF($J$58:$N$58,C59,J59:N59)</f>
        <v>#VALUE!</v>
      </c>
      <c r="E59" s="819" t="e">
        <f>ROUND(SUM(D59:D67),4)</f>
        <v>#VALUE!</v>
      </c>
      <c r="F59" s="2499" t="str">
        <f>IF(E2="办公",SUMIF(L1:L12,G2,N1:N12),"——")</f>
        <v>——</v>
      </c>
      <c r="G59" s="2980" t="str">
        <f t="shared" ref="G59:H67" si="16">IFERROR(ROUNDDOWN($F$59*H59/2,4),"——")</f>
        <v>——</v>
      </c>
      <c r="H59" s="1286" t="str">
        <f t="shared" si="16"/>
        <v>——</v>
      </c>
      <c r="I59" s="818">
        <v>0.24</v>
      </c>
      <c r="J59" s="1283" t="e">
        <f t="shared" ref="J59:J67" si="17">K59+$G59</f>
        <v>#VALUE!</v>
      </c>
      <c r="K59" s="1283" t="e">
        <f t="shared" ref="K59:K67" si="18">$L59+$G59</f>
        <v>#VALUE!</v>
      </c>
      <c r="L59" s="1283">
        <v>0</v>
      </c>
      <c r="M59" s="1283" t="e">
        <f t="shared" ref="M59:N67" si="19">L59-$G59</f>
        <v>#VALUE!</v>
      </c>
      <c r="N59" s="1283" t="e">
        <f t="shared" si="19"/>
        <v>#VALUE!</v>
      </c>
      <c r="AA59" s="1369"/>
      <c r="AB59" s="1369"/>
      <c r="AC59" s="1369"/>
      <c r="AD59" s="1369"/>
      <c r="AE59" s="1369"/>
      <c r="AF59" s="1369"/>
      <c r="AG59" s="1369"/>
      <c r="AH59" s="1369"/>
      <c r="AI59" s="1369"/>
      <c r="AJ59" s="1369"/>
      <c r="AK59" s="1369"/>
    </row>
    <row r="60" spans="1:37" s="1368" customFormat="1" ht="127.5" hidden="1">
      <c r="A60" s="2866" t="s">
        <v>2939</v>
      </c>
      <c r="B60" s="2870" t="str">
        <f>估价对象房地状况!C18</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C60" s="2766" t="s">
        <v>3072</v>
      </c>
      <c r="D60" s="1284" t="e">
        <f t="shared" si="15"/>
        <v>#VALUE!</v>
      </c>
      <c r="E60" s="820"/>
      <c r="F60" s="2499"/>
      <c r="G60" s="2980" t="str">
        <f t="shared" si="16"/>
        <v>——</v>
      </c>
      <c r="H60" s="1286" t="str">
        <f t="shared" si="16"/>
        <v>——</v>
      </c>
      <c r="I60" s="818">
        <v>0.3</v>
      </c>
      <c r="J60" s="1283" t="e">
        <f t="shared" si="17"/>
        <v>#VALUE!</v>
      </c>
      <c r="K60" s="1283" t="e">
        <f t="shared" si="18"/>
        <v>#VALUE!</v>
      </c>
      <c r="L60" s="1283">
        <v>0</v>
      </c>
      <c r="M60" s="1283" t="e">
        <f t="shared" si="19"/>
        <v>#VALUE!</v>
      </c>
      <c r="N60" s="1283" t="e">
        <f t="shared" si="19"/>
        <v>#VALUE!</v>
      </c>
      <c r="AA60" s="1369"/>
      <c r="AB60" s="1369"/>
      <c r="AC60" s="1369"/>
      <c r="AD60" s="1369"/>
      <c r="AE60" s="1369"/>
      <c r="AF60" s="1369"/>
      <c r="AG60" s="1369"/>
      <c r="AH60" s="1369"/>
      <c r="AI60" s="1369"/>
      <c r="AJ60" s="1369"/>
      <c r="AK60" s="1369"/>
    </row>
    <row r="61" spans="1:37" s="1368" customFormat="1" ht="24" hidden="1">
      <c r="A61" s="2866" t="s">
        <v>2940</v>
      </c>
      <c r="B61" s="2870">
        <f>估价对象房地状况!C19</f>
        <v>0</v>
      </c>
      <c r="C61" s="2766" t="s">
        <v>3112</v>
      </c>
      <c r="D61" s="1284" t="e">
        <f t="shared" si="15"/>
        <v>#VALUE!</v>
      </c>
      <c r="E61" s="820"/>
      <c r="F61" s="2499"/>
      <c r="G61" s="2980" t="str">
        <f t="shared" si="16"/>
        <v>——</v>
      </c>
      <c r="H61" s="1286" t="str">
        <f t="shared" si="16"/>
        <v>——</v>
      </c>
      <c r="I61" s="818">
        <v>0.08</v>
      </c>
      <c r="J61" s="1283" t="e">
        <f t="shared" si="17"/>
        <v>#VALUE!</v>
      </c>
      <c r="K61" s="1283" t="e">
        <f t="shared" si="18"/>
        <v>#VALUE!</v>
      </c>
      <c r="L61" s="1283">
        <v>0</v>
      </c>
      <c r="M61" s="1283" t="e">
        <f t="shared" si="19"/>
        <v>#VALUE!</v>
      </c>
      <c r="N61" s="1283" t="e">
        <f t="shared" si="19"/>
        <v>#VALUE!</v>
      </c>
      <c r="AA61" s="1369"/>
      <c r="AB61" s="1369"/>
      <c r="AC61" s="1369"/>
      <c r="AD61" s="1369"/>
      <c r="AE61" s="1369"/>
      <c r="AF61" s="1369"/>
      <c r="AG61" s="1369"/>
      <c r="AH61" s="1369"/>
      <c r="AI61" s="1369"/>
      <c r="AJ61" s="1369"/>
      <c r="AK61" s="1369"/>
    </row>
    <row r="62" spans="1:37" s="1368" customFormat="1" ht="36.75" hidden="1">
      <c r="A62" s="2866" t="s">
        <v>2941</v>
      </c>
      <c r="B62" s="2871" t="s">
        <v>2942</v>
      </c>
      <c r="C62" s="2766" t="s">
        <v>3112</v>
      </c>
      <c r="D62" s="1284" t="e">
        <f t="shared" si="15"/>
        <v>#VALUE!</v>
      </c>
      <c r="E62" s="820"/>
      <c r="F62" s="2499"/>
      <c r="G62" s="2980" t="str">
        <f t="shared" si="16"/>
        <v>——</v>
      </c>
      <c r="H62" s="1286" t="str">
        <f t="shared" si="16"/>
        <v>——</v>
      </c>
      <c r="I62" s="818">
        <v>0.04</v>
      </c>
      <c r="J62" s="1283" t="e">
        <f t="shared" si="17"/>
        <v>#VALUE!</v>
      </c>
      <c r="K62" s="1283" t="e">
        <f t="shared" si="18"/>
        <v>#VALUE!</v>
      </c>
      <c r="L62" s="1283">
        <v>0</v>
      </c>
      <c r="M62" s="1283" t="e">
        <f t="shared" si="19"/>
        <v>#VALUE!</v>
      </c>
      <c r="N62" s="1283" t="e">
        <f t="shared" si="19"/>
        <v>#VALUE!</v>
      </c>
      <c r="AA62" s="1369"/>
      <c r="AB62" s="1369"/>
      <c r="AC62" s="1369"/>
      <c r="AD62" s="1369"/>
      <c r="AE62" s="1369"/>
      <c r="AF62" s="1369"/>
      <c r="AG62" s="1369"/>
      <c r="AH62" s="1369"/>
      <c r="AI62" s="1369"/>
      <c r="AJ62" s="1369"/>
      <c r="AK62" s="1369"/>
    </row>
    <row r="63" spans="1:37" s="1368" customFormat="1" ht="24" hidden="1">
      <c r="A63" s="2866" t="s">
        <v>2943</v>
      </c>
      <c r="B63" s="2870" t="str">
        <f>估价对象房地状况!C24</f>
        <v>主干道</v>
      </c>
      <c r="C63" s="2766" t="s">
        <v>3072</v>
      </c>
      <c r="D63" s="1284" t="e">
        <f t="shared" si="15"/>
        <v>#VALUE!</v>
      </c>
      <c r="E63" s="820"/>
      <c r="F63" s="2499"/>
      <c r="G63" s="2980" t="str">
        <f t="shared" si="16"/>
        <v>——</v>
      </c>
      <c r="H63" s="1286" t="str">
        <f t="shared" si="16"/>
        <v>——</v>
      </c>
      <c r="I63" s="818">
        <v>0.05</v>
      </c>
      <c r="J63" s="1283" t="e">
        <f t="shared" si="17"/>
        <v>#VALUE!</v>
      </c>
      <c r="K63" s="1283" t="e">
        <f t="shared" si="18"/>
        <v>#VALUE!</v>
      </c>
      <c r="L63" s="1283">
        <v>0</v>
      </c>
      <c r="M63" s="1283" t="e">
        <f t="shared" si="19"/>
        <v>#VALUE!</v>
      </c>
      <c r="N63" s="1283" t="e">
        <f t="shared" si="19"/>
        <v>#VALUE!</v>
      </c>
      <c r="AA63" s="1369"/>
      <c r="AB63" s="1369"/>
      <c r="AC63" s="1369"/>
      <c r="AD63" s="1369"/>
      <c r="AE63" s="1369"/>
      <c r="AF63" s="1369"/>
      <c r="AG63" s="1369"/>
      <c r="AH63" s="1369"/>
      <c r="AI63" s="1369"/>
      <c r="AJ63" s="1369"/>
      <c r="AK63" s="1369"/>
    </row>
    <row r="64" spans="1:37" s="1368" customFormat="1" ht="24" hidden="1">
      <c r="A64" s="2866" t="s">
        <v>2944</v>
      </c>
      <c r="B64" s="2872" t="s">
        <v>2945</v>
      </c>
      <c r="C64" s="2766" t="s">
        <v>3072</v>
      </c>
      <c r="D64" s="1284" t="e">
        <f t="shared" si="15"/>
        <v>#VALUE!</v>
      </c>
      <c r="E64" s="820"/>
      <c r="F64" s="2499"/>
      <c r="G64" s="2980" t="str">
        <f t="shared" si="16"/>
        <v>——</v>
      </c>
      <c r="H64" s="1286" t="str">
        <f t="shared" si="16"/>
        <v>——</v>
      </c>
      <c r="I64" s="818">
        <v>0.05</v>
      </c>
      <c r="J64" s="1283" t="e">
        <f t="shared" si="17"/>
        <v>#VALUE!</v>
      </c>
      <c r="K64" s="1283" t="e">
        <f t="shared" si="18"/>
        <v>#VALUE!</v>
      </c>
      <c r="L64" s="1283">
        <v>0</v>
      </c>
      <c r="M64" s="1283" t="e">
        <f t="shared" si="19"/>
        <v>#VALUE!</v>
      </c>
      <c r="N64" s="1283" t="e">
        <f t="shared" si="19"/>
        <v>#VALUE!</v>
      </c>
      <c r="AA64" s="1369"/>
      <c r="AB64" s="1369"/>
      <c r="AC64" s="1369"/>
      <c r="AD64" s="1369"/>
      <c r="AE64" s="1369"/>
      <c r="AF64" s="1369"/>
      <c r="AG64" s="1369"/>
      <c r="AH64" s="1369"/>
      <c r="AI64" s="1369"/>
      <c r="AJ64" s="1369"/>
      <c r="AK64" s="1369"/>
    </row>
    <row r="65" spans="1:37" s="1368" customFormat="1" ht="76.5" hidden="1">
      <c r="A65" s="2866" t="s">
        <v>2946</v>
      </c>
      <c r="B65" s="1723" t="str">
        <f>估价对象房地状况!C21</f>
        <v>区域内有新中街幼儿园、西中街小学、东直门中学、北京中医药大学东直门医院、招商银行、华联超市等，公共服务设施较完善</v>
      </c>
      <c r="C65" s="2766" t="s">
        <v>3072</v>
      </c>
      <c r="D65" s="1284" t="e">
        <f t="shared" si="15"/>
        <v>#VALUE!</v>
      </c>
      <c r="E65" s="820"/>
      <c r="F65" s="2499"/>
      <c r="G65" s="2980" t="str">
        <f t="shared" si="16"/>
        <v>——</v>
      </c>
      <c r="H65" s="1286" t="str">
        <f t="shared" si="16"/>
        <v>——</v>
      </c>
      <c r="I65" s="818">
        <v>0.06</v>
      </c>
      <c r="J65" s="1283" t="e">
        <f t="shared" si="17"/>
        <v>#VALUE!</v>
      </c>
      <c r="K65" s="1283" t="e">
        <f t="shared" si="18"/>
        <v>#VALUE!</v>
      </c>
      <c r="L65" s="1283">
        <v>0</v>
      </c>
      <c r="M65" s="1283" t="e">
        <f t="shared" si="19"/>
        <v>#VALUE!</v>
      </c>
      <c r="N65" s="1283" t="e">
        <f t="shared" si="19"/>
        <v>#VALUE!</v>
      </c>
      <c r="AA65" s="1369"/>
      <c r="AB65" s="1369"/>
      <c r="AC65" s="1369"/>
      <c r="AD65" s="1369"/>
      <c r="AE65" s="1369"/>
      <c r="AF65" s="1369"/>
      <c r="AG65" s="1369"/>
      <c r="AH65" s="1369"/>
      <c r="AI65" s="1369"/>
      <c r="AJ65" s="1369"/>
      <c r="AK65" s="1369"/>
    </row>
    <row r="66" spans="1:37" s="1368" customFormat="1" ht="38.25" hidden="1">
      <c r="A66" s="2866" t="s">
        <v>2947</v>
      </c>
      <c r="B66" s="1723" t="str">
        <f>估价对象房地状况!C22</f>
        <v>估价对象所在区域红线内外七通，市政供暖，基础设施水平好。</v>
      </c>
      <c r="C66" s="2766" t="s">
        <v>3072</v>
      </c>
      <c r="D66" s="1284" t="e">
        <f t="shared" si="15"/>
        <v>#VALUE!</v>
      </c>
      <c r="E66" s="820"/>
      <c r="F66" s="2499"/>
      <c r="G66" s="2980" t="str">
        <f t="shared" si="16"/>
        <v>——</v>
      </c>
      <c r="H66" s="1286" t="str">
        <f t="shared" si="16"/>
        <v>——</v>
      </c>
      <c r="I66" s="818">
        <v>0.12</v>
      </c>
      <c r="J66" s="1283" t="e">
        <f t="shared" si="17"/>
        <v>#VALUE!</v>
      </c>
      <c r="K66" s="1283" t="e">
        <f t="shared" si="18"/>
        <v>#VALUE!</v>
      </c>
      <c r="L66" s="1283">
        <v>0</v>
      </c>
      <c r="M66" s="1283" t="e">
        <f t="shared" si="19"/>
        <v>#VALUE!</v>
      </c>
      <c r="N66" s="1283" t="e">
        <f t="shared" si="19"/>
        <v>#VALUE!</v>
      </c>
      <c r="AA66" s="1369"/>
      <c r="AB66" s="1369"/>
      <c r="AC66" s="1369"/>
      <c r="AD66" s="1369"/>
      <c r="AE66" s="1369"/>
      <c r="AF66" s="1369"/>
      <c r="AG66" s="1369"/>
      <c r="AH66" s="1369"/>
      <c r="AI66" s="1369"/>
      <c r="AJ66" s="1369"/>
      <c r="AK66" s="1369"/>
    </row>
    <row r="67" spans="1:37" s="1368" customFormat="1" ht="90" hidden="1" thickBot="1">
      <c r="A67" s="2874" t="s">
        <v>2948</v>
      </c>
      <c r="B67" s="2876" t="str">
        <f>估价对象房地状况!C20</f>
        <v>区域内有新中街城市森林公园等，街道整洁，相邻路段无污染源，自然环境较好；区域内有保利剧院、中国医史博物馆等，人文环境较较好；综合评价环境状况较好。</v>
      </c>
      <c r="C67" s="2766" t="s">
        <v>3112</v>
      </c>
      <c r="D67" s="1284" t="e">
        <f t="shared" si="15"/>
        <v>#VALUE!</v>
      </c>
      <c r="E67" s="823"/>
      <c r="F67" s="2499"/>
      <c r="G67" s="2980" t="str">
        <f t="shared" si="16"/>
        <v>——</v>
      </c>
      <c r="H67" s="1286" t="str">
        <f t="shared" si="16"/>
        <v>——</v>
      </c>
      <c r="I67" s="822">
        <v>0.06</v>
      </c>
      <c r="J67" s="1283" t="e">
        <f t="shared" si="17"/>
        <v>#VALUE!</v>
      </c>
      <c r="K67" s="1283" t="e">
        <f t="shared" si="18"/>
        <v>#VALUE!</v>
      </c>
      <c r="L67" s="1283">
        <v>0</v>
      </c>
      <c r="M67" s="1283" t="e">
        <f t="shared" si="19"/>
        <v>#VALUE!</v>
      </c>
      <c r="N67" s="1283" t="e">
        <f t="shared" si="19"/>
        <v>#VALUE!</v>
      </c>
      <c r="AA67" s="1369"/>
      <c r="AB67" s="1369"/>
      <c r="AC67" s="1369"/>
      <c r="AD67" s="1369"/>
      <c r="AE67" s="1369"/>
      <c r="AF67" s="1369"/>
      <c r="AG67" s="1369"/>
      <c r="AH67" s="1369"/>
      <c r="AI67" s="1369"/>
      <c r="AJ67" s="1369"/>
      <c r="AK67" s="1369"/>
    </row>
    <row r="68" spans="1:37" s="1368" customFormat="1" ht="15">
      <c r="A68" s="2862" t="s">
        <v>2952</v>
      </c>
      <c r="B68" s="2863">
        <f>1+E70</f>
        <v>1.0497000000000001</v>
      </c>
      <c r="C68" s="812"/>
      <c r="D68" s="812"/>
      <c r="E68" s="813"/>
      <c r="F68" s="286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6" t="s">
        <v>2930</v>
      </c>
      <c r="B69" s="1807"/>
      <c r="C69" s="1807" t="s">
        <v>2932</v>
      </c>
      <c r="D69" s="1807" t="s">
        <v>2933</v>
      </c>
      <c r="E69" s="817" t="s">
        <v>2934</v>
      </c>
      <c r="F69" s="2867" t="s">
        <v>2950</v>
      </c>
      <c r="G69" s="1807" t="s">
        <v>754</v>
      </c>
      <c r="H69" s="2868" t="s">
        <v>2936</v>
      </c>
      <c r="I69" s="1807" t="s">
        <v>2937</v>
      </c>
      <c r="J69" s="602" t="s">
        <v>2586</v>
      </c>
      <c r="K69" s="602" t="s">
        <v>2587</v>
      </c>
      <c r="L69" s="602" t="s">
        <v>2588</v>
      </c>
      <c r="M69" s="602" t="s">
        <v>2589</v>
      </c>
      <c r="N69" s="602" t="s">
        <v>2590</v>
      </c>
      <c r="AA69" s="1369"/>
      <c r="AB69" s="1369"/>
      <c r="AC69" s="1369"/>
      <c r="AD69" s="1369"/>
      <c r="AE69" s="1369"/>
      <c r="AF69" s="1369"/>
      <c r="AG69" s="1369"/>
      <c r="AH69" s="1369"/>
      <c r="AI69" s="1369"/>
      <c r="AJ69" s="1369"/>
      <c r="AK69" s="1369"/>
    </row>
    <row r="70" spans="1:37" s="1368" customFormat="1" ht="89.25">
      <c r="A70" s="2866" t="s">
        <v>2953</v>
      </c>
      <c r="B70" s="2869" t="str">
        <f>估价对象房地状况!C15</f>
        <v>价对象周边有十字坡西里、民安小区、万国城MOMA等住宅成熟小区，居住用地比例较好，居住小区规模和社区发展完善程度较高，综合评价居住社区成熟度较好。</v>
      </c>
      <c r="C70" s="2766" t="s">
        <v>3112</v>
      </c>
      <c r="D70" s="1284">
        <f t="shared" ref="D70:D78" si="20">SUMIF($J$69:$N$69,C70,J70:N70)</f>
        <v>5.5999999999999999E-3</v>
      </c>
      <c r="E70" s="819">
        <f>ROUND(SUM(D70:D78),4)</f>
        <v>4.9700000000000001E-2</v>
      </c>
      <c r="F70" s="2499">
        <f>IF(E2="住宅",SUMIF(L1:L12,G2,N1:N12),"——")</f>
        <v>8.1000000000000003E-2</v>
      </c>
      <c r="G70" s="1282">
        <f>H70</f>
        <v>5.5999999999999999E-3</v>
      </c>
      <c r="H70" s="1286">
        <f t="shared" ref="H70:H78" si="21">IFERROR(ROUNDDOWN($F$70*I70/2,4),"——")</f>
        <v>5.5999999999999999E-3</v>
      </c>
      <c r="I70" s="818">
        <v>0.14000000000000001</v>
      </c>
      <c r="J70" s="1283">
        <f t="shared" ref="J70:J78" si="22">K70+$G70</f>
        <v>1.12E-2</v>
      </c>
      <c r="K70" s="1283">
        <f t="shared" ref="K70:K78" si="23">$L70+$G70</f>
        <v>5.5999999999999999E-3</v>
      </c>
      <c r="L70" s="1283">
        <v>0</v>
      </c>
      <c r="M70" s="1283">
        <f t="shared" ref="M70:N78" si="24">L70-$G70</f>
        <v>-5.5999999999999999E-3</v>
      </c>
      <c r="N70" s="1283">
        <f t="shared" si="24"/>
        <v>-1.12E-2</v>
      </c>
      <c r="AA70" s="1369"/>
      <c r="AB70" s="1369"/>
      <c r="AC70" s="1369"/>
      <c r="AD70" s="1369"/>
      <c r="AE70" s="1369"/>
      <c r="AF70" s="1369"/>
      <c r="AG70" s="1369"/>
      <c r="AH70" s="1369"/>
      <c r="AI70" s="1369"/>
      <c r="AJ70" s="1369"/>
      <c r="AK70" s="1369"/>
    </row>
    <row r="71" spans="1:37" s="1368" customFormat="1" ht="127.5">
      <c r="A71" s="2866" t="s">
        <v>2939</v>
      </c>
      <c r="B71" s="2870" t="str">
        <f>估价对象房地状况!C18</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C71" s="2766" t="s">
        <v>3112</v>
      </c>
      <c r="D71" s="1284">
        <f t="shared" si="20"/>
        <v>1.21E-2</v>
      </c>
      <c r="E71" s="824"/>
      <c r="F71" s="2499"/>
      <c r="G71" s="1282">
        <f t="shared" ref="G71:G78" si="25">H71</f>
        <v>1.21E-2</v>
      </c>
      <c r="H71" s="1286">
        <f t="shared" si="21"/>
        <v>1.21E-2</v>
      </c>
      <c r="I71" s="818">
        <v>0.3</v>
      </c>
      <c r="J71" s="1283">
        <f t="shared" si="22"/>
        <v>2.4199999999999999E-2</v>
      </c>
      <c r="K71" s="1283">
        <f t="shared" si="23"/>
        <v>1.21E-2</v>
      </c>
      <c r="L71" s="1283">
        <v>0</v>
      </c>
      <c r="M71" s="1283">
        <f t="shared" si="24"/>
        <v>-1.21E-2</v>
      </c>
      <c r="N71" s="1283">
        <f t="shared" si="24"/>
        <v>-2.4199999999999999E-2</v>
      </c>
      <c r="AA71" s="1369"/>
      <c r="AB71" s="1369"/>
      <c r="AC71" s="1369"/>
      <c r="AD71" s="1369"/>
      <c r="AE71" s="1369"/>
      <c r="AF71" s="1369"/>
      <c r="AG71" s="1369"/>
      <c r="AH71" s="1369"/>
      <c r="AI71" s="1369"/>
      <c r="AJ71" s="1369"/>
      <c r="AK71" s="1369"/>
    </row>
    <row r="72" spans="1:37" s="1368" customFormat="1" ht="24">
      <c r="A72" s="2866" t="s">
        <v>2940</v>
      </c>
      <c r="B72" s="2870">
        <f>估价对象房地状况!C19</f>
        <v>0</v>
      </c>
      <c r="C72" s="2766" t="s">
        <v>3112</v>
      </c>
      <c r="D72" s="1284">
        <f t="shared" si="20"/>
        <v>3.2000000000000002E-3</v>
      </c>
      <c r="E72" s="824"/>
      <c r="F72" s="2499"/>
      <c r="G72" s="1282">
        <f t="shared" si="25"/>
        <v>3.2000000000000002E-3</v>
      </c>
      <c r="H72" s="1286">
        <f t="shared" si="21"/>
        <v>3.2000000000000002E-3</v>
      </c>
      <c r="I72" s="818">
        <v>0.08</v>
      </c>
      <c r="J72" s="1283">
        <f t="shared" si="22"/>
        <v>6.4000000000000003E-3</v>
      </c>
      <c r="K72" s="1283">
        <f t="shared" si="23"/>
        <v>3.2000000000000002E-3</v>
      </c>
      <c r="L72" s="1283">
        <v>0</v>
      </c>
      <c r="M72" s="1283">
        <f t="shared" si="24"/>
        <v>-3.2000000000000002E-3</v>
      </c>
      <c r="N72" s="1283">
        <f t="shared" si="24"/>
        <v>-6.4000000000000003E-3</v>
      </c>
      <c r="AA72" s="1369"/>
      <c r="AB72" s="1369"/>
      <c r="AC72" s="1369"/>
      <c r="AD72" s="1369"/>
      <c r="AE72" s="1369"/>
      <c r="AF72" s="1369"/>
      <c r="AG72" s="1369"/>
      <c r="AH72" s="1369"/>
      <c r="AI72" s="1369"/>
      <c r="AJ72" s="1369"/>
      <c r="AK72" s="1369"/>
    </row>
    <row r="73" spans="1:37" s="1368" customFormat="1" ht="14.25">
      <c r="A73" s="2866" t="s">
        <v>2954</v>
      </c>
      <c r="B73" s="2870" t="str">
        <f>估价对象房地状况!C24</f>
        <v>主干道</v>
      </c>
      <c r="C73" s="2766" t="s">
        <v>3072</v>
      </c>
      <c r="D73" s="1284">
        <f t="shared" si="20"/>
        <v>3.2000000000000002E-3</v>
      </c>
      <c r="E73" s="824"/>
      <c r="F73" s="2499"/>
      <c r="G73" s="1282">
        <f t="shared" si="25"/>
        <v>1.6000000000000001E-3</v>
      </c>
      <c r="H73" s="1286">
        <f t="shared" si="21"/>
        <v>1.6000000000000001E-3</v>
      </c>
      <c r="I73" s="818">
        <v>0.04</v>
      </c>
      <c r="J73" s="1283">
        <f t="shared" si="22"/>
        <v>3.2000000000000002E-3</v>
      </c>
      <c r="K73" s="1283">
        <f t="shared" si="23"/>
        <v>1.6000000000000001E-3</v>
      </c>
      <c r="L73" s="1283">
        <v>0</v>
      </c>
      <c r="M73" s="1283">
        <f t="shared" si="24"/>
        <v>-1.6000000000000001E-3</v>
      </c>
      <c r="N73" s="1283">
        <f t="shared" si="24"/>
        <v>-3.2000000000000002E-3</v>
      </c>
      <c r="AA73" s="1369"/>
      <c r="AB73" s="1369"/>
      <c r="AC73" s="1369"/>
      <c r="AD73" s="1369"/>
      <c r="AE73" s="1369"/>
      <c r="AF73" s="1369"/>
      <c r="AG73" s="1369"/>
      <c r="AH73" s="1369"/>
      <c r="AI73" s="1369"/>
      <c r="AJ73" s="1369"/>
      <c r="AK73" s="1369"/>
    </row>
    <row r="74" spans="1:37" s="1368" customFormat="1" ht="76.5">
      <c r="A74" s="2866" t="s">
        <v>2946</v>
      </c>
      <c r="B74" s="1723" t="str">
        <f>估价对象房地状况!C21</f>
        <v>区域内有新中街幼儿园、西中街小学、东直门中学、北京中医药大学东直门医院、招商银行、华联超市等，公共服务设施较完善</v>
      </c>
      <c r="C74" s="2766" t="s">
        <v>3072</v>
      </c>
      <c r="D74" s="1284">
        <f t="shared" si="20"/>
        <v>6.4000000000000003E-3</v>
      </c>
      <c r="E74" s="824"/>
      <c r="F74" s="2499"/>
      <c r="G74" s="1282">
        <f t="shared" si="25"/>
        <v>3.2000000000000002E-3</v>
      </c>
      <c r="H74" s="1286">
        <f t="shared" si="21"/>
        <v>3.2000000000000002E-3</v>
      </c>
      <c r="I74" s="818">
        <v>0.08</v>
      </c>
      <c r="J74" s="1283">
        <f t="shared" si="22"/>
        <v>6.4000000000000003E-3</v>
      </c>
      <c r="K74" s="1283">
        <f t="shared" si="23"/>
        <v>3.2000000000000002E-3</v>
      </c>
      <c r="L74" s="1283">
        <v>0</v>
      </c>
      <c r="M74" s="1283">
        <f t="shared" si="24"/>
        <v>-3.2000000000000002E-3</v>
      </c>
      <c r="N74" s="1283">
        <f t="shared" si="24"/>
        <v>-6.4000000000000003E-3</v>
      </c>
      <c r="AA74" s="1369"/>
      <c r="AB74" s="1369"/>
      <c r="AC74" s="1369"/>
      <c r="AD74" s="1369"/>
      <c r="AE74" s="1369"/>
      <c r="AF74" s="1369"/>
      <c r="AG74" s="1369"/>
      <c r="AH74" s="1369"/>
      <c r="AI74" s="1369"/>
      <c r="AJ74" s="1369"/>
      <c r="AK74" s="1369"/>
    </row>
    <row r="75" spans="1:37" s="1368" customFormat="1" ht="38.25">
      <c r="A75" s="2866" t="s">
        <v>2947</v>
      </c>
      <c r="B75" s="1723" t="str">
        <f>估价对象房地状况!C22</f>
        <v>估价对象所在区域红线内外七通，市政供暖，基础设施水平好。</v>
      </c>
      <c r="C75" s="2766" t="s">
        <v>3072</v>
      </c>
      <c r="D75" s="1284">
        <f t="shared" si="20"/>
        <v>9.5999999999999992E-3</v>
      </c>
      <c r="E75" s="824"/>
      <c r="F75" s="2499"/>
      <c r="G75" s="1282">
        <f t="shared" si="25"/>
        <v>4.7999999999999996E-3</v>
      </c>
      <c r="H75" s="1286">
        <f t="shared" si="21"/>
        <v>4.7999999999999996E-3</v>
      </c>
      <c r="I75" s="818">
        <v>0.12</v>
      </c>
      <c r="J75" s="1283">
        <f t="shared" si="22"/>
        <v>9.5999999999999992E-3</v>
      </c>
      <c r="K75" s="1283">
        <f t="shared" si="23"/>
        <v>4.7999999999999996E-3</v>
      </c>
      <c r="L75" s="1283">
        <v>0</v>
      </c>
      <c r="M75" s="1283">
        <f t="shared" si="24"/>
        <v>-4.7999999999999996E-3</v>
      </c>
      <c r="N75" s="1283">
        <f t="shared" si="24"/>
        <v>-9.5999999999999992E-3</v>
      </c>
      <c r="AA75" s="1369"/>
      <c r="AB75" s="1369"/>
      <c r="AC75" s="1369"/>
      <c r="AD75" s="1369"/>
      <c r="AE75" s="1369"/>
      <c r="AF75" s="1369"/>
      <c r="AG75" s="1369"/>
      <c r="AH75" s="1369"/>
      <c r="AI75" s="1369"/>
      <c r="AJ75" s="1369"/>
      <c r="AK75" s="1369"/>
    </row>
    <row r="76" spans="1:37" s="2715" customFormat="1" ht="24">
      <c r="A76" s="2866" t="s">
        <v>2944</v>
      </c>
      <c r="B76" s="2872" t="s">
        <v>2945</v>
      </c>
      <c r="C76" s="2766" t="s">
        <v>3112</v>
      </c>
      <c r="D76" s="1284">
        <f t="shared" si="20"/>
        <v>2E-3</v>
      </c>
      <c r="E76" s="824"/>
      <c r="F76" s="2499"/>
      <c r="G76" s="1282">
        <f t="shared" si="25"/>
        <v>2E-3</v>
      </c>
      <c r="H76" s="1286">
        <f t="shared" si="21"/>
        <v>2E-3</v>
      </c>
      <c r="I76" s="818">
        <v>0.05</v>
      </c>
      <c r="J76" s="1283">
        <f t="shared" si="22"/>
        <v>4.0000000000000001E-3</v>
      </c>
      <c r="K76" s="1283">
        <f t="shared" si="23"/>
        <v>2E-3</v>
      </c>
      <c r="L76" s="1283">
        <v>0</v>
      </c>
      <c r="M76" s="1283">
        <f t="shared" si="24"/>
        <v>-2E-3</v>
      </c>
      <c r="N76" s="1283">
        <f t="shared" si="24"/>
        <v>-4.0000000000000001E-3</v>
      </c>
      <c r="AA76" s="2877"/>
      <c r="AB76" s="1369"/>
      <c r="AC76" s="1369"/>
      <c r="AD76" s="1369"/>
      <c r="AE76" s="1369"/>
      <c r="AF76" s="1369"/>
      <c r="AG76" s="1369"/>
      <c r="AH76" s="2877"/>
      <c r="AI76" s="2877"/>
      <c r="AJ76" s="2877"/>
      <c r="AK76" s="2877"/>
    </row>
    <row r="77" spans="1:37" ht="89.25">
      <c r="A77" s="2866" t="s">
        <v>2948</v>
      </c>
      <c r="B77" s="2869" t="str">
        <f>估价对象房地状况!C20</f>
        <v>区域内有新中街城市森林公园等，街道整洁，相邻路段无污染源，自然环境较好；区域内有保利剧院、中国医史博物馆等，人文环境较较好；综合评价环境状况较好。</v>
      </c>
      <c r="C77" s="2766" t="s">
        <v>3112</v>
      </c>
      <c r="D77" s="1284">
        <f t="shared" si="20"/>
        <v>6.0000000000000001E-3</v>
      </c>
      <c r="E77" s="824"/>
      <c r="F77" s="2499"/>
      <c r="G77" s="1282">
        <f t="shared" si="25"/>
        <v>6.0000000000000001E-3</v>
      </c>
      <c r="H77" s="1286">
        <f t="shared" si="21"/>
        <v>6.0000000000000001E-3</v>
      </c>
      <c r="I77" s="818">
        <v>0.15</v>
      </c>
      <c r="J77" s="1283">
        <f t="shared" si="22"/>
        <v>1.2E-2</v>
      </c>
      <c r="K77" s="1283">
        <f t="shared" si="23"/>
        <v>6.0000000000000001E-3</v>
      </c>
      <c r="L77" s="1283">
        <v>0</v>
      </c>
      <c r="M77" s="1283">
        <f t="shared" si="24"/>
        <v>-6.0000000000000001E-3</v>
      </c>
      <c r="N77" s="1283">
        <f t="shared" si="24"/>
        <v>-1.2E-2</v>
      </c>
      <c r="Z77" s="2716"/>
      <c r="AA77" s="2784"/>
      <c r="AG77" s="1370"/>
      <c r="AK77" s="2784"/>
    </row>
    <row r="78" spans="1:37" ht="24.75" thickBot="1">
      <c r="A78" s="2874" t="s">
        <v>2955</v>
      </c>
      <c r="B78" s="2878"/>
      <c r="C78" s="2766" t="s">
        <v>3112</v>
      </c>
      <c r="D78" s="1284">
        <f t="shared" si="20"/>
        <v>1.6000000000000001E-3</v>
      </c>
      <c r="E78" s="825"/>
      <c r="F78" s="2499"/>
      <c r="G78" s="1282">
        <f t="shared" si="25"/>
        <v>1.6000000000000001E-3</v>
      </c>
      <c r="H78" s="1286">
        <f t="shared" si="21"/>
        <v>1.6000000000000001E-3</v>
      </c>
      <c r="I78" s="822">
        <v>0.04</v>
      </c>
      <c r="J78" s="1283">
        <f t="shared" si="22"/>
        <v>3.2000000000000002E-3</v>
      </c>
      <c r="K78" s="1283">
        <f t="shared" si="23"/>
        <v>1.6000000000000001E-3</v>
      </c>
      <c r="L78" s="1283">
        <v>0</v>
      </c>
      <c r="M78" s="1283">
        <f t="shared" si="24"/>
        <v>-1.6000000000000001E-3</v>
      </c>
      <c r="N78" s="1283">
        <f t="shared" si="24"/>
        <v>-3.2000000000000002E-3</v>
      </c>
      <c r="Z78" s="2716"/>
      <c r="AA78" s="2784"/>
      <c r="AG78" s="1370"/>
      <c r="AK78" s="2784"/>
    </row>
    <row r="79" spans="1:37" ht="15" hidden="1">
      <c r="A79" s="2862" t="s">
        <v>2956</v>
      </c>
      <c r="B79" s="2863">
        <f>1+E81</f>
        <v>1</v>
      </c>
      <c r="C79" s="812"/>
      <c r="D79" s="812"/>
      <c r="E79" s="813"/>
      <c r="F79" s="2865"/>
      <c r="G79" s="6"/>
      <c r="H79" s="6"/>
      <c r="I79" s="6"/>
      <c r="J79" s="7"/>
      <c r="K79" s="7"/>
      <c r="L79" s="7"/>
      <c r="M79" s="7"/>
      <c r="N79" s="7"/>
      <c r="Z79" s="2716"/>
      <c r="AA79" s="2784"/>
      <c r="AG79" s="1370"/>
      <c r="AK79" s="2784"/>
    </row>
    <row r="80" spans="1:37" ht="24.75" hidden="1">
      <c r="A80" s="2866" t="s">
        <v>2930</v>
      </c>
      <c r="B80" s="1807"/>
      <c r="C80" s="1807" t="s">
        <v>2932</v>
      </c>
      <c r="D80" s="1807" t="s">
        <v>2933</v>
      </c>
      <c r="E80" s="817" t="s">
        <v>2934</v>
      </c>
      <c r="F80" s="2867" t="s">
        <v>2950</v>
      </c>
      <c r="G80" s="1807" t="s">
        <v>754</v>
      </c>
      <c r="H80" s="2868" t="s">
        <v>2936</v>
      </c>
      <c r="I80" s="1807" t="s">
        <v>2937</v>
      </c>
      <c r="J80" s="602" t="s">
        <v>2586</v>
      </c>
      <c r="K80" s="602" t="s">
        <v>2587</v>
      </c>
      <c r="L80" s="602" t="s">
        <v>2588</v>
      </c>
      <c r="M80" s="602" t="s">
        <v>2589</v>
      </c>
      <c r="N80" s="602" t="s">
        <v>2590</v>
      </c>
      <c r="Z80" s="2716"/>
      <c r="AA80" s="2784"/>
      <c r="AG80" s="1370"/>
      <c r="AK80" s="2784"/>
    </row>
    <row r="81" spans="1:37" ht="38.25" hidden="1">
      <c r="A81" s="2866" t="s">
        <v>2957</v>
      </c>
      <c r="B81" s="2870" t="str">
        <f>估价对象房地状况!G15</f>
        <v>估价对象位于XX开发区，园区建设成熟度XX，产业集聚程度XX</v>
      </c>
      <c r="C81" s="2766"/>
      <c r="D81" s="1284">
        <f t="shared" ref="D81:D88" si="26">SUMIF($J$80:$N$80,C81,J81:N81)</f>
        <v>0</v>
      </c>
      <c r="E81" s="819">
        <f>ROUND(SUM(D81:D88),4)</f>
        <v>0</v>
      </c>
      <c r="F81" s="2499" t="str">
        <f>IF(E2="工业",SUMIF(L1:L12,G2,N1:N12),"——")</f>
        <v>——</v>
      </c>
      <c r="G81" s="1282"/>
      <c r="H81" s="1286" t="str">
        <f t="shared" ref="H81:H88" si="27">IFERROR(ROUNDDOWN($F$81*I81/2,4),"——")</f>
        <v>——</v>
      </c>
      <c r="I81" s="818">
        <v>0.26</v>
      </c>
      <c r="J81" s="1283">
        <f t="shared" ref="J81:J88" si="28">K81+$G81</f>
        <v>0</v>
      </c>
      <c r="K81" s="1283">
        <f t="shared" ref="K81:K88" si="29">$L81+$G81</f>
        <v>0</v>
      </c>
      <c r="L81" s="1283">
        <v>0</v>
      </c>
      <c r="M81" s="1283">
        <f t="shared" ref="M81:N88" si="30">L81-$G81</f>
        <v>0</v>
      </c>
      <c r="N81" s="1283">
        <f t="shared" si="30"/>
        <v>0</v>
      </c>
      <c r="Z81" s="2716"/>
      <c r="AA81" s="2784"/>
      <c r="AG81" s="1370"/>
      <c r="AK81" s="2784"/>
    </row>
    <row r="82" spans="1:37" ht="51" hidden="1">
      <c r="A82" s="2866" t="s">
        <v>2939</v>
      </c>
      <c r="B82" s="2870" t="str">
        <f>估价对象房地状况!G16</f>
        <v>估价对象周边道路状况、公共交通通达情况、停车便捷程度，综合评价交通便捷度较好</v>
      </c>
      <c r="C82" s="2766"/>
      <c r="D82" s="1284">
        <f t="shared" si="26"/>
        <v>0</v>
      </c>
      <c r="E82" s="824"/>
      <c r="F82" s="2499"/>
      <c r="G82" s="1282"/>
      <c r="H82" s="1286" t="str">
        <f t="shared" si="27"/>
        <v>——</v>
      </c>
      <c r="I82" s="818">
        <v>0.33</v>
      </c>
      <c r="J82" s="1283">
        <f t="shared" si="28"/>
        <v>0</v>
      </c>
      <c r="K82" s="1283">
        <f t="shared" si="29"/>
        <v>0</v>
      </c>
      <c r="L82" s="1283">
        <v>0</v>
      </c>
      <c r="M82" s="1283">
        <f t="shared" si="30"/>
        <v>0</v>
      </c>
      <c r="N82" s="1283">
        <f t="shared" si="30"/>
        <v>0</v>
      </c>
      <c r="Z82" s="2716"/>
      <c r="AA82" s="2784"/>
      <c r="AG82" s="1370"/>
      <c r="AK82" s="2784"/>
    </row>
    <row r="83" spans="1:37" ht="24" hidden="1">
      <c r="A83" s="2866" t="s">
        <v>2940</v>
      </c>
      <c r="B83" s="2870">
        <f>估价对象房地状况!G17</f>
        <v>0</v>
      </c>
      <c r="C83" s="2766"/>
      <c r="D83" s="1284">
        <f t="shared" si="26"/>
        <v>0</v>
      </c>
      <c r="E83" s="824"/>
      <c r="F83" s="2499"/>
      <c r="G83" s="1282"/>
      <c r="H83" s="1286" t="str">
        <f t="shared" si="27"/>
        <v>——</v>
      </c>
      <c r="I83" s="818">
        <v>0.05</v>
      </c>
      <c r="J83" s="1283">
        <f t="shared" si="28"/>
        <v>0</v>
      </c>
      <c r="K83" s="1283">
        <f t="shared" si="29"/>
        <v>0</v>
      </c>
      <c r="L83" s="1283">
        <v>0</v>
      </c>
      <c r="M83" s="1283">
        <f t="shared" si="30"/>
        <v>0</v>
      </c>
      <c r="N83" s="1283">
        <f t="shared" si="30"/>
        <v>0</v>
      </c>
      <c r="Z83" s="2716"/>
      <c r="AA83" s="2784"/>
      <c r="AG83" s="1370"/>
      <c r="AK83" s="2784"/>
    </row>
    <row r="84" spans="1:37" ht="14.25" hidden="1">
      <c r="A84" s="2866" t="s">
        <v>2954</v>
      </c>
      <c r="B84" s="2870">
        <f>估价对象房地状况!G22</f>
        <v>0</v>
      </c>
      <c r="C84" s="2766"/>
      <c r="D84" s="1284">
        <f t="shared" si="26"/>
        <v>0</v>
      </c>
      <c r="E84" s="824"/>
      <c r="F84" s="2499"/>
      <c r="G84" s="1282"/>
      <c r="H84" s="1286" t="str">
        <f t="shared" si="27"/>
        <v>——</v>
      </c>
      <c r="I84" s="818">
        <v>0.04</v>
      </c>
      <c r="J84" s="1283">
        <f t="shared" si="28"/>
        <v>0</v>
      </c>
      <c r="K84" s="1283">
        <f t="shared" si="29"/>
        <v>0</v>
      </c>
      <c r="L84" s="1283">
        <v>0</v>
      </c>
      <c r="M84" s="1283">
        <f t="shared" si="30"/>
        <v>0</v>
      </c>
      <c r="N84" s="1283">
        <f t="shared" si="30"/>
        <v>0</v>
      </c>
      <c r="Z84" s="2716"/>
      <c r="AA84" s="2784"/>
      <c r="AG84" s="1370"/>
      <c r="AK84" s="2784"/>
    </row>
    <row r="85" spans="1:37" ht="25.5" hidden="1">
      <c r="A85" s="2866" t="s">
        <v>2946</v>
      </c>
      <c r="B85" s="1723" t="str">
        <f>估价对象房地状况!G19</f>
        <v>估价对象所在区域公共配套设施齐备情况</v>
      </c>
      <c r="C85" s="2766"/>
      <c r="D85" s="1284">
        <f t="shared" si="26"/>
        <v>0</v>
      </c>
      <c r="E85" s="824"/>
      <c r="F85" s="2499"/>
      <c r="G85" s="1282"/>
      <c r="H85" s="1286" t="str">
        <f t="shared" si="27"/>
        <v>——</v>
      </c>
      <c r="I85" s="818">
        <v>0.06</v>
      </c>
      <c r="J85" s="1283">
        <f t="shared" si="28"/>
        <v>0</v>
      </c>
      <c r="K85" s="1283">
        <f t="shared" si="29"/>
        <v>0</v>
      </c>
      <c r="L85" s="1283">
        <v>0</v>
      </c>
      <c r="M85" s="1283">
        <f t="shared" si="30"/>
        <v>0</v>
      </c>
      <c r="N85" s="1283">
        <f t="shared" si="30"/>
        <v>0</v>
      </c>
      <c r="Z85" s="2716"/>
      <c r="AA85" s="2784"/>
      <c r="AG85" s="1370"/>
      <c r="AK85" s="2784"/>
    </row>
    <row r="86" spans="1:37" ht="25.5" hidden="1">
      <c r="A86" s="2866" t="s">
        <v>2947</v>
      </c>
      <c r="B86" s="1723" t="str">
        <f>估价对象房地状况!G20</f>
        <v>估价对象所在区域基础设施水平</v>
      </c>
      <c r="C86" s="2766"/>
      <c r="D86" s="1284">
        <f t="shared" si="26"/>
        <v>0</v>
      </c>
      <c r="E86" s="824"/>
      <c r="F86" s="2499"/>
      <c r="G86" s="1282"/>
      <c r="H86" s="1286" t="str">
        <f t="shared" si="27"/>
        <v>——</v>
      </c>
      <c r="I86" s="818">
        <v>0.15</v>
      </c>
      <c r="J86" s="1283">
        <f t="shared" si="28"/>
        <v>0</v>
      </c>
      <c r="K86" s="1283">
        <f t="shared" si="29"/>
        <v>0</v>
      </c>
      <c r="L86" s="1283">
        <v>0</v>
      </c>
      <c r="M86" s="1283">
        <f t="shared" si="30"/>
        <v>0</v>
      </c>
      <c r="N86" s="1283">
        <f t="shared" si="30"/>
        <v>0</v>
      </c>
      <c r="Z86" s="2716"/>
      <c r="AA86" s="2784"/>
      <c r="AG86" s="1370"/>
      <c r="AK86" s="2784"/>
    </row>
    <row r="87" spans="1:37" ht="24" hidden="1">
      <c r="A87" s="2866" t="s">
        <v>2944</v>
      </c>
      <c r="B87" s="2872" t="s">
        <v>2958</v>
      </c>
      <c r="C87" s="2766"/>
      <c r="D87" s="1284">
        <f t="shared" si="26"/>
        <v>0</v>
      </c>
      <c r="E87" s="824"/>
      <c r="F87" s="2499"/>
      <c r="G87" s="1282"/>
      <c r="H87" s="1286" t="str">
        <f t="shared" si="27"/>
        <v>——</v>
      </c>
      <c r="I87" s="818">
        <v>0.05</v>
      </c>
      <c r="J87" s="1283">
        <f t="shared" si="28"/>
        <v>0</v>
      </c>
      <c r="K87" s="1283">
        <f t="shared" si="29"/>
        <v>0</v>
      </c>
      <c r="L87" s="1283">
        <v>0</v>
      </c>
      <c r="M87" s="1283">
        <f t="shared" si="30"/>
        <v>0</v>
      </c>
      <c r="N87" s="1283">
        <f t="shared" si="30"/>
        <v>0</v>
      </c>
      <c r="Z87" s="2716"/>
      <c r="AA87" s="2784"/>
      <c r="AG87" s="1370"/>
      <c r="AK87" s="2784"/>
    </row>
    <row r="88" spans="1:37" ht="39" hidden="1" thickBot="1">
      <c r="A88" s="2874" t="s">
        <v>2959</v>
      </c>
      <c r="B88" s="2879" t="str">
        <f>估价对象房地状况!G18</f>
        <v>该园区内是否有污染型企业，绿化情况，卫生条件，整体环境状况判断</v>
      </c>
      <c r="C88" s="2766"/>
      <c r="D88" s="1284">
        <f t="shared" si="26"/>
        <v>0</v>
      </c>
      <c r="E88" s="825"/>
      <c r="F88" s="2499"/>
      <c r="G88" s="1282"/>
      <c r="H88" s="1286" t="str">
        <f t="shared" si="27"/>
        <v>——</v>
      </c>
      <c r="I88" s="822">
        <v>0.06</v>
      </c>
      <c r="J88" s="1283">
        <f t="shared" si="28"/>
        <v>0</v>
      </c>
      <c r="K88" s="1283">
        <f t="shared" si="29"/>
        <v>0</v>
      </c>
      <c r="L88" s="1283">
        <v>0</v>
      </c>
      <c r="M88" s="1283">
        <f t="shared" si="30"/>
        <v>0</v>
      </c>
      <c r="N88" s="1283">
        <f t="shared" si="30"/>
        <v>0</v>
      </c>
      <c r="Z88" s="2716"/>
      <c r="AA88" s="2784"/>
      <c r="AG88" s="1370"/>
      <c r="AK88" s="2784"/>
    </row>
    <row r="90" spans="1:37">
      <c r="A90" s="3338" t="s">
        <v>2960</v>
      </c>
      <c r="B90" s="3338"/>
      <c r="C90" s="3338"/>
      <c r="D90" s="3338"/>
      <c r="E90" s="3338"/>
      <c r="F90" s="3338"/>
      <c r="G90" s="3338"/>
      <c r="H90" s="3338"/>
      <c r="I90" s="3338"/>
      <c r="J90" s="3338"/>
      <c r="K90" s="2880"/>
      <c r="L90" s="2880"/>
      <c r="M90" s="2880"/>
      <c r="N90" s="2880"/>
    </row>
    <row r="91" spans="1:37">
      <c r="A91" s="3340" t="s">
        <v>2961</v>
      </c>
      <c r="B91" s="3340" t="s">
        <v>2962</v>
      </c>
      <c r="C91" s="2834" t="s">
        <v>2963</v>
      </c>
      <c r="D91" s="2835"/>
      <c r="E91" s="2835"/>
      <c r="F91" s="2835"/>
      <c r="G91" s="2835"/>
      <c r="H91" s="2835"/>
      <c r="I91" s="2835"/>
      <c r="J91" s="2881"/>
      <c r="K91" s="2882"/>
      <c r="L91" s="2882"/>
      <c r="M91" s="2882"/>
      <c r="N91" s="2882"/>
    </row>
    <row r="92" spans="1:37">
      <c r="A92" s="3340"/>
      <c r="B92" s="3340"/>
      <c r="C92" s="940" t="s">
        <v>2830</v>
      </c>
      <c r="D92" s="940" t="s">
        <v>2831</v>
      </c>
      <c r="E92" s="940" t="s">
        <v>2832</v>
      </c>
      <c r="F92" s="940" t="s">
        <v>2833</v>
      </c>
      <c r="G92" s="940" t="s">
        <v>2834</v>
      </c>
      <c r="H92" s="940" t="s">
        <v>2835</v>
      </c>
      <c r="I92" s="940" t="s">
        <v>2836</v>
      </c>
      <c r="J92" s="940" t="s">
        <v>2837</v>
      </c>
      <c r="K92" s="940" t="s">
        <v>2838</v>
      </c>
      <c r="L92" s="940" t="s">
        <v>2839</v>
      </c>
      <c r="M92" s="940" t="s">
        <v>2840</v>
      </c>
      <c r="N92" s="940" t="s">
        <v>2841</v>
      </c>
    </row>
    <row r="93" spans="1:37">
      <c r="A93" s="3341" t="s">
        <v>2964</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42"/>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42"/>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42"/>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42"/>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42"/>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42"/>
      <c r="B99" s="2883" t="s">
        <v>2846</v>
      </c>
      <c r="C99" s="2885">
        <f>$I$3</f>
        <v>31</v>
      </c>
      <c r="D99" s="2885">
        <f t="shared" ref="D99:M99" si="31">$I$3</f>
        <v>31</v>
      </c>
      <c r="E99" s="2885">
        <f t="shared" si="31"/>
        <v>31</v>
      </c>
      <c r="F99" s="2885">
        <f t="shared" si="31"/>
        <v>31</v>
      </c>
      <c r="G99" s="2885">
        <f t="shared" si="31"/>
        <v>31</v>
      </c>
      <c r="H99" s="2885">
        <f t="shared" si="31"/>
        <v>31</v>
      </c>
      <c r="I99" s="2885">
        <f t="shared" si="31"/>
        <v>31</v>
      </c>
      <c r="J99" s="2885">
        <f t="shared" si="31"/>
        <v>31</v>
      </c>
      <c r="K99" s="2885">
        <f t="shared" si="31"/>
        <v>31</v>
      </c>
      <c r="L99" s="2885">
        <f t="shared" si="31"/>
        <v>31</v>
      </c>
      <c r="M99" s="2885">
        <f t="shared" si="31"/>
        <v>31</v>
      </c>
      <c r="N99" s="2885">
        <f>$I$3</f>
        <v>31</v>
      </c>
    </row>
    <row r="100" spans="1:14">
      <c r="A100" s="3343"/>
      <c r="B100" s="2883">
        <v>7</v>
      </c>
      <c r="C100" s="2886">
        <f>(-0.163*(C99^2)-0.59*C99+7617)*(10^(-4))</f>
        <v>0.7442067</v>
      </c>
      <c r="D100" s="2886">
        <f>(-0.163*(D99^2)-0.59*D99+7617)*(10^(-4))</f>
        <v>0.7442067</v>
      </c>
      <c r="E100" s="2886">
        <f>(-0.161*(E99^2)-7.509*E99+6533)*(10^(-4))</f>
        <v>0.61455000000000004</v>
      </c>
      <c r="F100" s="2886">
        <f>(-0.161*(F99^2)-7.509*F99+6533)*(10^(-4))</f>
        <v>0.61455000000000004</v>
      </c>
      <c r="G100" s="2886">
        <f>(-0.161*(G99^2)-7.509*G99+6533)*(10^(-4))</f>
        <v>0.61455000000000004</v>
      </c>
      <c r="H100" s="2886">
        <f>(-0.161*(H99^2)-7.509*H99+6533)*(10^(-4))</f>
        <v>0.61455000000000004</v>
      </c>
      <c r="I100" s="2886">
        <f>(-0.161*(I99^2)-7.509*I99+6533)*(10^(-4))</f>
        <v>0.61455000000000004</v>
      </c>
      <c r="J100" s="2886">
        <f>(-0.214*(J99^2)-21.991*J99+4665)*(10^(-4))</f>
        <v>0.3777625</v>
      </c>
      <c r="K100" s="2886">
        <f>(-0.214*(K99^2)-21.991*K99+4665)*(10^(-4))</f>
        <v>0.3777625</v>
      </c>
      <c r="L100" s="2886">
        <f>(-0.214*(L99^2)-21.991*L99+4665)*(10^(-4))</f>
        <v>0.3777625</v>
      </c>
      <c r="M100" s="2886">
        <f>(-0.214*(M99^2)-21.991*M99+4665)*(10^(-4))</f>
        <v>0.3777625</v>
      </c>
      <c r="N100" s="2886">
        <f>(-0.214*(N99^2)-21.991*N99+4665)*(10^(-4))</f>
        <v>0.3777625</v>
      </c>
    </row>
    <row r="101" spans="1:14">
      <c r="A101" s="3341" t="s">
        <v>2965</v>
      </c>
      <c r="B101" s="2887" t="s">
        <v>2966</v>
      </c>
      <c r="C101" s="2888">
        <f>$G$3</f>
        <v>9.8699999999999992</v>
      </c>
      <c r="D101" s="2888">
        <f t="shared" ref="D101:N101" si="32">$G$3</f>
        <v>9.8699999999999992</v>
      </c>
      <c r="E101" s="2888">
        <f t="shared" si="32"/>
        <v>9.8699999999999992</v>
      </c>
      <c r="F101" s="2888">
        <f t="shared" si="32"/>
        <v>9.8699999999999992</v>
      </c>
      <c r="G101" s="2888">
        <f t="shared" si="32"/>
        <v>9.8699999999999992</v>
      </c>
      <c r="H101" s="2888">
        <f t="shared" si="32"/>
        <v>9.8699999999999992</v>
      </c>
      <c r="I101" s="2888">
        <f t="shared" si="32"/>
        <v>9.8699999999999992</v>
      </c>
      <c r="J101" s="2888">
        <f t="shared" si="32"/>
        <v>9.8699999999999992</v>
      </c>
      <c r="K101" s="2888">
        <f t="shared" si="32"/>
        <v>9.8699999999999992</v>
      </c>
      <c r="L101" s="2888">
        <f t="shared" si="32"/>
        <v>9.8699999999999992</v>
      </c>
      <c r="M101" s="2888">
        <f t="shared" si="32"/>
        <v>9.8699999999999992</v>
      </c>
      <c r="N101" s="2888">
        <f t="shared" si="32"/>
        <v>9.8699999999999992</v>
      </c>
    </row>
    <row r="102" spans="1:14">
      <c r="A102" s="3342"/>
      <c r="B102" s="2883">
        <v>1</v>
      </c>
      <c r="C102" s="2884">
        <f>1.9362/C101</f>
        <v>0.19617021276595745</v>
      </c>
      <c r="D102" s="2884">
        <f>1.9362/D101</f>
        <v>0.19617021276595745</v>
      </c>
      <c r="E102" s="2884">
        <f>1.8629/E101</f>
        <v>0.18874366767983791</v>
      </c>
      <c r="F102" s="2884">
        <f>1.8629/F101</f>
        <v>0.18874366767983791</v>
      </c>
      <c r="G102" s="2884">
        <f>1.8629/G101</f>
        <v>0.18874366767983791</v>
      </c>
      <c r="H102" s="2884">
        <f>1.8629/H101</f>
        <v>0.18874366767983791</v>
      </c>
      <c r="I102" s="2884">
        <f>1.8629/I101</f>
        <v>0.18874366767983791</v>
      </c>
      <c r="J102" s="2884">
        <f>1.942/J101</f>
        <v>0.19675785207700103</v>
      </c>
      <c r="K102" s="2884">
        <f>1.942/K101</f>
        <v>0.19675785207700103</v>
      </c>
      <c r="L102" s="2884">
        <f>1.942/L101</f>
        <v>0.19675785207700103</v>
      </c>
      <c r="M102" s="2884">
        <f>1.942/M101</f>
        <v>0.19675785207700103</v>
      </c>
      <c r="N102" s="2884">
        <f>1.942/N101</f>
        <v>0.19675785207700103</v>
      </c>
    </row>
    <row r="103" spans="1:14">
      <c r="A103" s="3342"/>
      <c r="B103" s="2883">
        <v>2</v>
      </c>
      <c r="C103" s="2884">
        <f>1.4198/C101</f>
        <v>0.1438500506585613</v>
      </c>
      <c r="D103" s="2884">
        <f>1.4198/D101</f>
        <v>0.1438500506585613</v>
      </c>
      <c r="E103" s="2884">
        <f>1.3372/E101</f>
        <v>0.13548125633232017</v>
      </c>
      <c r="F103" s="2884">
        <f>1.3372/F101</f>
        <v>0.13548125633232017</v>
      </c>
      <c r="G103" s="2884">
        <f>1.3372/G101</f>
        <v>0.13548125633232017</v>
      </c>
      <c r="H103" s="2884">
        <f>1.3372/H101</f>
        <v>0.13548125633232017</v>
      </c>
      <c r="I103" s="2884">
        <f>1.3372/I101</f>
        <v>0.13548125633232017</v>
      </c>
      <c r="J103" s="2884">
        <f>1.2799/J101</f>
        <v>0.12967578520770012</v>
      </c>
      <c r="K103" s="2884">
        <f>1.2799/K101</f>
        <v>0.12967578520770012</v>
      </c>
      <c r="L103" s="2884">
        <f>1.2799/L101</f>
        <v>0.12967578520770012</v>
      </c>
      <c r="M103" s="2884">
        <f>1.2799/M101</f>
        <v>0.12967578520770012</v>
      </c>
      <c r="N103" s="2884">
        <f>1.2799/N101</f>
        <v>0.12967578520770012</v>
      </c>
    </row>
    <row r="104" spans="1:14">
      <c r="A104" s="3342"/>
      <c r="B104" s="2883">
        <v>3</v>
      </c>
      <c r="C104" s="2884">
        <f>1.1594/C101</f>
        <v>0.11746707193515706</v>
      </c>
      <c r="D104" s="2884">
        <f>1.1594/D101</f>
        <v>0.11746707193515706</v>
      </c>
      <c r="E104" s="2884">
        <f>1.0788/E101</f>
        <v>0.10930091185410334</v>
      </c>
      <c r="F104" s="2884">
        <f>1.0788/F101</f>
        <v>0.10930091185410334</v>
      </c>
      <c r="G104" s="2884">
        <f>1.0788/G101</f>
        <v>0.10930091185410334</v>
      </c>
      <c r="H104" s="2884">
        <f>1.0788/H101</f>
        <v>0.10930091185410334</v>
      </c>
      <c r="I104" s="2884">
        <f>1.0788/I101</f>
        <v>0.10930091185410334</v>
      </c>
      <c r="J104" s="2884">
        <f>1.0072/J101</f>
        <v>0.10204660587639312</v>
      </c>
      <c r="K104" s="2884">
        <f>1.0072/K101</f>
        <v>0.10204660587639312</v>
      </c>
      <c r="L104" s="2884">
        <f>1.0072/L101</f>
        <v>0.10204660587639312</v>
      </c>
      <c r="M104" s="2884">
        <f>1.0072/M101</f>
        <v>0.10204660587639312</v>
      </c>
      <c r="N104" s="2884">
        <f>1.0072/N101</f>
        <v>0.10204660587639312</v>
      </c>
    </row>
    <row r="105" spans="1:14">
      <c r="A105" s="3342"/>
      <c r="B105" s="2883">
        <v>4</v>
      </c>
      <c r="C105" s="2884">
        <f>0.9622/C101</f>
        <v>9.7487335359675797E-2</v>
      </c>
      <c r="D105" s="2884">
        <f>0.9622/D101</f>
        <v>9.7487335359675797E-2</v>
      </c>
      <c r="E105" s="2884">
        <f>0.8656/E101</f>
        <v>8.7700101317122608E-2</v>
      </c>
      <c r="F105" s="2884">
        <f>0.8656/F101</f>
        <v>8.7700101317122608E-2</v>
      </c>
      <c r="G105" s="2884">
        <f>0.8656/G101</f>
        <v>8.7700101317122608E-2</v>
      </c>
      <c r="H105" s="2884">
        <f>0.8656/H101</f>
        <v>8.7700101317122608E-2</v>
      </c>
      <c r="I105" s="2884">
        <f>0.8656/I101</f>
        <v>8.7700101317122608E-2</v>
      </c>
      <c r="J105" s="2884">
        <f>0.7525/J101</f>
        <v>7.6241134751773049E-2</v>
      </c>
      <c r="K105" s="2884">
        <f>0.7525/K101</f>
        <v>7.6241134751773049E-2</v>
      </c>
      <c r="L105" s="2884">
        <f>0.7525/L101</f>
        <v>7.6241134751773049E-2</v>
      </c>
      <c r="M105" s="2884">
        <f>0.7525/M101</f>
        <v>7.6241134751773049E-2</v>
      </c>
      <c r="N105" s="2884">
        <f>0.7525/N101</f>
        <v>7.6241134751773049E-2</v>
      </c>
    </row>
    <row r="106" spans="1:14">
      <c r="A106" s="3342"/>
      <c r="B106" s="2883">
        <v>5</v>
      </c>
      <c r="C106" s="2884">
        <f>0.8417/C101</f>
        <v>8.527862208713273E-2</v>
      </c>
      <c r="D106" s="2884">
        <f>0.8417/D101</f>
        <v>8.527862208713273E-2</v>
      </c>
      <c r="E106" s="2884">
        <f>0.7371/E101</f>
        <v>7.4680851063829795E-2</v>
      </c>
      <c r="F106" s="2884">
        <f>0.7371/F101</f>
        <v>7.4680851063829795E-2</v>
      </c>
      <c r="G106" s="2884">
        <f>0.7371/G101</f>
        <v>7.4680851063829795E-2</v>
      </c>
      <c r="H106" s="2884">
        <f>0.7371/H101</f>
        <v>7.4680851063829795E-2</v>
      </c>
      <c r="I106" s="2884">
        <f>0.7371/I101</f>
        <v>7.4680851063829795E-2</v>
      </c>
      <c r="J106" s="2884">
        <f>0.5659/J101</f>
        <v>5.7335359675785208E-2</v>
      </c>
      <c r="K106" s="2884">
        <f>0.5659/K101</f>
        <v>5.7335359675785208E-2</v>
      </c>
      <c r="L106" s="2884">
        <f>0.5659/L101</f>
        <v>5.7335359675785208E-2</v>
      </c>
      <c r="M106" s="2884">
        <f>0.5659/M101</f>
        <v>5.7335359675785208E-2</v>
      </c>
      <c r="N106" s="2884">
        <f>0.5659/N101</f>
        <v>5.7335359675785208E-2</v>
      </c>
    </row>
    <row r="107" spans="1:14">
      <c r="A107" s="3342"/>
      <c r="B107" s="2883">
        <v>6</v>
      </c>
      <c r="C107" s="2884">
        <f>0.7608/C101</f>
        <v>7.7082066869300928E-2</v>
      </c>
      <c r="D107" s="2884">
        <f>0.7608/D101</f>
        <v>7.7082066869300928E-2</v>
      </c>
      <c r="E107" s="2884">
        <f>0.6482/E101</f>
        <v>6.5673758865248233E-2</v>
      </c>
      <c r="F107" s="2884">
        <f>0.6482/F101</f>
        <v>6.5673758865248233E-2</v>
      </c>
      <c r="G107" s="2884">
        <f>0.6482/G101</f>
        <v>6.5673758865248233E-2</v>
      </c>
      <c r="H107" s="2884">
        <f>0.6482/H101</f>
        <v>6.5673758865248233E-2</v>
      </c>
      <c r="I107" s="2884">
        <f>0.6482/I101</f>
        <v>6.5673758865248233E-2</v>
      </c>
      <c r="J107" s="2884">
        <f>0.4525/J101</f>
        <v>4.584599797365755E-2</v>
      </c>
      <c r="K107" s="2884">
        <f>0.4525/K101</f>
        <v>4.584599797365755E-2</v>
      </c>
      <c r="L107" s="2884">
        <f>0.4525/L101</f>
        <v>4.584599797365755E-2</v>
      </c>
      <c r="M107" s="2884">
        <f>0.4525/M101</f>
        <v>4.584599797365755E-2</v>
      </c>
      <c r="N107" s="2884">
        <f>0.4525/N101</f>
        <v>4.584599797365755E-2</v>
      </c>
    </row>
    <row r="108" spans="1:14">
      <c r="A108" s="3342"/>
      <c r="B108" s="3182" t="s">
        <v>2967</v>
      </c>
      <c r="C108" s="2885">
        <f>C99</f>
        <v>31</v>
      </c>
      <c r="D108" s="2885">
        <f t="shared" ref="D108:N108" si="33">D99</f>
        <v>31</v>
      </c>
      <c r="E108" s="2885">
        <f t="shared" si="33"/>
        <v>31</v>
      </c>
      <c r="F108" s="2885">
        <f t="shared" si="33"/>
        <v>31</v>
      </c>
      <c r="G108" s="2885">
        <f t="shared" si="33"/>
        <v>31</v>
      </c>
      <c r="H108" s="2885">
        <f t="shared" si="33"/>
        <v>31</v>
      </c>
      <c r="I108" s="2885">
        <f t="shared" si="33"/>
        <v>31</v>
      </c>
      <c r="J108" s="2885">
        <f t="shared" si="33"/>
        <v>31</v>
      </c>
      <c r="K108" s="2885">
        <f t="shared" si="33"/>
        <v>31</v>
      </c>
      <c r="L108" s="2885">
        <f t="shared" si="33"/>
        <v>31</v>
      </c>
      <c r="M108" s="2885">
        <f t="shared" si="33"/>
        <v>31</v>
      </c>
      <c r="N108" s="2885">
        <f t="shared" si="33"/>
        <v>31</v>
      </c>
    </row>
    <row r="109" spans="1:14">
      <c r="A109" s="3343"/>
      <c r="B109" s="3183"/>
      <c r="C109" s="2886">
        <f>(-0.163*(C108^2)-0.59*C108+7617)*(10^(-4))/C101</f>
        <v>7.5400881458966576E-2</v>
      </c>
      <c r="D109" s="2886">
        <f>(-0.163*(D108^2)-0.59*D108+7617)*(10^(-4))/D101</f>
        <v>7.5400881458966576E-2</v>
      </c>
      <c r="E109" s="2886">
        <f>(-0.161*(E108^2)-7.509*E108+6533)*(10^(-4))/E101</f>
        <v>6.2264437689969615E-2</v>
      </c>
      <c r="F109" s="2886">
        <f>(-0.161*(F108^2)-7.509*F108+6533)*(10^(-4))/F101</f>
        <v>6.2264437689969615E-2</v>
      </c>
      <c r="G109" s="2886">
        <f>(-0.161*(G108^2)-7.509*G108+6533)*(10^(-4))/G101</f>
        <v>6.2264437689969615E-2</v>
      </c>
      <c r="H109" s="2886">
        <f>(-0.161*(H108^2)-7.509*H108+6533)*(10^(-4))/H101</f>
        <v>6.2264437689969615E-2</v>
      </c>
      <c r="I109" s="2886">
        <f>(-0.161*(I108^2)-7.509*I108+6533)*(10^(-4))/I101</f>
        <v>6.2264437689969615E-2</v>
      </c>
      <c r="J109" s="2886">
        <f>(-0.214*(J108^2)-21.991*J108+4665)*(10^(-4))/J101</f>
        <v>3.8273809523809529E-2</v>
      </c>
      <c r="K109" s="2886">
        <f>(-0.214*(K108^2)-21.991*K108+4665)*(10^(-4))/K101</f>
        <v>3.8273809523809529E-2</v>
      </c>
      <c r="L109" s="2886">
        <f>(-0.214*(L108^2)-21.991*L108+4665)*(10^(-4))/L101</f>
        <v>3.8273809523809529E-2</v>
      </c>
      <c r="M109" s="2886">
        <f>(-0.214*(M108^2)-21.991*M108+4665)*(10^(-4))/M101</f>
        <v>3.8273809523809529E-2</v>
      </c>
      <c r="N109" s="2886">
        <f>(-0.214*(N108^2)-21.991*N108+4665)*(10^(-4))/N101</f>
        <v>3.8273809523809529E-2</v>
      </c>
    </row>
    <row r="110" spans="1:14">
      <c r="A110" s="3339" t="s">
        <v>2968</v>
      </c>
      <c r="B110" s="3339"/>
      <c r="C110" s="3339"/>
      <c r="D110" s="3339"/>
      <c r="E110" s="3339"/>
      <c r="F110" s="3339"/>
      <c r="G110" s="3339"/>
      <c r="H110" s="3339"/>
      <c r="I110" s="3339"/>
      <c r="J110" s="3339"/>
      <c r="K110" s="2889"/>
      <c r="L110" s="2889"/>
      <c r="M110" s="2889"/>
      <c r="N110" s="2889"/>
    </row>
    <row r="112" spans="1:14" ht="13.5" thickBot="1"/>
    <row r="113" spans="1:13" ht="25.5" thickBot="1">
      <c r="A113" s="901" t="s">
        <v>2969</v>
      </c>
      <c r="B113" s="1285">
        <f>G3</f>
        <v>9.8699999999999992</v>
      </c>
      <c r="C113" s="902" t="s">
        <v>2970</v>
      </c>
      <c r="D113" s="903">
        <f>SUMPRODUCT((A115:A118=F113)*(B114:M114=H113)*B115:M118)</f>
        <v>0.8216</v>
      </c>
      <c r="E113" s="2720" t="s">
        <v>2803</v>
      </c>
      <c r="F113" s="2891" t="str">
        <f>E2</f>
        <v>住宅</v>
      </c>
      <c r="G113" s="2720" t="s">
        <v>2804</v>
      </c>
      <c r="H113" s="2891" t="str">
        <f>G2</f>
        <v>二级</v>
      </c>
      <c r="I113" s="2720"/>
      <c r="J113" s="2892"/>
      <c r="K113" s="2892"/>
      <c r="L113" s="2892"/>
      <c r="M113" s="2892"/>
    </row>
    <row r="114" spans="1:13">
      <c r="A114" s="906"/>
      <c r="B114" s="2893" t="s">
        <v>2971</v>
      </c>
      <c r="C114" s="2893" t="s">
        <v>2972</v>
      </c>
      <c r="D114" s="2893" t="s">
        <v>2973</v>
      </c>
      <c r="E114" s="2894" t="s">
        <v>2974</v>
      </c>
      <c r="F114" s="2894" t="s">
        <v>2975</v>
      </c>
      <c r="G114" s="2894" t="s">
        <v>2976</v>
      </c>
      <c r="H114" s="2895" t="s">
        <v>2977</v>
      </c>
      <c r="I114" s="2895" t="s">
        <v>2978</v>
      </c>
      <c r="J114" s="2896" t="s">
        <v>2979</v>
      </c>
      <c r="K114" s="2896" t="s">
        <v>2980</v>
      </c>
      <c r="L114" s="2896" t="s">
        <v>2981</v>
      </c>
      <c r="M114" s="2897" t="s">
        <v>2982</v>
      </c>
    </row>
    <row r="115" spans="1:13">
      <c r="A115" s="907" t="s">
        <v>2868</v>
      </c>
      <c r="B115" s="908">
        <f>ROUND(0.9335-0.0094*B113,4)</f>
        <v>0.8407</v>
      </c>
      <c r="C115" s="908">
        <f>B115</f>
        <v>0.8407</v>
      </c>
      <c r="D115" s="908">
        <f>ROUND(0.8331-0.0109*B113,4)</f>
        <v>0.72550000000000003</v>
      </c>
      <c r="E115" s="908">
        <f>D115</f>
        <v>0.72550000000000003</v>
      </c>
      <c r="F115" s="908">
        <f>E115</f>
        <v>0.72550000000000003</v>
      </c>
      <c r="G115" s="908">
        <f>F115</f>
        <v>0.72550000000000003</v>
      </c>
      <c r="H115" s="908">
        <f>G115</f>
        <v>0.72550000000000003</v>
      </c>
      <c r="I115" s="908">
        <f>ROUND(0.689-0.0155*B113,4)</f>
        <v>0.53600000000000003</v>
      </c>
      <c r="J115" s="908">
        <f t="shared" ref="J115:M118" si="34">I115</f>
        <v>0.53600000000000003</v>
      </c>
      <c r="K115" s="908">
        <f t="shared" si="34"/>
        <v>0.53600000000000003</v>
      </c>
      <c r="L115" s="908">
        <f t="shared" si="34"/>
        <v>0.53600000000000003</v>
      </c>
      <c r="M115" s="909">
        <f t="shared" si="34"/>
        <v>0.53600000000000003</v>
      </c>
    </row>
    <row r="116" spans="1:13">
      <c r="A116" s="907" t="s">
        <v>2869</v>
      </c>
      <c r="B116" s="908">
        <f>ROUND(0.949-0.012*B113,4)</f>
        <v>0.8306</v>
      </c>
      <c r="C116" s="908">
        <f>B116</f>
        <v>0.8306</v>
      </c>
      <c r="D116" s="908">
        <f>ROUND(0.8567-0.013*B113,4)</f>
        <v>0.72840000000000005</v>
      </c>
      <c r="E116" s="908">
        <f t="shared" ref="E116:H117" si="35">D116</f>
        <v>0.72840000000000005</v>
      </c>
      <c r="F116" s="908">
        <f t="shared" si="35"/>
        <v>0.72840000000000005</v>
      </c>
      <c r="G116" s="908">
        <f t="shared" si="35"/>
        <v>0.72840000000000005</v>
      </c>
      <c r="H116" s="908">
        <f t="shared" si="35"/>
        <v>0.72840000000000005</v>
      </c>
      <c r="I116" s="908">
        <f>ROUND(0.7694-0.014*B113,4)</f>
        <v>0.63119999999999998</v>
      </c>
      <c r="J116" s="908">
        <f t="shared" si="34"/>
        <v>0.63119999999999998</v>
      </c>
      <c r="K116" s="908">
        <f t="shared" si="34"/>
        <v>0.63119999999999998</v>
      </c>
      <c r="L116" s="908">
        <f t="shared" si="34"/>
        <v>0.63119999999999998</v>
      </c>
      <c r="M116" s="909">
        <f t="shared" si="34"/>
        <v>0.63119999999999998</v>
      </c>
    </row>
    <row r="117" spans="1:13">
      <c r="A117" s="907" t="s">
        <v>2870</v>
      </c>
      <c r="B117" s="908">
        <f>ROUND(0.8808-0.006*B113,4)</f>
        <v>0.8216</v>
      </c>
      <c r="C117" s="908">
        <f>B117</f>
        <v>0.8216</v>
      </c>
      <c r="D117" s="908">
        <f>ROUND(0.8748-0.008*B113,4)</f>
        <v>0.79579999999999995</v>
      </c>
      <c r="E117" s="908">
        <f t="shared" si="35"/>
        <v>0.79579999999999995</v>
      </c>
      <c r="F117" s="908">
        <f t="shared" si="35"/>
        <v>0.79579999999999995</v>
      </c>
      <c r="G117" s="908">
        <f t="shared" si="35"/>
        <v>0.79579999999999995</v>
      </c>
      <c r="H117" s="908">
        <f t="shared" si="35"/>
        <v>0.79579999999999995</v>
      </c>
      <c r="I117" s="908">
        <f>ROUND(0.7412-0.0095*B113,4)</f>
        <v>0.64739999999999998</v>
      </c>
      <c r="J117" s="908">
        <f t="shared" si="34"/>
        <v>0.64739999999999998</v>
      </c>
      <c r="K117" s="908">
        <f t="shared" si="34"/>
        <v>0.64739999999999998</v>
      </c>
      <c r="L117" s="908">
        <f t="shared" si="34"/>
        <v>0.64739999999999998</v>
      </c>
      <c r="M117" s="909">
        <f t="shared" si="34"/>
        <v>0.64739999999999998</v>
      </c>
    </row>
    <row r="118" spans="1:13" ht="13.5" thickBot="1">
      <c r="A118" s="713" t="s">
        <v>2871</v>
      </c>
      <c r="B118" s="910">
        <f>ROUND(0.7275-0.01*B113,4)</f>
        <v>0.62880000000000003</v>
      </c>
      <c r="C118" s="910">
        <f>B118</f>
        <v>0.62880000000000003</v>
      </c>
      <c r="D118" s="910">
        <f>ROUND(0.7043-0.012*B113,4)</f>
        <v>0.58589999999999998</v>
      </c>
      <c r="E118" s="910">
        <f>D118</f>
        <v>0.58589999999999998</v>
      </c>
      <c r="F118" s="910">
        <f>E118</f>
        <v>0.58589999999999998</v>
      </c>
      <c r="G118" s="910">
        <f>ROUND(0.6299-0.0122*B113,4)</f>
        <v>0.50949999999999995</v>
      </c>
      <c r="H118" s="910">
        <f>G118</f>
        <v>0.50949999999999995</v>
      </c>
      <c r="I118" s="910">
        <f>ROUND(0.5667-0.0136*B113,4)</f>
        <v>0.4325</v>
      </c>
      <c r="J118" s="910">
        <f t="shared" si="34"/>
        <v>0.4325</v>
      </c>
      <c r="K118" s="910">
        <f t="shared" si="34"/>
        <v>0.4325</v>
      </c>
      <c r="L118" s="910">
        <f t="shared" si="34"/>
        <v>0.4325</v>
      </c>
      <c r="M118" s="911">
        <f t="shared" si="34"/>
        <v>0.4325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9" priority="6" stopIfTrue="1" operator="notEqual">
      <formula>"——"</formula>
    </cfRule>
  </conditionalFormatting>
  <conditionalFormatting sqref="F59">
    <cfRule type="cellIs" dxfId="18" priority="5" stopIfTrue="1" operator="notEqual">
      <formula>"——"</formula>
    </cfRule>
  </conditionalFormatting>
  <conditionalFormatting sqref="F70">
    <cfRule type="cellIs" dxfId="17" priority="4" stopIfTrue="1" operator="notEqual">
      <formula>"——"</formula>
    </cfRule>
  </conditionalFormatting>
  <conditionalFormatting sqref="F81">
    <cfRule type="cellIs" dxfId="16" priority="3" stopIfTrue="1" operator="notEqual">
      <formula>"——"</formula>
    </cfRule>
  </conditionalFormatting>
  <conditionalFormatting sqref="H48:H56 H59:H67 H70:H78 H81:H88">
    <cfRule type="cellIs" dxfId="15" priority="2" operator="notEqual">
      <formula>"——"</formula>
    </cfRule>
  </conditionalFormatting>
  <conditionalFormatting sqref="G59:G67">
    <cfRule type="cellIs" dxfId="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29486</v>
      </c>
      <c r="C2" s="2" t="s">
        <v>133</v>
      </c>
      <c r="D2" s="242"/>
      <c r="E2" s="242"/>
      <c r="F2" s="242"/>
      <c r="G2" s="242"/>
    </row>
    <row r="3" spans="1:7" s="243" customFormat="1" ht="18" customHeight="1" thickBot="1">
      <c r="A3" s="246" t="s">
        <v>85</v>
      </c>
      <c r="B3" s="247">
        <f ca="1">ROUND(B2*10000/'数据-汇总表'!E3,0)</f>
        <v>968501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3</v>
      </c>
      <c r="D9" s="1030">
        <f>'数据-汇总表'!E5</f>
        <v>194.47</v>
      </c>
      <c r="E9" s="268">
        <f>'数据-取费表'!B27</f>
        <v>160</v>
      </c>
      <c r="F9" s="264"/>
      <c r="G9" s="269"/>
    </row>
    <row r="10" spans="1:7" s="257" customFormat="1" ht="13.5" customHeight="1">
      <c r="A10" s="948" t="s">
        <v>801</v>
      </c>
      <c r="B10" s="267" t="s">
        <v>94</v>
      </c>
      <c r="C10" s="268">
        <f>ROUND(D10*E10/10000,0)</f>
        <v>2</v>
      </c>
      <c r="D10" s="1030">
        <f>'数据-汇总表'!E6</f>
        <v>109.97999999999999</v>
      </c>
      <c r="E10" s="268">
        <f>'数据-取费表'!B28</f>
        <v>200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6</v>
      </c>
      <c r="D19" s="1034">
        <f>'数据-汇总表'!E3</f>
        <v>304.45</v>
      </c>
      <c r="E19" s="254">
        <f>'数据-取费表'!B31</f>
        <v>200</v>
      </c>
      <c r="F19" s="274"/>
      <c r="G19" s="1" t="s">
        <v>1071</v>
      </c>
    </row>
    <row r="20" spans="1:7" s="257" customFormat="1" ht="13.5" customHeight="1">
      <c r="A20" s="946" t="s">
        <v>1054</v>
      </c>
      <c r="B20" s="253" t="s">
        <v>104</v>
      </c>
      <c r="C20" s="275">
        <f>ROUND((C5+C19)*F20,0)</f>
        <v>618</v>
      </c>
      <c r="D20" s="275"/>
      <c r="E20" s="275"/>
      <c r="F20" s="276">
        <f>'数据-取费表'!B37</f>
        <v>0.03</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2034</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1058</v>
      </c>
      <c r="C23" s="1353">
        <f ca="1">ROUND(IF('数据-取费表'!B22&lt;=1,C5*F22*'数据-取费表'!B23,C5*(POWER((1+F22),'数据-取费表'!B23)-1)),0)</f>
        <v>2004</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1</v>
      </c>
      <c r="D24" s="281"/>
      <c r="E24" s="281"/>
      <c r="F24" s="282"/>
      <c r="G24" s="283" t="s">
        <v>109</v>
      </c>
    </row>
    <row r="25" spans="1:7" s="257" customFormat="1" ht="24">
      <c r="A25" s="949" t="s">
        <v>793</v>
      </c>
      <c r="B25" s="258" t="s">
        <v>1055</v>
      </c>
      <c r="C25" s="1353">
        <f ca="1">ROUND(IF('数据-取费表'!B22&lt;=1,C20*F22*'数据-取费表'!B23/2,C20*(POWER((1+F22),'数据-取费表'!B23/2)-1)),0)</f>
        <v>29</v>
      </c>
      <c r="D25" s="281"/>
      <c r="E25" s="284"/>
      <c r="F25" s="282"/>
      <c r="G25" s="285" t="s">
        <v>110</v>
      </c>
    </row>
    <row r="26" spans="1:7" s="257" customFormat="1">
      <c r="A26" s="949" t="s">
        <v>795</v>
      </c>
      <c r="B26" s="258" t="s">
        <v>1057</v>
      </c>
      <c r="C26" s="281">
        <f ca="1">ROUND(IF('数据-取费表'!B22&lt;=1,F21*F22*'数据-取费表'!B23/2,F21*(POWER((1+F22),'数据-取费表'!B23/2)-1)),4)</f>
        <v>1E-3</v>
      </c>
      <c r="D26" s="281"/>
      <c r="E26" s="284"/>
      <c r="F26" s="282"/>
      <c r="G26" s="286"/>
    </row>
    <row r="27" spans="1:7" s="257" customFormat="1" ht="24.75">
      <c r="A27" s="946" t="s">
        <v>787</v>
      </c>
      <c r="B27" s="287" t="s">
        <v>112</v>
      </c>
      <c r="C27" s="288">
        <f>C28</f>
        <v>3822</v>
      </c>
      <c r="D27" s="278">
        <f>C29</f>
        <v>3.5999999999999999E-3</v>
      </c>
      <c r="E27" s="279" t="s">
        <v>126</v>
      </c>
      <c r="F27" s="289">
        <f>'数据-取费表'!Q16</f>
        <v>0.18</v>
      </c>
      <c r="G27" s="290" t="s">
        <v>1066</v>
      </c>
    </row>
    <row r="28" spans="1:7" s="257" customFormat="1" ht="13.5" customHeight="1">
      <c r="A28" s="949" t="s">
        <v>794</v>
      </c>
      <c r="B28" s="291" t="s">
        <v>1059</v>
      </c>
      <c r="C28" s="292">
        <f>ROUND((C5+C19+C20)*F27*'数据-取费表'!B21/'数据-取费表'!B20,0)</f>
        <v>3822</v>
      </c>
      <c r="D28" s="278"/>
      <c r="E28" s="279"/>
      <c r="F28" s="289"/>
      <c r="G28" s="290"/>
    </row>
    <row r="29" spans="1:7" s="257" customFormat="1" ht="13.5" customHeight="1">
      <c r="A29" s="949" t="s">
        <v>792</v>
      </c>
      <c r="B29" s="291" t="s">
        <v>1060</v>
      </c>
      <c r="C29" s="281">
        <f>ROUND(C21*F27*'数据-取费表'!B21/'数据-取费表'!B20,4)</f>
        <v>3.5999999999999999E-3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29380</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106</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91</v>
      </c>
      <c r="D34" s="260"/>
      <c r="E34" s="263"/>
      <c r="F34" s="300">
        <f>IF('数据-取费表'!B24=0,1,'数据-取费表'!N16)</f>
        <v>1</v>
      </c>
      <c r="G34" s="262" t="s">
        <v>116</v>
      </c>
    </row>
    <row r="35" spans="1:7" ht="13.5" customHeight="1">
      <c r="A35" s="949" t="s">
        <v>796</v>
      </c>
      <c r="B35" s="258" t="s">
        <v>60</v>
      </c>
      <c r="C35" s="263">
        <f>ROUND(C34*F35,0)</f>
        <v>5</v>
      </c>
      <c r="D35" s="263"/>
      <c r="E35" s="263"/>
      <c r="F35" s="302">
        <f>'数据-取费表'!B33</f>
        <v>0.05</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3</v>
      </c>
      <c r="D36" s="263"/>
      <c r="E36" s="263"/>
      <c r="F36" s="302">
        <f>'数据-取费表'!B34</f>
        <v>0.05</v>
      </c>
      <c r="G36" s="303" t="s">
        <v>62</v>
      </c>
    </row>
    <row r="37" spans="1:7" s="301" customFormat="1" ht="13.5" customHeight="1">
      <c r="A37" s="949" t="s">
        <v>798</v>
      </c>
      <c r="B37" s="258" t="s">
        <v>118</v>
      </c>
      <c r="C37" s="292">
        <f>ROUND(E37*D37*F34/10000,0)</f>
        <v>6</v>
      </c>
      <c r="D37" s="260">
        <f>'数据-汇总表'!E3</f>
        <v>304.45</v>
      </c>
      <c r="E37" s="292">
        <f>'数据-取费表'!B35</f>
        <v>200</v>
      </c>
      <c r="F37" s="302"/>
      <c r="G37" s="304" t="s">
        <v>119</v>
      </c>
    </row>
    <row r="38" spans="1:7" ht="13.5" customHeight="1">
      <c r="A38" s="949" t="s">
        <v>799</v>
      </c>
      <c r="B38" s="258" t="s">
        <v>63</v>
      </c>
      <c r="C38" s="263">
        <f>ROUND(C34*F38,0)</f>
        <v>1</v>
      </c>
      <c r="D38" s="263"/>
      <c r="E38" s="263"/>
      <c r="F38" s="302">
        <f>'数据-取费表'!B36</f>
        <v>1.4999999999999999E-2</v>
      </c>
      <c r="G38" s="262" t="s">
        <v>117</v>
      </c>
    </row>
    <row r="39" spans="1:7" s="257" customFormat="1" ht="13.5" customHeight="1">
      <c r="A39" s="946" t="s">
        <v>783</v>
      </c>
      <c r="B39" s="253" t="s">
        <v>104</v>
      </c>
      <c r="C39" s="275">
        <f>ROUND(C33*F20,0)</f>
        <v>3</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5</v>
      </c>
      <c r="D41" s="278">
        <f ca="1">C44</f>
        <v>1E-3</v>
      </c>
      <c r="E41" s="279" t="s">
        <v>129</v>
      </c>
      <c r="F41" s="280"/>
      <c r="G41" s="1287" t="str">
        <f>IF('数据-取费表'!B22&lt;=1,"单利计息","复利计息")</f>
        <v>复利计息</v>
      </c>
    </row>
    <row r="42" spans="1:7" ht="13.5" customHeight="1">
      <c r="A42" s="949" t="s">
        <v>794</v>
      </c>
      <c r="B42" s="258" t="s">
        <v>1058</v>
      </c>
      <c r="C42" s="281">
        <f ca="1">ROUND(IF('数据-取费表'!B22&lt;=1,C33*F22*'数据-取费表'!B21/2,C33*(POWER((1+F22),'数据-取费表'!B21/2)-1)),0)</f>
        <v>5</v>
      </c>
      <c r="D42" s="281"/>
      <c r="E42" s="281"/>
      <c r="F42" s="282"/>
      <c r="G42" s="3323" t="s">
        <v>121</v>
      </c>
    </row>
    <row r="43" spans="1:7" ht="13.5" customHeight="1">
      <c r="A43" s="949" t="s">
        <v>792</v>
      </c>
      <c r="B43" s="258" t="s">
        <v>1061</v>
      </c>
      <c r="C43" s="281">
        <f ca="1">ROUND(IF('数据-取费表'!B22&lt;=1,C39*F22*'数据-取费表'!B21/2,C39*(POWER((1+F22),'数据-取费表'!B21/2)-1)),0)</f>
        <v>0</v>
      </c>
      <c r="D43" s="281"/>
      <c r="E43" s="281"/>
      <c r="F43" s="282"/>
      <c r="G43" s="3324"/>
    </row>
    <row r="44" spans="1:7" ht="13.5" customHeight="1">
      <c r="A44" s="949" t="s">
        <v>793</v>
      </c>
      <c r="B44" s="258" t="s">
        <v>1063</v>
      </c>
      <c r="C44" s="281">
        <f ca="1">ROUND(IF('数据-取费表'!B22&lt;=1,C40*F22*'数据-取费表'!B21/2,C40*(POWER((1+F22),'数据-取费表'!B21/2)-1)),4)</f>
        <v>1E-3</v>
      </c>
      <c r="D44" s="281"/>
      <c r="E44" s="281"/>
      <c r="F44" s="282"/>
      <c r="G44" s="3325"/>
    </row>
    <row r="45" spans="1:7" s="257" customFormat="1" ht="13.5" customHeight="1">
      <c r="A45" s="946" t="s">
        <v>786</v>
      </c>
      <c r="B45" s="287" t="s">
        <v>112</v>
      </c>
      <c r="C45" s="288">
        <f>C46</f>
        <v>20</v>
      </c>
      <c r="D45" s="278">
        <f>C47</f>
        <v>3.5999999999999999E-3</v>
      </c>
      <c r="E45" s="279" t="s">
        <v>129</v>
      </c>
      <c r="F45" s="289"/>
      <c r="G45" s="290" t="s">
        <v>1069</v>
      </c>
    </row>
    <row r="46" spans="1:7" s="257" customFormat="1" ht="13.5" customHeight="1">
      <c r="A46" s="949" t="s">
        <v>794</v>
      </c>
      <c r="B46" s="291" t="s">
        <v>1062</v>
      </c>
      <c r="C46" s="292">
        <f>ROUND((C33+C39)*F27,0)</f>
        <v>20</v>
      </c>
      <c r="D46" s="306"/>
      <c r="E46" s="279"/>
      <c r="F46" s="289"/>
      <c r="G46" s="290"/>
    </row>
    <row r="47" spans="1:7" s="257" customFormat="1" ht="13.5" customHeight="1">
      <c r="A47" s="949" t="s">
        <v>792</v>
      </c>
      <c r="B47" s="291" t="s">
        <v>1064</v>
      </c>
      <c r="C47" s="281">
        <f>ROUND(C40*F27,4)</f>
        <v>3.5999999999999999E-3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145</v>
      </c>
      <c r="D49" s="275"/>
      <c r="E49" s="275"/>
      <c r="F49" s="307"/>
      <c r="G49" s="277" t="s">
        <v>1070</v>
      </c>
    </row>
    <row r="50" spans="1:7" s="301" customFormat="1" ht="24">
      <c r="A50" s="946" t="s">
        <v>789</v>
      </c>
      <c r="B50" s="253" t="s">
        <v>124</v>
      </c>
      <c r="C50" s="275"/>
      <c r="D50" s="275"/>
      <c r="E50" s="275"/>
      <c r="F50" s="307">
        <f>IF('数据-取费表'!B24=0,'数据-取费表'!N16,1)</f>
        <v>0.73299999999999998</v>
      </c>
      <c r="G50" s="290" t="s">
        <v>125</v>
      </c>
    </row>
    <row r="51" spans="1:7" ht="16.5" customHeight="1">
      <c r="A51" s="946" t="s">
        <v>790</v>
      </c>
      <c r="B51" s="253" t="s">
        <v>132</v>
      </c>
      <c r="C51" s="275">
        <f ca="1">ROUND(C49*F50,0)</f>
        <v>106</v>
      </c>
      <c r="D51" s="275"/>
      <c r="E51" s="275"/>
      <c r="F51" s="307"/>
      <c r="G51" s="277" t="s">
        <v>64</v>
      </c>
    </row>
    <row r="52" spans="1:7" s="251" customFormat="1" ht="16.5" thickBot="1">
      <c r="A52" s="308" t="s">
        <v>65</v>
      </c>
      <c r="B52" s="309"/>
      <c r="C52" s="310">
        <f ca="1">C31+C51</f>
        <v>29486</v>
      </c>
      <c r="D52" s="309"/>
      <c r="E52" s="309"/>
      <c r="F52" s="309"/>
      <c r="G52" s="311"/>
    </row>
    <row r="55" spans="1:7" ht="15">
      <c r="B55" s="313" t="s">
        <v>66</v>
      </c>
      <c r="C55" s="314"/>
    </row>
    <row r="56" spans="1:7">
      <c r="B56" s="316" t="s">
        <v>67</v>
      </c>
      <c r="C56" s="317">
        <f ca="1">ROUND(C51/C52,3)</f>
        <v>4.0000000000000001E-3</v>
      </c>
    </row>
    <row r="57" spans="1:7">
      <c r="B57" s="316" t="s">
        <v>68</v>
      </c>
      <c r="C57" s="318">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49" t="s">
        <v>156</v>
      </c>
      <c r="B1" s="3349"/>
      <c r="C1" s="3349"/>
      <c r="D1" s="3349"/>
      <c r="E1" s="3349"/>
      <c r="F1" s="334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50" t="s">
        <v>169</v>
      </c>
      <c r="B2" s="3350"/>
      <c r="C2" s="3350"/>
      <c r="D2" s="3350"/>
      <c r="E2" s="3350"/>
      <c r="F2" s="335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5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5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49" t="s">
        <v>868</v>
      </c>
      <c r="B1" s="3349"/>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43658</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43" t="str">
        <f>IF(项目基本情况!B9="房地产市场价值","估价结果一览表","结果表-2")</f>
        <v>估价结果一览表</v>
      </c>
      <c r="B1" s="3043"/>
      <c r="C1" s="3043"/>
      <c r="D1" s="3043"/>
      <c r="E1" s="3043"/>
      <c r="F1" s="3043"/>
      <c r="G1" s="3043"/>
      <c r="H1" s="3043"/>
      <c r="I1" s="3043"/>
    </row>
    <row r="2" spans="1:9" ht="30" customHeight="1" thickTop="1">
      <c r="A2" s="3044" t="s">
        <v>1636</v>
      </c>
      <c r="B2" s="3044" t="s">
        <v>1637</v>
      </c>
      <c r="C2" s="3044" t="s">
        <v>1638</v>
      </c>
      <c r="D2" s="3044" t="str">
        <f>结果表!D116</f>
        <v>出让国有建设用地使用权价值</v>
      </c>
      <c r="E2" s="3044"/>
      <c r="F2" s="3044" t="str">
        <f>结果表!F116</f>
        <v>在建建筑物价值</v>
      </c>
      <c r="G2" s="3044"/>
      <c r="H2" s="3044" t="str">
        <f>IF(项目基本情况!B9="房地产市场价值","房地产市场价值","房地产价值")</f>
        <v>房地产市场价值</v>
      </c>
      <c r="I2" s="3044"/>
    </row>
    <row r="3" spans="1:9" ht="15">
      <c r="A3" s="3038"/>
      <c r="B3" s="3038"/>
      <c r="C3" s="3038"/>
      <c r="D3" s="1042" t="s">
        <v>1633</v>
      </c>
      <c r="E3" s="1042" t="s">
        <v>1639</v>
      </c>
      <c r="F3" s="1042" t="s">
        <v>1633</v>
      </c>
      <c r="G3" s="1042" t="s">
        <v>1634</v>
      </c>
      <c r="H3" s="1042" t="s">
        <v>1633</v>
      </c>
      <c r="I3" s="1042" t="s">
        <v>1634</v>
      </c>
    </row>
    <row r="4" spans="1:9" ht="60">
      <c r="A4" s="1971" t="str">
        <f>项目基本情况!S2</f>
        <v>北京市东城区东直门外大街48号1幢26层C29F住宅（公寓）用房及14层办公楼16A至16E共计5套办公用房房地产</v>
      </c>
      <c r="B4" s="1042">
        <f>项目基本情况!C17</f>
        <v>304.45</v>
      </c>
      <c r="C4" s="1042">
        <f>项目基本情况!C18</f>
        <v>83.97999999999999</v>
      </c>
      <c r="D4" s="1042">
        <f ca="1">结果表!D118</f>
        <v>1144</v>
      </c>
      <c r="E4" s="1042">
        <f ca="1">结果表!E118</f>
        <v>58827</v>
      </c>
      <c r="F4" s="1042">
        <f ca="1">结果表!F118</f>
        <v>224</v>
      </c>
      <c r="G4" s="1042">
        <f ca="1">结果表!G118</f>
        <v>11518</v>
      </c>
      <c r="H4" s="1042">
        <f ca="1">结果表!H118</f>
        <v>1368</v>
      </c>
      <c r="I4" s="1042">
        <f ca="1">结果表!I118</f>
        <v>70345</v>
      </c>
    </row>
    <row r="5" spans="1:9" ht="30" customHeight="1">
      <c r="A5" s="3038" t="s">
        <v>1635</v>
      </c>
      <c r="B5" s="3038"/>
      <c r="C5" s="3038"/>
      <c r="D5" s="3039" t="str">
        <f ca="1">结果表!D119</f>
        <v>壹仟壹佰肆拾肆万元整</v>
      </c>
      <c r="E5" s="3039"/>
      <c r="F5" s="3039" t="str">
        <f ca="1">结果表!F119</f>
        <v>贰佰贰拾肆万元整</v>
      </c>
      <c r="G5" s="3039"/>
      <c r="H5" s="3039" t="str">
        <f ca="1">结果表!H119</f>
        <v>壹仟叁佰陆拾捌万元整</v>
      </c>
      <c r="I5" s="3039"/>
    </row>
    <row r="6" spans="1:9" ht="15.75">
      <c r="A6" s="3037" t="str">
        <f>结果表!A120</f>
        <v/>
      </c>
      <c r="B6" s="3037"/>
      <c r="C6" s="3037"/>
      <c r="D6" s="3037">
        <f>结果表!D120</f>
        <v>0</v>
      </c>
      <c r="E6" s="3037"/>
      <c r="F6" s="3037"/>
      <c r="G6" s="3037"/>
      <c r="H6" s="3037"/>
      <c r="I6" s="3037"/>
    </row>
    <row r="7" spans="1:9" ht="15">
      <c r="A7" s="3038" t="s">
        <v>1635</v>
      </c>
      <c r="B7" s="3038"/>
      <c r="C7" s="3038"/>
      <c r="D7" s="3040" t="str">
        <f>结果表!D121</f>
        <v>零元整</v>
      </c>
      <c r="E7" s="3041"/>
      <c r="F7" s="3041"/>
      <c r="G7" s="3041"/>
      <c r="H7" s="3041"/>
      <c r="I7" s="3042"/>
    </row>
    <row r="8" spans="1:9" ht="15.75">
      <c r="A8" s="3037" t="str">
        <f>结果表!A122</f>
        <v/>
      </c>
      <c r="B8" s="3037"/>
      <c r="C8" s="3037"/>
      <c r="D8" s="3037">
        <f ca="1">结果表!D122</f>
        <v>1368</v>
      </c>
      <c r="E8" s="3037"/>
      <c r="F8" s="3037"/>
      <c r="G8" s="3037"/>
      <c r="H8" s="3037"/>
      <c r="I8" s="3037"/>
    </row>
    <row r="9" spans="1:9" ht="15">
      <c r="A9" s="3038" t="s">
        <v>1635</v>
      </c>
      <c r="B9" s="3038"/>
      <c r="C9" s="3038"/>
      <c r="D9" s="3039" t="str">
        <f ca="1">结果表!D123</f>
        <v>壹仟叁佰陆拾捌万元整</v>
      </c>
      <c r="E9" s="3039"/>
      <c r="F9" s="3039"/>
      <c r="G9" s="3039"/>
      <c r="H9" s="3039"/>
      <c r="I9" s="3039"/>
    </row>
    <row r="10" spans="1:9" ht="15.75">
      <c r="A10" s="3037" t="str">
        <f>结果表!A124</f>
        <v/>
      </c>
      <c r="B10" s="3037"/>
      <c r="C10" s="3037"/>
      <c r="D10" s="3037" t="str">
        <f>结果表!D124</f>
        <v>——</v>
      </c>
      <c r="E10" s="3037"/>
      <c r="F10" s="3037"/>
      <c r="G10" s="3037"/>
      <c r="H10" s="3037"/>
      <c r="I10" s="3037"/>
    </row>
    <row r="11" spans="1:9" ht="15">
      <c r="A11" s="3038" t="s">
        <v>1635</v>
      </c>
      <c r="B11" s="3038"/>
      <c r="C11" s="3038"/>
      <c r="D11" s="3039" t="e">
        <f>结果表!D125</f>
        <v>#VALUE!</v>
      </c>
      <c r="E11" s="3039"/>
      <c r="F11" s="3039"/>
      <c r="G11" s="3039"/>
      <c r="H11" s="3039"/>
      <c r="I11" s="3039"/>
    </row>
    <row r="12" spans="1:9" ht="15.75">
      <c r="A12" s="3037" t="str">
        <f>结果表!A126</f>
        <v/>
      </c>
      <c r="B12" s="3037"/>
      <c r="C12" s="3037"/>
      <c r="D12" s="3037" t="str">
        <f>结果表!D126</f>
        <v>——</v>
      </c>
      <c r="E12" s="3037"/>
      <c r="F12" s="3037"/>
      <c r="G12" s="3037"/>
      <c r="H12" s="3037"/>
      <c r="I12" s="3037"/>
    </row>
    <row r="13" spans="1:9" ht="15.75" thickBot="1">
      <c r="A13" s="3034" t="s">
        <v>1635</v>
      </c>
      <c r="B13" s="3034"/>
      <c r="C13" s="3034"/>
      <c r="D13" s="3035" t="e">
        <f>结果表!D127</f>
        <v>#VALUE!</v>
      </c>
      <c r="E13" s="3035"/>
      <c r="F13" s="3035"/>
      <c r="G13" s="3035"/>
      <c r="H13" s="3035"/>
      <c r="I13" s="3035"/>
    </row>
    <row r="14" spans="1:9" ht="15" thickTop="1">
      <c r="A14" s="3036" t="s">
        <v>1640</v>
      </c>
      <c r="B14" s="3036"/>
      <c r="C14" s="3036"/>
      <c r="D14" s="3036"/>
      <c r="E14" s="3036"/>
      <c r="F14" s="3036"/>
      <c r="G14" s="3036"/>
      <c r="H14" s="3036"/>
      <c r="I14" s="3036"/>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B33" sqref="B3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580" t="s">
        <v>2518</v>
      </c>
      <c r="C1" s="1632" t="s">
        <v>2519</v>
      </c>
      <c r="D1" s="1619" t="s">
        <v>3053</v>
      </c>
      <c r="E1" s="2581"/>
      <c r="F1" s="2582" t="s">
        <v>2520</v>
      </c>
      <c r="G1" s="1629" t="s">
        <v>2521</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2" customFormat="1" ht="28.5" customHeight="1" thickTop="1">
      <c r="A2" s="1615" t="s">
        <v>1389</v>
      </c>
      <c r="B2" s="1416">
        <f>IF(C2="——",ROUND(C49*D3/10000,0),ROUND(C49*D3/10000,0)-D2)</f>
        <v>0</v>
      </c>
      <c r="C2" s="2584" t="s">
        <v>70</v>
      </c>
      <c r="D2" s="1363" t="e">
        <f ca="1">SUMIF(INDIRECT("'"&amp;F2&amp;"'"&amp;"!A:A"),"承租人权益价值",INDIRECT("'"&amp;F2&amp;"'"&amp;"!c:c"))</f>
        <v>#REF!</v>
      </c>
      <c r="E2" s="2585" t="s">
        <v>2317</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1390</v>
      </c>
      <c r="B3" s="398">
        <f>IF(C2="——",C49,ROUND(B2*10000/D3,0))</f>
        <v>6</v>
      </c>
      <c r="C3" s="399" t="s">
        <v>2523</v>
      </c>
      <c r="D3" s="398">
        <f>IF(D1="",'数据-汇总表'!E3,SUMIF('数据-汇总表'!$C19:$C33,D1,'数据-汇总表'!$E19:$E33))</f>
        <v>194.47</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80"/>
    </row>
    <row r="4" spans="1:29" ht="15">
      <c r="A4" s="400" t="s">
        <v>2524</v>
      </c>
      <c r="B4" s="401"/>
      <c r="C4" s="3255" t="s">
        <v>2525</v>
      </c>
      <c r="D4" s="3256"/>
      <c r="E4" s="3257" t="s">
        <v>2526</v>
      </c>
      <c r="F4" s="3258"/>
      <c r="G4" s="3255" t="s">
        <v>2527</v>
      </c>
      <c r="H4" s="3256"/>
      <c r="I4" s="3255" t="s">
        <v>2528</v>
      </c>
      <c r="J4" s="3256"/>
      <c r="K4" s="2594" t="s">
        <v>2529</v>
      </c>
      <c r="L4" s="1128"/>
      <c r="M4" s="1129"/>
      <c r="N4" s="1129"/>
      <c r="O4" s="1129"/>
      <c r="P4" s="3259" t="s">
        <v>2530</v>
      </c>
      <c r="Q4" s="3260"/>
      <c r="R4" s="3265" t="s">
        <v>2526</v>
      </c>
      <c r="S4" s="3266"/>
      <c r="T4" s="3265" t="s">
        <v>2527</v>
      </c>
      <c r="U4" s="3266"/>
      <c r="V4" s="3250" t="s">
        <v>2528</v>
      </c>
      <c r="W4" s="3250"/>
      <c r="X4" s="3022"/>
      <c r="Y4" s="3265" t="s">
        <v>2530</v>
      </c>
      <c r="Z4" s="3266"/>
      <c r="AA4" s="3252" t="s">
        <v>2526</v>
      </c>
      <c r="AB4" s="3252" t="s">
        <v>2527</v>
      </c>
      <c r="AC4" s="3252" t="s">
        <v>2528</v>
      </c>
    </row>
    <row r="5" spans="1:29" ht="15">
      <c r="A5" s="403"/>
      <c r="B5" s="404"/>
      <c r="C5" s="3296" t="s">
        <v>3057</v>
      </c>
      <c r="D5" s="3274"/>
      <c r="E5" s="3280" t="str">
        <f>C5</f>
        <v>银座</v>
      </c>
      <c r="F5" s="3281"/>
      <c r="G5" s="3273" t="str">
        <f>C5</f>
        <v>银座</v>
      </c>
      <c r="H5" s="3274"/>
      <c r="I5" s="3273" t="str">
        <f>C5</f>
        <v>银座</v>
      </c>
      <c r="J5" s="3274"/>
      <c r="K5" s="2595"/>
      <c r="L5" s="1128"/>
      <c r="M5" s="1129"/>
      <c r="N5" s="1129"/>
      <c r="O5" s="1129"/>
      <c r="P5" s="3261"/>
      <c r="Q5" s="3262"/>
      <c r="R5" s="3267"/>
      <c r="S5" s="3268"/>
      <c r="T5" s="3267"/>
      <c r="U5" s="3268"/>
      <c r="V5" s="3250"/>
      <c r="W5" s="3250"/>
      <c r="X5" s="3022"/>
      <c r="Y5" s="3267"/>
      <c r="Z5" s="3268"/>
      <c r="AA5" s="3253"/>
      <c r="AB5" s="3253"/>
      <c r="AC5" s="3253"/>
    </row>
    <row r="6" spans="1:29" ht="15.75" thickBot="1">
      <c r="A6" s="405"/>
      <c r="B6" s="406"/>
      <c r="C6" s="3271" t="s">
        <v>2535</v>
      </c>
      <c r="D6" s="3272"/>
      <c r="E6" s="3278" t="s">
        <v>2535</v>
      </c>
      <c r="F6" s="3279"/>
      <c r="G6" s="3271" t="s">
        <v>2535</v>
      </c>
      <c r="H6" s="3272"/>
      <c r="I6" s="3271" t="s">
        <v>2535</v>
      </c>
      <c r="J6" s="3272"/>
      <c r="K6" s="2595" t="s">
        <v>2536</v>
      </c>
      <c r="L6" s="1128"/>
      <c r="M6" s="1129"/>
      <c r="N6" s="1129"/>
      <c r="O6" s="1129"/>
      <c r="P6" s="3263"/>
      <c r="Q6" s="3264"/>
      <c r="R6" s="3267"/>
      <c r="S6" s="3268"/>
      <c r="T6" s="3269"/>
      <c r="U6" s="3270"/>
      <c r="V6" s="3250"/>
      <c r="W6" s="3250"/>
      <c r="X6" s="3022"/>
      <c r="Y6" s="3269"/>
      <c r="Z6" s="3270"/>
      <c r="AA6" s="3254"/>
      <c r="AB6" s="3254"/>
      <c r="AC6" s="3254"/>
    </row>
    <row r="7" spans="1:29" s="116" customFormat="1" ht="15.75" thickBot="1">
      <c r="A7" s="407" t="s">
        <v>2537</v>
      </c>
      <c r="B7" s="408"/>
      <c r="C7" s="409">
        <f>'数据-取费表'!B2</f>
        <v>43658</v>
      </c>
      <c r="D7" s="410">
        <v>100</v>
      </c>
      <c r="E7" s="411">
        <v>43658</v>
      </c>
      <c r="F7" s="412">
        <f>SUMIF(58:58,YEAR(E7)&amp;"-"&amp;MONTH(E7),59:59)</f>
        <v>100</v>
      </c>
      <c r="G7" s="411">
        <v>43658</v>
      </c>
      <c r="H7" s="410">
        <f>SUMIF(58:58,YEAR(G7)&amp;"-"&amp;MONTH(G7),59:59)</f>
        <v>100</v>
      </c>
      <c r="I7" s="411">
        <v>43658</v>
      </c>
      <c r="J7" s="410">
        <f>SUMIF(58:58,YEAR(I7)&amp;"-"&amp;MONTH(I7),59:59)</f>
        <v>100</v>
      </c>
      <c r="K7" s="2596"/>
      <c r="L7" s="1130"/>
      <c r="M7" s="1131"/>
      <c r="N7" s="1131"/>
      <c r="O7" s="1131"/>
      <c r="P7" s="3275" t="s">
        <v>2538</v>
      </c>
      <c r="Q7" s="3277"/>
      <c r="R7" s="768" t="s">
        <v>23</v>
      </c>
      <c r="S7" s="769">
        <f t="shared" ref="S7:S15" si="0">F7</f>
        <v>100</v>
      </c>
      <c r="T7" s="768" t="s">
        <v>23</v>
      </c>
      <c r="U7" s="769">
        <f t="shared" ref="U7:U15" si="1">H7</f>
        <v>100</v>
      </c>
      <c r="V7" s="768" t="s">
        <v>23</v>
      </c>
      <c r="W7" s="769">
        <f t="shared" ref="W7:W15" si="2">J7</f>
        <v>100</v>
      </c>
      <c r="X7" s="770"/>
      <c r="Y7" s="3275" t="s">
        <v>2538</v>
      </c>
      <c r="Z7" s="3276"/>
      <c r="AA7" s="771">
        <f>D7/F7</f>
        <v>1</v>
      </c>
      <c r="AB7" s="771">
        <f>D7/H7</f>
        <v>1</v>
      </c>
      <c r="AC7" s="771">
        <f>D7/J7</f>
        <v>1</v>
      </c>
    </row>
    <row r="8" spans="1:29" s="116" customFormat="1" ht="15.75" thickBot="1">
      <c r="A8" s="407" t="s">
        <v>2539</v>
      </c>
      <c r="B8" s="408"/>
      <c r="C8" s="413" t="s">
        <v>2540</v>
      </c>
      <c r="D8" s="410">
        <v>100</v>
      </c>
      <c r="E8" s="2597" t="s">
        <v>3058</v>
      </c>
      <c r="F8" s="412">
        <f>SUMIF(61:61,E8,62:62)-SUMIF(61:61,C8,62:62)+100</f>
        <v>100</v>
      </c>
      <c r="G8" s="413" t="s">
        <v>3058</v>
      </c>
      <c r="H8" s="410">
        <f>SUMIF(61:61,G8,62:62)-SUMIF(61:61,C8,62:62)+100</f>
        <v>100</v>
      </c>
      <c r="I8" s="2597" t="s">
        <v>3058</v>
      </c>
      <c r="J8" s="410">
        <f>SUMIF(61:61,I8,62:62)-SUMIF(61:61,C8,62:62)+100</f>
        <v>100</v>
      </c>
      <c r="K8" s="2596"/>
      <c r="L8" s="1130"/>
      <c r="M8" s="1131"/>
      <c r="N8" s="1131"/>
      <c r="O8" s="1131"/>
      <c r="P8" s="3275" t="s">
        <v>2541</v>
      </c>
      <c r="Q8" s="3276"/>
      <c r="R8" s="768" t="s">
        <v>23</v>
      </c>
      <c r="S8" s="769">
        <f t="shared" si="0"/>
        <v>100</v>
      </c>
      <c r="T8" s="768" t="s">
        <v>23</v>
      </c>
      <c r="U8" s="769">
        <f t="shared" si="1"/>
        <v>100</v>
      </c>
      <c r="V8" s="768" t="s">
        <v>23</v>
      </c>
      <c r="W8" s="769">
        <f t="shared" si="2"/>
        <v>100</v>
      </c>
      <c r="X8" s="770"/>
      <c r="Y8" s="3275" t="s">
        <v>2541</v>
      </c>
      <c r="Z8" s="3276"/>
      <c r="AA8" s="771">
        <f t="shared" ref="AA8:AA19" si="3">D8/F8</f>
        <v>1</v>
      </c>
      <c r="AB8" s="771">
        <f t="shared" ref="AB8:AB19" si="4">D8/H8</f>
        <v>1</v>
      </c>
      <c r="AC8" s="771">
        <f t="shared" ref="AC8:AC19" si="5">D8/J8</f>
        <v>1</v>
      </c>
    </row>
    <row r="9" spans="1:29" s="116" customFormat="1">
      <c r="A9" s="414" t="s">
        <v>2542</v>
      </c>
      <c r="B9" s="70" t="s">
        <v>2543</v>
      </c>
      <c r="C9" s="2969" t="s">
        <v>3060</v>
      </c>
      <c r="D9" s="134">
        <v>100</v>
      </c>
      <c r="E9" s="416" t="s">
        <v>3059</v>
      </c>
      <c r="F9" s="417">
        <f>SUMIF(63:63,E9,64:64)-SUMIF(63:63,C9,64:64)+100</f>
        <v>100</v>
      </c>
      <c r="G9" s="418" t="s">
        <v>3059</v>
      </c>
      <c r="H9" s="134">
        <f>SUMIF(63:63,G9,64:64)-SUMIF(63:63,C9,64:64)+100</f>
        <v>100</v>
      </c>
      <c r="I9" s="418" t="s">
        <v>3059</v>
      </c>
      <c r="J9" s="134">
        <f>SUMIF(63:63,I9,64:64)-SUMIF(63:63,C9,64:64)+100</f>
        <v>100</v>
      </c>
      <c r="K9" s="2596"/>
      <c r="L9" s="1130"/>
      <c r="M9" s="1131"/>
      <c r="N9" s="1131"/>
      <c r="O9" s="1131"/>
      <c r="P9" s="3251" t="s">
        <v>2544</v>
      </c>
      <c r="Q9" s="3016" t="str">
        <f t="shared" ref="Q9:Q15" si="6">B9</f>
        <v>用途</v>
      </c>
      <c r="R9" s="768" t="s">
        <v>17</v>
      </c>
      <c r="S9" s="769">
        <f t="shared" si="0"/>
        <v>100</v>
      </c>
      <c r="T9" s="768" t="s">
        <v>17</v>
      </c>
      <c r="U9" s="769">
        <f t="shared" si="1"/>
        <v>100</v>
      </c>
      <c r="V9" s="768" t="s">
        <v>17</v>
      </c>
      <c r="W9" s="769">
        <f t="shared" si="2"/>
        <v>100</v>
      </c>
      <c r="X9" s="770"/>
      <c r="Y9" s="3067" t="s">
        <v>2545</v>
      </c>
      <c r="Z9" s="3017" t="str">
        <f t="shared" ref="Z9:Z15" si="7">Q9</f>
        <v>用途</v>
      </c>
      <c r="AA9" s="771">
        <f t="shared" si="3"/>
        <v>1</v>
      </c>
      <c r="AB9" s="771">
        <f t="shared" si="4"/>
        <v>1</v>
      </c>
      <c r="AC9" s="771">
        <f t="shared" si="5"/>
        <v>1</v>
      </c>
    </row>
    <row r="10" spans="1:29" s="426" customFormat="1" ht="27">
      <c r="A10" s="420"/>
      <c r="B10" s="3018" t="s">
        <v>2546</v>
      </c>
      <c r="C10" s="422" t="s">
        <v>3164</v>
      </c>
      <c r="D10" s="135">
        <v>100</v>
      </c>
      <c r="E10" s="422" t="s">
        <v>3164</v>
      </c>
      <c r="F10" s="424">
        <f>SUMIF(65:65,E10,66:66)-SUMIF(65:65,C10,66:66)+100</f>
        <v>100</v>
      </c>
      <c r="G10" s="422" t="s">
        <v>3164</v>
      </c>
      <c r="H10" s="135">
        <f>SUMIF(65:65,G10,66:66)-SUMIF(65:65,C10,66:66)+100</f>
        <v>100</v>
      </c>
      <c r="I10" s="422" t="s">
        <v>3164</v>
      </c>
      <c r="J10" s="135">
        <f>SUMIF(65:65,I10,66:66)-SUMIF(65:65,C10,66:66)+100</f>
        <v>100</v>
      </c>
      <c r="K10" s="425">
        <v>1</v>
      </c>
      <c r="L10" s="1133"/>
      <c r="M10" s="1134"/>
      <c r="N10" s="1134"/>
      <c r="O10" s="1134"/>
      <c r="P10" s="3251"/>
      <c r="Q10" s="3016" t="str">
        <f t="shared" si="6"/>
        <v>土地使用年限（年）</v>
      </c>
      <c r="R10" s="768" t="s">
        <v>17</v>
      </c>
      <c r="S10" s="769">
        <f t="shared" si="0"/>
        <v>100</v>
      </c>
      <c r="T10" s="768" t="s">
        <v>17</v>
      </c>
      <c r="U10" s="769">
        <f t="shared" si="1"/>
        <v>100</v>
      </c>
      <c r="V10" s="768" t="s">
        <v>17</v>
      </c>
      <c r="W10" s="769">
        <f t="shared" si="2"/>
        <v>100</v>
      </c>
      <c r="X10" s="770"/>
      <c r="Y10" s="3067"/>
      <c r="Z10" s="3017" t="str">
        <f t="shared" si="7"/>
        <v>土地使用年限（年）</v>
      </c>
      <c r="AA10" s="771">
        <f t="shared" si="3"/>
        <v>1</v>
      </c>
      <c r="AB10" s="771">
        <f t="shared" si="4"/>
        <v>1</v>
      </c>
      <c r="AC10" s="771">
        <f t="shared" si="5"/>
        <v>1</v>
      </c>
    </row>
    <row r="11" spans="1:29" ht="15">
      <c r="A11" s="427"/>
      <c r="B11" s="3018" t="s">
        <v>2547</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425">
        <v>1</v>
      </c>
      <c r="L11" s="1136"/>
      <c r="M11" s="1129"/>
      <c r="N11" s="1129"/>
      <c r="O11" s="1129"/>
      <c r="P11" s="3251"/>
      <c r="Q11" s="3016" t="str">
        <f t="shared" si="6"/>
        <v>容积率</v>
      </c>
      <c r="R11" s="768" t="s">
        <v>21</v>
      </c>
      <c r="S11" s="769">
        <f t="shared" si="0"/>
        <v>100</v>
      </c>
      <c r="T11" s="768" t="s">
        <v>21</v>
      </c>
      <c r="U11" s="769">
        <f t="shared" si="1"/>
        <v>100</v>
      </c>
      <c r="V11" s="768" t="s">
        <v>21</v>
      </c>
      <c r="W11" s="769">
        <f t="shared" si="2"/>
        <v>100</v>
      </c>
      <c r="X11" s="770"/>
      <c r="Y11" s="3067"/>
      <c r="Z11" s="3017" t="str">
        <f t="shared" si="7"/>
        <v>容积率</v>
      </c>
      <c r="AA11" s="771">
        <f t="shared" si="3"/>
        <v>1</v>
      </c>
      <c r="AB11" s="771">
        <f t="shared" si="4"/>
        <v>1</v>
      </c>
      <c r="AC11" s="771">
        <f t="shared" si="5"/>
        <v>1</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0"/>
      <c r="M12" s="1131"/>
      <c r="N12" s="1131"/>
      <c r="O12" s="1131"/>
      <c r="P12" s="3251"/>
      <c r="Q12" s="3016">
        <f t="shared" si="6"/>
        <v>111</v>
      </c>
      <c r="R12" s="768" t="s">
        <v>21</v>
      </c>
      <c r="S12" s="769">
        <f t="shared" si="0"/>
        <v>100</v>
      </c>
      <c r="T12" s="768" t="s">
        <v>21</v>
      </c>
      <c r="U12" s="769">
        <f t="shared" si="1"/>
        <v>100</v>
      </c>
      <c r="V12" s="768" t="s">
        <v>21</v>
      </c>
      <c r="W12" s="769">
        <f t="shared" si="2"/>
        <v>100</v>
      </c>
      <c r="X12" s="770"/>
      <c r="Y12" s="3067"/>
      <c r="Z12" s="3017">
        <f t="shared" si="7"/>
        <v>111</v>
      </c>
      <c r="AA12" s="771">
        <f>D12/F12</f>
        <v>1</v>
      </c>
      <c r="AB12" s="771">
        <f>D12/H12</f>
        <v>1</v>
      </c>
      <c r="AC12" s="771">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8"/>
      <c r="M13" s="1129"/>
      <c r="N13" s="1129"/>
      <c r="O13" s="1129"/>
      <c r="P13" s="3251"/>
      <c r="Q13" s="3016">
        <f t="shared" si="6"/>
        <v>111</v>
      </c>
      <c r="R13" s="768" t="s">
        <v>21</v>
      </c>
      <c r="S13" s="769">
        <f t="shared" si="0"/>
        <v>100</v>
      </c>
      <c r="T13" s="768" t="s">
        <v>21</v>
      </c>
      <c r="U13" s="769">
        <f t="shared" si="1"/>
        <v>100</v>
      </c>
      <c r="V13" s="768" t="s">
        <v>21</v>
      </c>
      <c r="W13" s="769">
        <f t="shared" si="2"/>
        <v>100</v>
      </c>
      <c r="X13" s="770"/>
      <c r="Y13" s="3067"/>
      <c r="Z13" s="3017">
        <f t="shared" si="7"/>
        <v>111</v>
      </c>
      <c r="AA13" s="771">
        <f t="shared" si="3"/>
        <v>1</v>
      </c>
      <c r="AB13" s="771">
        <f t="shared" si="4"/>
        <v>1</v>
      </c>
      <c r="AC13" s="771">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8"/>
      <c r="M14" s="1129"/>
      <c r="N14" s="1129"/>
      <c r="O14" s="1129"/>
      <c r="P14" s="3251"/>
      <c r="Q14" s="3016">
        <f t="shared" si="6"/>
        <v>111</v>
      </c>
      <c r="R14" s="768" t="s">
        <v>21</v>
      </c>
      <c r="S14" s="769">
        <f t="shared" si="0"/>
        <v>100</v>
      </c>
      <c r="T14" s="768" t="s">
        <v>21</v>
      </c>
      <c r="U14" s="769">
        <f t="shared" si="1"/>
        <v>100</v>
      </c>
      <c r="V14" s="768" t="s">
        <v>21</v>
      </c>
      <c r="W14" s="769">
        <f t="shared" si="2"/>
        <v>100</v>
      </c>
      <c r="X14" s="770"/>
      <c r="Y14" s="3067"/>
      <c r="Z14" s="3017">
        <f t="shared" si="7"/>
        <v>111</v>
      </c>
      <c r="AA14" s="771">
        <f t="shared" si="3"/>
        <v>1</v>
      </c>
      <c r="AB14" s="771">
        <f t="shared" si="4"/>
        <v>1</v>
      </c>
      <c r="AC14" s="771">
        <f t="shared" si="5"/>
        <v>1</v>
      </c>
    </row>
    <row r="15" spans="1:29" ht="156.75">
      <c r="A15" s="439" t="s">
        <v>2548</v>
      </c>
      <c r="B15" s="68" t="s">
        <v>2077</v>
      </c>
      <c r="C15" s="2601" t="str">
        <f>估价对象房地状况!C3</f>
        <v>价对象周边有十字坡西里、民安小区、万国城MOMA等住宅成熟小区，居住用地比例较好，居住小区规模和社区发展完善程度较高，综合评价居住社区成熟度较好。</v>
      </c>
      <c r="D15" s="440">
        <v>100</v>
      </c>
      <c r="E15" s="2999" t="s">
        <v>3171</v>
      </c>
      <c r="F15" s="440">
        <f>SUMIF(76:76,E16,77:77)-SUMIF(76:76,C16,77:77)+100</f>
        <v>100</v>
      </c>
      <c r="G15" s="3000" t="s">
        <v>3171</v>
      </c>
      <c r="H15" s="440">
        <f>SUMIF(76:76,G16,77:77)-SUMIF(76:76,C16,77:77)+100</f>
        <v>100</v>
      </c>
      <c r="I15" s="3000" t="s">
        <v>3171</v>
      </c>
      <c r="J15" s="440">
        <f>SUMIF(76:76,I16,77:77)-SUMIF(76:76,C16,77:77)+100</f>
        <v>100</v>
      </c>
      <c r="K15" s="444">
        <v>2</v>
      </c>
      <c r="L15" s="1138"/>
      <c r="M15" s="1129"/>
      <c r="N15" s="1129"/>
      <c r="O15" s="1129"/>
      <c r="P15" s="3241" t="s">
        <v>2549</v>
      </c>
      <c r="Q15" s="3019" t="str">
        <f t="shared" si="6"/>
        <v>居住社区成熟度</v>
      </c>
      <c r="R15" s="772" t="s">
        <v>21</v>
      </c>
      <c r="S15" s="773">
        <f t="shared" si="0"/>
        <v>100</v>
      </c>
      <c r="T15" s="772" t="s">
        <v>21</v>
      </c>
      <c r="U15" s="773">
        <f t="shared" si="1"/>
        <v>100</v>
      </c>
      <c r="V15" s="772" t="s">
        <v>21</v>
      </c>
      <c r="W15" s="773">
        <f t="shared" si="2"/>
        <v>100</v>
      </c>
      <c r="X15" s="3022"/>
      <c r="Y15" s="3243" t="s">
        <v>2549</v>
      </c>
      <c r="Z15" s="3021" t="str">
        <f t="shared" si="7"/>
        <v>居住社区成熟度</v>
      </c>
      <c r="AA15" s="3020">
        <f t="shared" si="3"/>
        <v>1</v>
      </c>
      <c r="AB15" s="3020">
        <f t="shared" si="4"/>
        <v>1</v>
      </c>
      <c r="AC15" s="3020">
        <f t="shared" si="5"/>
        <v>1</v>
      </c>
    </row>
    <row r="16" spans="1:29" ht="15">
      <c r="A16" s="427"/>
      <c r="B16" s="445"/>
      <c r="C16" s="446" t="s">
        <v>3112</v>
      </c>
      <c r="D16" s="447"/>
      <c r="E16" s="446" t="s">
        <v>3112</v>
      </c>
      <c r="F16" s="447"/>
      <c r="G16" s="446" t="s">
        <v>3112</v>
      </c>
      <c r="H16" s="449"/>
      <c r="I16" s="446" t="s">
        <v>3112</v>
      </c>
      <c r="J16" s="447"/>
      <c r="K16" s="2604"/>
      <c r="L16" s="1138"/>
      <c r="M16" s="1129"/>
      <c r="N16" s="1129"/>
      <c r="O16" s="1129"/>
      <c r="P16" s="3242"/>
      <c r="Q16" s="3019"/>
      <c r="R16" s="772"/>
      <c r="S16" s="773"/>
      <c r="T16" s="772"/>
      <c r="U16" s="773"/>
      <c r="V16" s="772"/>
      <c r="W16" s="773"/>
      <c r="X16" s="3022"/>
      <c r="Y16" s="3244"/>
      <c r="Z16" s="3021"/>
      <c r="AA16" s="3020">
        <v>1</v>
      </c>
      <c r="AB16" s="3020">
        <v>1</v>
      </c>
      <c r="AC16" s="3020">
        <v>1</v>
      </c>
    </row>
    <row r="17" spans="1:29" ht="213.75">
      <c r="A17" s="427"/>
      <c r="B17" s="450" t="s">
        <v>2086</v>
      </c>
      <c r="C17" s="2605"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3" t="s">
        <v>3172</v>
      </c>
      <c r="F17" s="449">
        <f>SUMIF(78:78,E18,79:79)-SUMIF(78:78,C18,79:79)+100</f>
        <v>100</v>
      </c>
      <c r="G17" s="451" t="s">
        <v>3172</v>
      </c>
      <c r="H17" s="454">
        <f>SUMIF(78:78,G18,79:79)-SUMIF(78:78,C18,79:79)+100</f>
        <v>100</v>
      </c>
      <c r="I17" s="451" t="s">
        <v>3172</v>
      </c>
      <c r="J17" s="454">
        <f>SUMIF(78:78,I18,79:79)-SUMIF(78:78,C18,79:79)+100</f>
        <v>100</v>
      </c>
      <c r="K17" s="444">
        <v>2</v>
      </c>
      <c r="L17" s="1138"/>
      <c r="M17" s="1129"/>
      <c r="N17" s="1129"/>
      <c r="O17" s="1129"/>
      <c r="P17" s="3242"/>
      <c r="Q17" s="3019" t="str">
        <f>B17</f>
        <v>交通便捷度</v>
      </c>
      <c r="R17" s="772" t="s">
        <v>21</v>
      </c>
      <c r="S17" s="773">
        <f>F17</f>
        <v>100</v>
      </c>
      <c r="T17" s="772" t="s">
        <v>21</v>
      </c>
      <c r="U17" s="773">
        <f>H17</f>
        <v>100</v>
      </c>
      <c r="V17" s="772" t="s">
        <v>21</v>
      </c>
      <c r="W17" s="773">
        <f>J17</f>
        <v>100</v>
      </c>
      <c r="X17" s="3022"/>
      <c r="Y17" s="3244"/>
      <c r="Z17" s="3021" t="str">
        <f>Q17</f>
        <v>交通便捷度</v>
      </c>
      <c r="AA17" s="3020">
        <f t="shared" si="3"/>
        <v>1</v>
      </c>
      <c r="AB17" s="3020">
        <f t="shared" si="4"/>
        <v>1</v>
      </c>
      <c r="AC17" s="3020">
        <f t="shared" si="5"/>
        <v>1</v>
      </c>
    </row>
    <row r="18" spans="1:29" ht="15">
      <c r="A18" s="427"/>
      <c r="B18" s="455"/>
      <c r="C18" s="2606" t="s">
        <v>3112</v>
      </c>
      <c r="D18" s="449"/>
      <c r="E18" s="2606" t="s">
        <v>3112</v>
      </c>
      <c r="F18" s="449"/>
      <c r="G18" s="2606" t="s">
        <v>3112</v>
      </c>
      <c r="H18" s="447"/>
      <c r="I18" s="2606" t="s">
        <v>3112</v>
      </c>
      <c r="J18" s="447"/>
      <c r="K18" s="2604"/>
      <c r="L18" s="1138"/>
      <c r="M18" s="1129"/>
      <c r="N18" s="1129"/>
      <c r="O18" s="1129"/>
      <c r="P18" s="3242"/>
      <c r="Q18" s="3019"/>
      <c r="R18" s="772"/>
      <c r="S18" s="773"/>
      <c r="T18" s="772"/>
      <c r="U18" s="773"/>
      <c r="V18" s="772"/>
      <c r="W18" s="773"/>
      <c r="X18" s="3022"/>
      <c r="Y18" s="3244"/>
      <c r="Z18" s="3021"/>
      <c r="AA18" s="3020">
        <v>1</v>
      </c>
      <c r="AB18" s="3020">
        <v>1</v>
      </c>
      <c r="AC18" s="3020">
        <v>1</v>
      </c>
    </row>
    <row r="19" spans="1:29" ht="114">
      <c r="A19" s="427"/>
      <c r="B19" s="450" t="s">
        <v>2084</v>
      </c>
      <c r="C19" s="2605" t="str">
        <f>估价对象房地状况!C7</f>
        <v>区域内有新中街幼儿园、西中街小学、东直门中学、北京中医药大学东直门医院、招商银行、华联超市等，公共服务设施较完善</v>
      </c>
      <c r="D19" s="454">
        <v>100</v>
      </c>
      <c r="E19" s="3001" t="s">
        <v>3174</v>
      </c>
      <c r="F19" s="454">
        <f>SUMIF(80:80,E20,81:81)-SUMIF(80:80,C20,81:81)+100</f>
        <v>100</v>
      </c>
      <c r="G19" s="3002" t="s">
        <v>3174</v>
      </c>
      <c r="H19" s="449">
        <f>SUMIF(80:80,G20,81:81)-SUMIF(80:80,C20,81:81)+100</f>
        <v>100</v>
      </c>
      <c r="I19" s="3002" t="s">
        <v>3174</v>
      </c>
      <c r="J19" s="449">
        <f>SUMIF(80:80,I20,81:81)-SUMIF(80:80,C20,81:81)+100</f>
        <v>100</v>
      </c>
      <c r="K19" s="444">
        <v>2</v>
      </c>
      <c r="L19" s="1138"/>
      <c r="M19" s="1129"/>
      <c r="N19" s="1129"/>
      <c r="O19" s="1129"/>
      <c r="P19" s="3242"/>
      <c r="Q19" s="3019" t="str">
        <f>B19</f>
        <v>公共配套设施</v>
      </c>
      <c r="R19" s="772" t="s">
        <v>21</v>
      </c>
      <c r="S19" s="773">
        <f>F19</f>
        <v>100</v>
      </c>
      <c r="T19" s="772" t="s">
        <v>21</v>
      </c>
      <c r="U19" s="773">
        <f>H19</f>
        <v>100</v>
      </c>
      <c r="V19" s="772" t="s">
        <v>21</v>
      </c>
      <c r="W19" s="773">
        <f>J19</f>
        <v>100</v>
      </c>
      <c r="X19" s="3022"/>
      <c r="Y19" s="3244"/>
      <c r="Z19" s="3021" t="str">
        <f>Q19</f>
        <v>公共配套设施</v>
      </c>
      <c r="AA19" s="3020">
        <f t="shared" si="3"/>
        <v>1</v>
      </c>
      <c r="AB19" s="3020">
        <f t="shared" si="4"/>
        <v>1</v>
      </c>
      <c r="AC19" s="3020">
        <f t="shared" si="5"/>
        <v>1</v>
      </c>
    </row>
    <row r="20" spans="1:29" ht="15">
      <c r="A20" s="427"/>
      <c r="B20" s="455"/>
      <c r="C20" s="446" t="s">
        <v>3112</v>
      </c>
      <c r="D20" s="447"/>
      <c r="E20" s="446" t="s">
        <v>3112</v>
      </c>
      <c r="F20" s="447"/>
      <c r="G20" s="446" t="s">
        <v>3112</v>
      </c>
      <c r="H20" s="447"/>
      <c r="I20" s="446" t="s">
        <v>3112</v>
      </c>
      <c r="J20" s="447"/>
      <c r="K20" s="2604"/>
      <c r="L20" s="1138"/>
      <c r="M20" s="1129"/>
      <c r="N20" s="1129"/>
      <c r="O20" s="1129"/>
      <c r="P20" s="3242"/>
      <c r="Q20" s="3019"/>
      <c r="R20" s="772"/>
      <c r="S20" s="773"/>
      <c r="T20" s="772"/>
      <c r="U20" s="773"/>
      <c r="V20" s="772"/>
      <c r="W20" s="773"/>
      <c r="X20" s="3022"/>
      <c r="Y20" s="3244"/>
      <c r="Z20" s="3021"/>
      <c r="AA20" s="3020">
        <v>1</v>
      </c>
      <c r="AB20" s="3020">
        <v>1</v>
      </c>
      <c r="AC20" s="3020">
        <v>1</v>
      </c>
    </row>
    <row r="21" spans="1:29" ht="71.25">
      <c r="A21" s="427"/>
      <c r="B21" s="1382" t="s">
        <v>2087</v>
      </c>
      <c r="C21" s="2605" t="str">
        <f>估价对象房地状况!C8</f>
        <v>估价对象所在区域红线内外七通，市政供暖，基础设施水平好。</v>
      </c>
      <c r="D21" s="449">
        <v>100</v>
      </c>
      <c r="E21" s="3001" t="s">
        <v>3175</v>
      </c>
      <c r="F21" s="454">
        <f>SUMIF(82:82,E22,83:83)-SUMIF(82:82,C22,83:83)+100</f>
        <v>100</v>
      </c>
      <c r="G21" s="3002" t="s">
        <v>3175</v>
      </c>
      <c r="H21" s="449">
        <f>SUMIF(82:82,G22,83:83)-SUMIF(82:82,C22,83:83)+100</f>
        <v>100</v>
      </c>
      <c r="I21" s="3002" t="s">
        <v>3175</v>
      </c>
      <c r="J21" s="449">
        <f>SUMIF(82:82,I22,83:83)-SUMIF(82:82,C22,83:83)+100</f>
        <v>100</v>
      </c>
      <c r="K21" s="444">
        <v>1</v>
      </c>
      <c r="L21" s="1138"/>
      <c r="M21" s="1129"/>
      <c r="N21" s="1129"/>
      <c r="O21" s="1129"/>
      <c r="P21" s="3242"/>
      <c r="Q21" s="3019" t="str">
        <f>B21</f>
        <v>基础设施水平</v>
      </c>
      <c r="R21" s="772" t="s">
        <v>17</v>
      </c>
      <c r="S21" s="773">
        <f>F21</f>
        <v>100</v>
      </c>
      <c r="T21" s="772" t="s">
        <v>17</v>
      </c>
      <c r="U21" s="773">
        <f>H21</f>
        <v>100</v>
      </c>
      <c r="V21" s="772" t="s">
        <v>17</v>
      </c>
      <c r="W21" s="773">
        <f>J21</f>
        <v>100</v>
      </c>
      <c r="X21" s="3022"/>
      <c r="Y21" s="3244"/>
      <c r="Z21" s="3021" t="str">
        <f>Q21</f>
        <v>基础设施水平</v>
      </c>
      <c r="AA21" s="3020">
        <f t="shared" ref="AA21" si="8">D21/F21</f>
        <v>1</v>
      </c>
      <c r="AB21" s="3020">
        <f t="shared" ref="AB21" si="9">D21/H21</f>
        <v>1</v>
      </c>
      <c r="AC21" s="3020">
        <f t="shared" ref="AC21" si="10">D21/J21</f>
        <v>1</v>
      </c>
    </row>
    <row r="22" spans="1:29" ht="15">
      <c r="A22" s="427"/>
      <c r="B22" s="1382"/>
      <c r="C22" s="2606" t="s">
        <v>3176</v>
      </c>
      <c r="D22" s="447"/>
      <c r="E22" s="2606" t="s">
        <v>3176</v>
      </c>
      <c r="F22" s="447"/>
      <c r="G22" s="2606" t="s">
        <v>3176</v>
      </c>
      <c r="H22" s="447"/>
      <c r="I22" s="2606" t="s">
        <v>3176</v>
      </c>
      <c r="J22" s="447"/>
      <c r="K22" s="2610"/>
      <c r="L22" s="1138"/>
      <c r="M22" s="1129"/>
      <c r="N22" s="1129"/>
      <c r="O22" s="1129"/>
      <c r="P22" s="3242"/>
      <c r="Q22" s="3019"/>
      <c r="R22" s="772"/>
      <c r="S22" s="773"/>
      <c r="T22" s="772"/>
      <c r="U22" s="773"/>
      <c r="V22" s="772"/>
      <c r="W22" s="773"/>
      <c r="X22" s="3022"/>
      <c r="Y22" s="3244"/>
      <c r="Z22" s="3021"/>
      <c r="AA22" s="3020">
        <v>1</v>
      </c>
      <c r="AB22" s="3020">
        <v>1</v>
      </c>
      <c r="AC22" s="3020">
        <v>1</v>
      </c>
    </row>
    <row r="23" spans="1:29" ht="156.75">
      <c r="A23" s="427"/>
      <c r="B23" s="450" t="s">
        <v>2091</v>
      </c>
      <c r="C23" s="2605" t="str">
        <f>估价对象房地状况!C9</f>
        <v>区域内有新中街城市森林公园等，街道整洁，相邻路段无污染源，自然环境较好；区域内有保利剧院、中国医史博物馆等，人文环境较较好；综合评价环境状况较好。</v>
      </c>
      <c r="D23" s="449">
        <v>100</v>
      </c>
      <c r="E23" s="3003" t="s">
        <v>3177</v>
      </c>
      <c r="F23" s="449">
        <f>SUMIF(84:84,E24,85:85)-SUMIF(84:84,C24,85:85)+100</f>
        <v>100</v>
      </c>
      <c r="G23" s="3004" t="s">
        <v>3177</v>
      </c>
      <c r="H23" s="449">
        <f>SUMIF(84:84,G24,85:85)-SUMIF(84:84,C24,85:85)+100</f>
        <v>100</v>
      </c>
      <c r="I23" s="3004" t="s">
        <v>3177</v>
      </c>
      <c r="J23" s="449">
        <f>SUMIF(84:84,I24,85:85)-SUMIF(84:84,C24,85:85)+100</f>
        <v>100</v>
      </c>
      <c r="K23" s="444">
        <v>2</v>
      </c>
      <c r="L23" s="1138"/>
      <c r="M23" s="1129"/>
      <c r="N23" s="1129"/>
      <c r="O23" s="1129"/>
      <c r="P23" s="3242"/>
      <c r="Q23" s="3019" t="str">
        <f>B23</f>
        <v>自然及人文环境</v>
      </c>
      <c r="R23" s="772" t="s">
        <v>21</v>
      </c>
      <c r="S23" s="773">
        <f>F23</f>
        <v>100</v>
      </c>
      <c r="T23" s="772" t="s">
        <v>21</v>
      </c>
      <c r="U23" s="773">
        <f>H23</f>
        <v>100</v>
      </c>
      <c r="V23" s="772" t="s">
        <v>21</v>
      </c>
      <c r="W23" s="773">
        <f>J23</f>
        <v>100</v>
      </c>
      <c r="X23" s="3022"/>
      <c r="Y23" s="3244"/>
      <c r="Z23" s="3021" t="str">
        <f>Q23</f>
        <v>自然及人文环境</v>
      </c>
      <c r="AA23" s="3020">
        <f>D23/F23</f>
        <v>1</v>
      </c>
      <c r="AB23" s="3020">
        <f>D23/H23</f>
        <v>1</v>
      </c>
      <c r="AC23" s="3020">
        <f>D23/J23</f>
        <v>1</v>
      </c>
    </row>
    <row r="24" spans="1:29" ht="15">
      <c r="A24" s="427"/>
      <c r="B24" s="455"/>
      <c r="C24" s="446" t="s">
        <v>3112</v>
      </c>
      <c r="D24" s="447"/>
      <c r="E24" s="446" t="s">
        <v>3112</v>
      </c>
      <c r="F24" s="447"/>
      <c r="G24" s="446" t="s">
        <v>3112</v>
      </c>
      <c r="H24" s="447"/>
      <c r="I24" s="446" t="s">
        <v>3112</v>
      </c>
      <c r="J24" s="447"/>
      <c r="K24" s="2604"/>
      <c r="L24" s="1138"/>
      <c r="M24" s="1129"/>
      <c r="N24" s="1129"/>
      <c r="O24" s="1129"/>
      <c r="P24" s="3242"/>
      <c r="Q24" s="3019"/>
      <c r="R24" s="772"/>
      <c r="S24" s="773"/>
      <c r="T24" s="772"/>
      <c r="U24" s="773"/>
      <c r="V24" s="772"/>
      <c r="W24" s="773"/>
      <c r="X24" s="3022"/>
      <c r="Y24" s="3244"/>
      <c r="Z24" s="3021"/>
      <c r="AA24" s="3020">
        <v>1</v>
      </c>
      <c r="AB24" s="3020">
        <v>1</v>
      </c>
      <c r="AC24" s="3020">
        <v>1</v>
      </c>
    </row>
    <row r="25" spans="1:29" ht="15">
      <c r="A25" s="427"/>
      <c r="B25" s="3018" t="s">
        <v>2550</v>
      </c>
      <c r="C25" s="459"/>
      <c r="D25" s="434">
        <v>100</v>
      </c>
      <c r="E25" s="2611"/>
      <c r="F25" s="434">
        <f>SUMIF(86:86,E25,87:87)-SUMIF(86:86,C25,87:87)+100</f>
        <v>100</v>
      </c>
      <c r="G25" s="2612"/>
      <c r="H25" s="434">
        <f>SUMIF(86:86,G25,87:87)-SUMIF(86:86,C25,87:87)+100</f>
        <v>100</v>
      </c>
      <c r="I25" s="2612"/>
      <c r="J25" s="434">
        <f>SUMIF(86:86,I25,87:87)-SUMIF(86:86,C25,87:87)+100</f>
        <v>100</v>
      </c>
      <c r="K25" s="425"/>
      <c r="L25" s="1138"/>
      <c r="M25" s="1129"/>
      <c r="N25" s="1129"/>
      <c r="O25" s="1129"/>
      <c r="P25" s="3242"/>
      <c r="Q25" s="3019" t="str">
        <f t="shared" ref="Q25:Q46" si="11">B25</f>
        <v>楼层-1</v>
      </c>
      <c r="R25" s="772" t="s">
        <v>21</v>
      </c>
      <c r="S25" s="773">
        <f t="shared" ref="S25:S46" si="12">F25</f>
        <v>100</v>
      </c>
      <c r="T25" s="772" t="s">
        <v>21</v>
      </c>
      <c r="U25" s="773">
        <f t="shared" ref="U25:U46" si="13">H25</f>
        <v>100</v>
      </c>
      <c r="V25" s="772" t="s">
        <v>21</v>
      </c>
      <c r="W25" s="773">
        <f t="shared" ref="W25:W46" si="14">J25</f>
        <v>100</v>
      </c>
      <c r="X25" s="3022"/>
      <c r="Y25" s="3244"/>
      <c r="Z25" s="3021" t="str">
        <f>Q25</f>
        <v>楼层-1</v>
      </c>
      <c r="AA25" s="3020">
        <f t="shared" ref="AA25:AA46" si="15">D25/F25</f>
        <v>1</v>
      </c>
      <c r="AB25" s="3020">
        <f t="shared" ref="AB25:AB46" si="16">D25/H25</f>
        <v>1</v>
      </c>
      <c r="AC25" s="3020">
        <f t="shared" ref="AC25:AC46" si="17">D25/J25</f>
        <v>1</v>
      </c>
    </row>
    <row r="26" spans="1:29" ht="15.75" thickBot="1">
      <c r="A26" s="427"/>
      <c r="B26" s="3018" t="s">
        <v>2551</v>
      </c>
      <c r="C26" s="459"/>
      <c r="D26" s="434">
        <v>100</v>
      </c>
      <c r="E26" s="2611"/>
      <c r="F26" s="434">
        <f>SUMIF(88:88,E26,89:89)-SUMIF(88:88,C26,89:89)+100</f>
        <v>100</v>
      </c>
      <c r="G26" s="2612"/>
      <c r="H26" s="434">
        <f>SUMIF(88:88,G26,89:89)-SUMIF(88:88,C26,89:89)+100</f>
        <v>100</v>
      </c>
      <c r="I26" s="2612"/>
      <c r="J26" s="434">
        <f>SUMIF(88:88,I26,89:89)-SUMIF(88:88,C26,89:89)+100</f>
        <v>100</v>
      </c>
      <c r="K26" s="425">
        <v>2</v>
      </c>
      <c r="L26" s="1138"/>
      <c r="M26" s="1129"/>
      <c r="N26" s="1129"/>
      <c r="O26" s="1129"/>
      <c r="P26" s="3242"/>
      <c r="Q26" s="3019" t="str">
        <f t="shared" si="11"/>
        <v>朝向</v>
      </c>
      <c r="R26" s="772" t="s">
        <v>21</v>
      </c>
      <c r="S26" s="773">
        <f t="shared" si="12"/>
        <v>100</v>
      </c>
      <c r="T26" s="772" t="s">
        <v>21</v>
      </c>
      <c r="U26" s="773">
        <f t="shared" si="13"/>
        <v>100</v>
      </c>
      <c r="V26" s="772" t="s">
        <v>21</v>
      </c>
      <c r="W26" s="773">
        <f t="shared" si="14"/>
        <v>100</v>
      </c>
      <c r="X26" s="3022"/>
      <c r="Y26" s="3244"/>
      <c r="Z26" s="3021" t="str">
        <f>Q26</f>
        <v>朝向</v>
      </c>
      <c r="AA26" s="3020">
        <f t="shared" si="15"/>
        <v>1</v>
      </c>
      <c r="AB26" s="3020">
        <f t="shared" si="16"/>
        <v>1</v>
      </c>
      <c r="AC26" s="3020">
        <f t="shared" si="17"/>
        <v>1</v>
      </c>
    </row>
    <row r="27" spans="1:29" s="116" customFormat="1" ht="15.75" thickTop="1">
      <c r="A27" s="430"/>
      <c r="B27" s="2994" t="s">
        <v>3185</v>
      </c>
      <c r="C27" s="2970" t="s">
        <v>3167</v>
      </c>
      <c r="D27" s="461">
        <v>100</v>
      </c>
      <c r="E27" s="2970" t="s">
        <v>3167</v>
      </c>
      <c r="F27" s="461">
        <f>SUMIF(90:90,E27,91:91)-SUMIF(90:90,C27,91:91)+100</f>
        <v>100</v>
      </c>
      <c r="G27" s="2970" t="s">
        <v>3167</v>
      </c>
      <c r="H27" s="461">
        <f>SUMIF(90:90,G27,91:91)-SUMIF(90:90,C27,91:91)+100</f>
        <v>100</v>
      </c>
      <c r="I27" s="2970" t="s">
        <v>3167</v>
      </c>
      <c r="J27" s="461">
        <f>SUMIF(90:90,I27,91:91)-SUMIF(90:90,C27,91:91)+100</f>
        <v>100</v>
      </c>
      <c r="K27" s="2599"/>
      <c r="L27" s="1130"/>
      <c r="M27" s="1131"/>
      <c r="N27" s="1131"/>
      <c r="O27" s="1131"/>
      <c r="P27" s="3242"/>
      <c r="Q27" s="3016" t="str">
        <f t="shared" si="11"/>
        <v>道路级别</v>
      </c>
      <c r="R27" s="768" t="s">
        <v>21</v>
      </c>
      <c r="S27" s="769">
        <f t="shared" si="12"/>
        <v>100</v>
      </c>
      <c r="T27" s="768" t="s">
        <v>21</v>
      </c>
      <c r="U27" s="769">
        <f t="shared" si="13"/>
        <v>100</v>
      </c>
      <c r="V27" s="768" t="s">
        <v>21</v>
      </c>
      <c r="W27" s="769">
        <f t="shared" si="14"/>
        <v>100</v>
      </c>
      <c r="X27" s="770"/>
      <c r="Y27" s="3244"/>
      <c r="Z27" s="3017" t="str">
        <f>Q27</f>
        <v>道路级别</v>
      </c>
      <c r="AA27" s="3020">
        <f t="shared" si="15"/>
        <v>1</v>
      </c>
      <c r="AB27" s="3020">
        <f t="shared" si="16"/>
        <v>1</v>
      </c>
      <c r="AC27" s="3020">
        <f t="shared" si="17"/>
        <v>1</v>
      </c>
    </row>
    <row r="28" spans="1:29" ht="15">
      <c r="A28" s="427"/>
      <c r="B28" s="2994" t="s">
        <v>3186</v>
      </c>
      <c r="C28" s="3005" t="s">
        <v>3188</v>
      </c>
      <c r="D28" s="434">
        <v>100</v>
      </c>
      <c r="E28" s="3005" t="s">
        <v>3188</v>
      </c>
      <c r="F28" s="434">
        <f>SUMIF(92:92,E28,93:93)-SUMIF(92:92,C28,93:93)+100</f>
        <v>100</v>
      </c>
      <c r="G28" s="3005" t="s">
        <v>3188</v>
      </c>
      <c r="H28" s="434">
        <f>SUMIF(92:92,G28,93:93)-SUMIF(92:92,C28,93:93)+100</f>
        <v>100</v>
      </c>
      <c r="I28" s="3005" t="s">
        <v>3188</v>
      </c>
      <c r="J28" s="434">
        <f>SUMIF(92:92,I28,93:93)-SUMIF(92:92,C28,93:93)+100</f>
        <v>100</v>
      </c>
      <c r="K28" s="2599"/>
      <c r="L28" s="1138"/>
      <c r="M28" s="1129"/>
      <c r="N28" s="1129"/>
      <c r="O28" s="1129"/>
      <c r="P28" s="3242"/>
      <c r="Q28" s="3019" t="str">
        <f t="shared" si="11"/>
        <v>人流量</v>
      </c>
      <c r="R28" s="772" t="s">
        <v>21</v>
      </c>
      <c r="S28" s="773">
        <f t="shared" si="12"/>
        <v>100</v>
      </c>
      <c r="T28" s="772" t="s">
        <v>21</v>
      </c>
      <c r="U28" s="773">
        <f t="shared" si="13"/>
        <v>100</v>
      </c>
      <c r="V28" s="772" t="s">
        <v>21</v>
      </c>
      <c r="W28" s="773">
        <f t="shared" si="14"/>
        <v>100</v>
      </c>
      <c r="X28" s="3022"/>
      <c r="Y28" s="3244"/>
      <c r="Z28" s="3021" t="str">
        <f t="shared" ref="Z28:Z46" si="18">Q28</f>
        <v>人流量</v>
      </c>
      <c r="AA28" s="3020">
        <f t="shared" si="15"/>
        <v>1</v>
      </c>
      <c r="AB28" s="3020">
        <f t="shared" si="16"/>
        <v>1</v>
      </c>
      <c r="AC28" s="3020">
        <f t="shared" si="17"/>
        <v>1</v>
      </c>
    </row>
    <row r="29" spans="1:29" ht="15">
      <c r="A29" s="427"/>
      <c r="B29" s="2994" t="s">
        <v>3279</v>
      </c>
      <c r="C29" s="3005" t="s">
        <v>3273</v>
      </c>
      <c r="D29" s="434">
        <v>100</v>
      </c>
      <c r="E29" s="3005" t="s">
        <v>3282</v>
      </c>
      <c r="F29" s="434">
        <f>SUMIF(94:94,E29,95:95)-SUMIF(94:94,C29,95:95)+100</f>
        <v>101</v>
      </c>
      <c r="G29" s="3011" t="s">
        <v>3281</v>
      </c>
      <c r="H29" s="434">
        <f>SUMIF(94:94,G29,95:95)-SUMIF(94:94,C29,95:95)+100</f>
        <v>104</v>
      </c>
      <c r="I29" s="3005" t="s">
        <v>3271</v>
      </c>
      <c r="J29" s="434">
        <f>SUMIF(94:94,I29,95:95)-SUMIF(94:94,C29,95:95)+100</f>
        <v>101</v>
      </c>
      <c r="K29" s="2599"/>
      <c r="L29" s="1138"/>
      <c r="M29" s="1129"/>
      <c r="N29" s="1129"/>
      <c r="O29" s="1129"/>
      <c r="P29" s="3242"/>
      <c r="Q29" s="3019" t="str">
        <f t="shared" si="11"/>
        <v>朝向</v>
      </c>
      <c r="R29" s="772" t="s">
        <v>21</v>
      </c>
      <c r="S29" s="773">
        <f t="shared" si="12"/>
        <v>101</v>
      </c>
      <c r="T29" s="772" t="s">
        <v>21</v>
      </c>
      <c r="U29" s="773">
        <f t="shared" si="13"/>
        <v>104</v>
      </c>
      <c r="V29" s="772" t="s">
        <v>21</v>
      </c>
      <c r="W29" s="773">
        <f t="shared" si="14"/>
        <v>101</v>
      </c>
      <c r="X29" s="3022"/>
      <c r="Y29" s="3244"/>
      <c r="Z29" s="3021" t="str">
        <f t="shared" si="18"/>
        <v>朝向</v>
      </c>
      <c r="AA29" s="3020">
        <f t="shared" si="15"/>
        <v>0.99009900990099009</v>
      </c>
      <c r="AB29" s="3020">
        <f t="shared" si="16"/>
        <v>0.96153846153846156</v>
      </c>
      <c r="AC29" s="3020">
        <f t="shared" si="17"/>
        <v>0.99009900990099009</v>
      </c>
    </row>
    <row r="30" spans="1:29" ht="15">
      <c r="A30" s="427"/>
      <c r="B30" s="1384">
        <v>111</v>
      </c>
      <c r="C30" s="433"/>
      <c r="D30" s="434">
        <v>100</v>
      </c>
      <c r="E30" s="433"/>
      <c r="F30" s="434">
        <f>SUMIF(96:96,E30,97:97)-SUMIF(96:96,C30,97:97)+100</f>
        <v>100</v>
      </c>
      <c r="G30" s="2613"/>
      <c r="H30" s="434">
        <f>SUMIF(96:96,G30,97:97)-SUMIF(96:96,C30,97:97)+100</f>
        <v>100</v>
      </c>
      <c r="I30" s="433"/>
      <c r="J30" s="434">
        <f>SUMIF(96:96,I30,97:97)-SUMIF(96:96,C30,97:97)+100</f>
        <v>100</v>
      </c>
      <c r="K30" s="2599"/>
      <c r="L30" s="1138"/>
      <c r="M30" s="1129"/>
      <c r="N30" s="1129"/>
      <c r="O30" s="1129"/>
      <c r="P30" s="3242"/>
      <c r="Q30" s="3019">
        <f t="shared" si="11"/>
        <v>111</v>
      </c>
      <c r="R30" s="772" t="s">
        <v>21</v>
      </c>
      <c r="S30" s="773">
        <f t="shared" si="12"/>
        <v>100</v>
      </c>
      <c r="T30" s="772" t="s">
        <v>21</v>
      </c>
      <c r="U30" s="773">
        <f t="shared" si="13"/>
        <v>100</v>
      </c>
      <c r="V30" s="772" t="s">
        <v>21</v>
      </c>
      <c r="W30" s="773">
        <f t="shared" si="14"/>
        <v>100</v>
      </c>
      <c r="X30" s="3022"/>
      <c r="Y30" s="3244"/>
      <c r="Z30" s="3021">
        <f t="shared" si="18"/>
        <v>111</v>
      </c>
      <c r="AA30" s="3020">
        <f t="shared" si="15"/>
        <v>1</v>
      </c>
      <c r="AB30" s="3020">
        <f t="shared" si="16"/>
        <v>1</v>
      </c>
      <c r="AC30" s="3020">
        <f t="shared" si="17"/>
        <v>1</v>
      </c>
    </row>
    <row r="31" spans="1:29" ht="15.75" thickBot="1">
      <c r="A31" s="435"/>
      <c r="B31" s="1384">
        <v>111</v>
      </c>
      <c r="C31" s="436"/>
      <c r="D31" s="437">
        <v>100</v>
      </c>
      <c r="E31" s="436"/>
      <c r="F31" s="437">
        <f>SUMIF(98:98,E31,99:99)-SUMIF(98:98,C31,99:99)+100</f>
        <v>100</v>
      </c>
      <c r="G31" s="2614"/>
      <c r="H31" s="437">
        <f>SUMIF(98:98,G31,99:99)-SUMIF(98:98,C31,99:99)+100</f>
        <v>100</v>
      </c>
      <c r="I31" s="436"/>
      <c r="J31" s="437">
        <f>SUMIF(98:98,I31,99:99)-SUMIF(98:98,C31,99:99)+100</f>
        <v>100</v>
      </c>
      <c r="K31" s="2599"/>
      <c r="L31" s="1138"/>
      <c r="M31" s="1129"/>
      <c r="N31" s="1129"/>
      <c r="O31" s="1129"/>
      <c r="P31" s="3242"/>
      <c r="Q31" s="3019">
        <f t="shared" si="11"/>
        <v>111</v>
      </c>
      <c r="R31" s="772" t="s">
        <v>21</v>
      </c>
      <c r="S31" s="773">
        <f t="shared" si="12"/>
        <v>100</v>
      </c>
      <c r="T31" s="772" t="s">
        <v>21</v>
      </c>
      <c r="U31" s="773">
        <f t="shared" si="13"/>
        <v>100</v>
      </c>
      <c r="V31" s="772" t="s">
        <v>21</v>
      </c>
      <c r="W31" s="773">
        <f t="shared" si="14"/>
        <v>100</v>
      </c>
      <c r="X31" s="3022"/>
      <c r="Y31" s="3244"/>
      <c r="Z31" s="3021">
        <f t="shared" si="18"/>
        <v>111</v>
      </c>
      <c r="AA31" s="3020">
        <f t="shared" si="15"/>
        <v>1</v>
      </c>
      <c r="AB31" s="3020">
        <f t="shared" si="16"/>
        <v>1</v>
      </c>
      <c r="AC31" s="3020">
        <f t="shared" si="17"/>
        <v>1</v>
      </c>
    </row>
    <row r="32" spans="1:29" ht="15">
      <c r="A32" s="439" t="s">
        <v>2552</v>
      </c>
      <c r="B32" s="70" t="s">
        <v>2553</v>
      </c>
      <c r="C32" s="2615" t="s">
        <v>3192</v>
      </c>
      <c r="D32" s="466">
        <v>100</v>
      </c>
      <c r="E32" s="2615" t="s">
        <v>3192</v>
      </c>
      <c r="F32" s="460">
        <f>SUMIF(100:100,E32,101:101)-SUMIF(100:100,C32,101:101)+100</f>
        <v>100</v>
      </c>
      <c r="G32" s="2615" t="s">
        <v>3192</v>
      </c>
      <c r="H32" s="466">
        <f>SUMIF(100:100,G32,101:101)-SUMIF(100:100,C32,101:101)+100</f>
        <v>100</v>
      </c>
      <c r="I32" s="2615" t="s">
        <v>3192</v>
      </c>
      <c r="J32" s="434">
        <f>SUMIF(100:100,I32,101:101)-SUMIF(100:100,C32,101:101)+100</f>
        <v>100</v>
      </c>
      <c r="K32" s="425">
        <v>2</v>
      </c>
      <c r="L32" s="1138"/>
      <c r="M32" s="1129"/>
      <c r="N32" s="1129"/>
      <c r="O32" s="1129"/>
      <c r="P32" s="3245" t="s">
        <v>2554</v>
      </c>
      <c r="Q32" s="3019" t="str">
        <f t="shared" si="11"/>
        <v>建筑类型</v>
      </c>
      <c r="R32" s="772" t="s">
        <v>21</v>
      </c>
      <c r="S32" s="773">
        <f t="shared" si="12"/>
        <v>100</v>
      </c>
      <c r="T32" s="772" t="s">
        <v>21</v>
      </c>
      <c r="U32" s="773">
        <f t="shared" si="13"/>
        <v>100</v>
      </c>
      <c r="V32" s="772" t="s">
        <v>21</v>
      </c>
      <c r="W32" s="773">
        <f t="shared" si="14"/>
        <v>100</v>
      </c>
      <c r="X32" s="3022"/>
      <c r="Y32" s="3248" t="s">
        <v>2554</v>
      </c>
      <c r="Z32" s="3021" t="str">
        <f t="shared" si="18"/>
        <v>建筑类型</v>
      </c>
      <c r="AA32" s="3020">
        <f t="shared" si="15"/>
        <v>1</v>
      </c>
      <c r="AB32" s="3020">
        <f t="shared" si="16"/>
        <v>1</v>
      </c>
      <c r="AC32" s="3020">
        <f t="shared" si="17"/>
        <v>1</v>
      </c>
    </row>
    <row r="33" spans="1:29" s="470" customFormat="1" ht="15">
      <c r="A33" s="467"/>
      <c r="B33" s="3357" t="s">
        <v>2555</v>
      </c>
      <c r="C33" s="468"/>
      <c r="D33" s="135">
        <v>100</v>
      </c>
      <c r="E33" s="429"/>
      <c r="F33" s="424">
        <f>LOOKUP(E33,103:103,104:104)-LOOKUP(C33,103:103,104:104)+100</f>
        <v>100</v>
      </c>
      <c r="G33" s="428"/>
      <c r="H33" s="135">
        <f>LOOKUP(G33,103:103,104:104)-LOOKUP(C33,103:103,104:104)+100</f>
        <v>100</v>
      </c>
      <c r="I33" s="429"/>
      <c r="J33" s="135">
        <f>LOOKUP(I33,103:103,104:104)-LOOKUP(C33,103:103,104:104)+100</f>
        <v>100</v>
      </c>
      <c r="K33" s="2599"/>
      <c r="L33" s="1136"/>
      <c r="M33" s="1139"/>
      <c r="N33" s="1139"/>
      <c r="O33" s="1139"/>
      <c r="P33" s="3246"/>
      <c r="Q33" s="774" t="str">
        <f t="shared" si="11"/>
        <v>项目建筑规模</v>
      </c>
      <c r="R33" s="775" t="s">
        <v>21</v>
      </c>
      <c r="S33" s="776">
        <f t="shared" si="12"/>
        <v>100</v>
      </c>
      <c r="T33" s="775" t="s">
        <v>21</v>
      </c>
      <c r="U33" s="776">
        <f t="shared" si="13"/>
        <v>100</v>
      </c>
      <c r="V33" s="775" t="s">
        <v>21</v>
      </c>
      <c r="W33" s="776">
        <f t="shared" si="14"/>
        <v>100</v>
      </c>
      <c r="X33" s="777"/>
      <c r="Y33" s="3248"/>
      <c r="Z33" s="778" t="str">
        <f t="shared" si="18"/>
        <v>项目建筑规模</v>
      </c>
      <c r="AA33" s="3020">
        <f t="shared" si="15"/>
        <v>1</v>
      </c>
      <c r="AB33" s="3020">
        <f t="shared" si="16"/>
        <v>1</v>
      </c>
      <c r="AC33" s="3020">
        <f t="shared" si="17"/>
        <v>1</v>
      </c>
    </row>
    <row r="34" spans="1:29" ht="15">
      <c r="A34" s="471"/>
      <c r="B34" s="3018" t="s">
        <v>2556</v>
      </c>
      <c r="C34" s="2616" t="s">
        <v>3075</v>
      </c>
      <c r="D34" s="434">
        <v>100</v>
      </c>
      <c r="E34" s="2616" t="s">
        <v>3075</v>
      </c>
      <c r="F34" s="460">
        <f>SUMIF(105:105,E34,106:106)-SUMIF(105:105,C34,106:106)+100</f>
        <v>100</v>
      </c>
      <c r="G34" s="2616" t="s">
        <v>3075</v>
      </c>
      <c r="H34" s="434">
        <f>SUMIF(105:105,G34,106:106)-SUMIF(105:105,C34,106:106)+100</f>
        <v>100</v>
      </c>
      <c r="I34" s="2616" t="s">
        <v>3075</v>
      </c>
      <c r="J34" s="434">
        <f>SUMIF(105:105,I34,106:106)-SUMIF(105:105,C34,106:106)+100</f>
        <v>100</v>
      </c>
      <c r="K34" s="425">
        <v>1</v>
      </c>
      <c r="L34" s="1138"/>
      <c r="M34" s="1129"/>
      <c r="N34" s="1129"/>
      <c r="O34" s="1129"/>
      <c r="P34" s="3246"/>
      <c r="Q34" s="3019" t="str">
        <f t="shared" si="11"/>
        <v>建筑结构</v>
      </c>
      <c r="R34" s="772" t="s">
        <v>21</v>
      </c>
      <c r="S34" s="773">
        <f t="shared" si="12"/>
        <v>100</v>
      </c>
      <c r="T34" s="772" t="s">
        <v>21</v>
      </c>
      <c r="U34" s="773">
        <f t="shared" si="13"/>
        <v>100</v>
      </c>
      <c r="V34" s="772" t="s">
        <v>21</v>
      </c>
      <c r="W34" s="773">
        <f t="shared" si="14"/>
        <v>100</v>
      </c>
      <c r="X34" s="3022"/>
      <c r="Y34" s="3248"/>
      <c r="Z34" s="3021" t="str">
        <f t="shared" si="18"/>
        <v>建筑结构</v>
      </c>
      <c r="AA34" s="3020">
        <f t="shared" si="15"/>
        <v>1</v>
      </c>
      <c r="AB34" s="3020">
        <f t="shared" si="16"/>
        <v>1</v>
      </c>
      <c r="AC34" s="3020">
        <f t="shared" si="17"/>
        <v>1</v>
      </c>
    </row>
    <row r="35" spans="1:29" ht="15">
      <c r="A35" s="471"/>
      <c r="B35" s="3018" t="s">
        <v>2557</v>
      </c>
      <c r="C35" s="2611" t="s">
        <v>3179</v>
      </c>
      <c r="D35" s="434">
        <v>100</v>
      </c>
      <c r="E35" s="2611" t="s">
        <v>3179</v>
      </c>
      <c r="F35" s="460">
        <f>SUMIF(107:107,E35,108:108)-SUMIF(107:107,C35,108:108)+100</f>
        <v>100</v>
      </c>
      <c r="G35" s="2611" t="s">
        <v>3179</v>
      </c>
      <c r="H35" s="434">
        <f>SUMIF(107:107,G35,108:108)-SUMIF(107:107,C35,108:108)+100</f>
        <v>100</v>
      </c>
      <c r="I35" s="2611" t="s">
        <v>3179</v>
      </c>
      <c r="J35" s="434">
        <f>SUMIF(107:107,I35,108:108)-SUMIF(107:107,C35,108:108)+100</f>
        <v>100</v>
      </c>
      <c r="K35" s="425">
        <v>2</v>
      </c>
      <c r="L35" s="1138"/>
      <c r="M35" s="1129"/>
      <c r="N35" s="1129"/>
      <c r="O35" s="1129"/>
      <c r="P35" s="3246"/>
      <c r="Q35" s="3019" t="str">
        <f t="shared" si="11"/>
        <v>建筑品质</v>
      </c>
      <c r="R35" s="772" t="s">
        <v>21</v>
      </c>
      <c r="S35" s="773">
        <f t="shared" si="12"/>
        <v>100</v>
      </c>
      <c r="T35" s="772" t="s">
        <v>21</v>
      </c>
      <c r="U35" s="773">
        <f t="shared" si="13"/>
        <v>100</v>
      </c>
      <c r="V35" s="772" t="s">
        <v>21</v>
      </c>
      <c r="W35" s="773">
        <f t="shared" si="14"/>
        <v>100</v>
      </c>
      <c r="X35" s="3022"/>
      <c r="Y35" s="3248"/>
      <c r="Z35" s="3021" t="str">
        <f t="shared" si="18"/>
        <v>建筑品质</v>
      </c>
      <c r="AA35" s="3020">
        <f t="shared" si="15"/>
        <v>1</v>
      </c>
      <c r="AB35" s="3020">
        <f t="shared" si="16"/>
        <v>1</v>
      </c>
      <c r="AC35" s="3020">
        <f t="shared" si="17"/>
        <v>1</v>
      </c>
    </row>
    <row r="36" spans="1:29" ht="15">
      <c r="A36" s="471"/>
      <c r="B36" s="3018" t="s">
        <v>2558</v>
      </c>
      <c r="C36" s="2611" t="s">
        <v>3194</v>
      </c>
      <c r="D36" s="434">
        <v>100</v>
      </c>
      <c r="E36" s="2611" t="s">
        <v>3194</v>
      </c>
      <c r="F36" s="460">
        <f>SUMIF(109:109,E36,110:110)-SUMIF(109:109,C36,110:110)+100</f>
        <v>100</v>
      </c>
      <c r="G36" s="2611" t="s">
        <v>3194</v>
      </c>
      <c r="H36" s="434">
        <f>SUMIF(109:109,G36,110:110)-SUMIF(109:109,C36,110:110)+100</f>
        <v>100</v>
      </c>
      <c r="I36" s="2611" t="s">
        <v>3194</v>
      </c>
      <c r="J36" s="434">
        <f>SUMIF(109:109,I36,110:110)-SUMIF(109:109,C36,110:110)+100</f>
        <v>100</v>
      </c>
      <c r="K36" s="425">
        <v>2</v>
      </c>
      <c r="L36" s="1138"/>
      <c r="M36" s="1129"/>
      <c r="N36" s="1129"/>
      <c r="O36" s="1129"/>
      <c r="P36" s="3246"/>
      <c r="Q36" s="3019" t="str">
        <f t="shared" si="11"/>
        <v>公共部分装修</v>
      </c>
      <c r="R36" s="772" t="s">
        <v>21</v>
      </c>
      <c r="S36" s="773">
        <f t="shared" si="12"/>
        <v>100</v>
      </c>
      <c r="T36" s="772" t="s">
        <v>21</v>
      </c>
      <c r="U36" s="773">
        <f t="shared" si="13"/>
        <v>100</v>
      </c>
      <c r="V36" s="772" t="s">
        <v>21</v>
      </c>
      <c r="W36" s="773">
        <f t="shared" si="14"/>
        <v>100</v>
      </c>
      <c r="X36" s="3022"/>
      <c r="Y36" s="3248"/>
      <c r="Z36" s="3021" t="str">
        <f t="shared" si="18"/>
        <v>公共部分装修</v>
      </c>
      <c r="AA36" s="3020">
        <f t="shared" si="15"/>
        <v>1</v>
      </c>
      <c r="AB36" s="3020">
        <f t="shared" si="16"/>
        <v>1</v>
      </c>
      <c r="AC36" s="3020">
        <f t="shared" si="17"/>
        <v>1</v>
      </c>
    </row>
    <row r="37" spans="1:29" s="116" customFormat="1" ht="15">
      <c r="A37" s="472"/>
      <c r="B37" s="3018" t="s">
        <v>2559</v>
      </c>
      <c r="C37" s="473">
        <f>'数据-取费表'!N7</f>
        <v>0.73333333333333328</v>
      </c>
      <c r="D37" s="135">
        <v>100</v>
      </c>
      <c r="E37" s="473">
        <f>C37</f>
        <v>0.73333333333333328</v>
      </c>
      <c r="F37" s="424">
        <f>LOOKUP(E37,112:112,113:113)-LOOKUP(C37,112:112,113:113)+100</f>
        <v>100</v>
      </c>
      <c r="G37" s="475">
        <f>C37</f>
        <v>0.73333333333333328</v>
      </c>
      <c r="H37" s="135">
        <f>LOOKUP(G37,112:112,113:113)-LOOKUP(C37,112:112,113:113)+100</f>
        <v>100</v>
      </c>
      <c r="I37" s="474">
        <f>C37</f>
        <v>0.73333333333333328</v>
      </c>
      <c r="J37" s="135">
        <f>LOOKUP(I37,112:112,113:113)-LOOKUP(C37,112:112,113:113)+100</f>
        <v>100</v>
      </c>
      <c r="K37" s="425">
        <v>1</v>
      </c>
      <c r="L37" s="1130"/>
      <c r="M37" s="1131"/>
      <c r="N37" s="1131"/>
      <c r="O37" s="1131"/>
      <c r="P37" s="3246"/>
      <c r="Q37" s="3016" t="str">
        <f t="shared" si="11"/>
        <v>成新度</v>
      </c>
      <c r="R37" s="768" t="s">
        <v>21</v>
      </c>
      <c r="S37" s="769">
        <f t="shared" si="12"/>
        <v>100</v>
      </c>
      <c r="T37" s="768" t="s">
        <v>21</v>
      </c>
      <c r="U37" s="769">
        <f t="shared" si="13"/>
        <v>100</v>
      </c>
      <c r="V37" s="768" t="s">
        <v>21</v>
      </c>
      <c r="W37" s="769">
        <f t="shared" si="14"/>
        <v>100</v>
      </c>
      <c r="X37" s="770"/>
      <c r="Y37" s="3248"/>
      <c r="Z37" s="3017" t="str">
        <f t="shared" si="18"/>
        <v>成新度</v>
      </c>
      <c r="AA37" s="771">
        <f t="shared" si="15"/>
        <v>1</v>
      </c>
      <c r="AB37" s="771">
        <f t="shared" si="16"/>
        <v>1</v>
      </c>
      <c r="AC37" s="771">
        <f t="shared" si="17"/>
        <v>1</v>
      </c>
    </row>
    <row r="38" spans="1:29" ht="15">
      <c r="A38" s="471"/>
      <c r="B38" s="3018" t="s">
        <v>2560</v>
      </c>
      <c r="C38" s="2611" t="s">
        <v>3195</v>
      </c>
      <c r="D38" s="434">
        <v>100</v>
      </c>
      <c r="E38" s="2611" t="s">
        <v>3195</v>
      </c>
      <c r="F38" s="460">
        <f>SUMIF(114:114,E38,115:115)-SUMIF(114:114,C38,115:115)+100</f>
        <v>100</v>
      </c>
      <c r="G38" s="2611" t="s">
        <v>3195</v>
      </c>
      <c r="H38" s="434">
        <f>SUMIF(114:114,G38,115:115)-SUMIF(114:114,C38,115:115)+100</f>
        <v>100</v>
      </c>
      <c r="I38" s="2611" t="s">
        <v>3195</v>
      </c>
      <c r="J38" s="434">
        <f>SUMIF(114:114,I38,115:115)-SUMIF(114:114,C38,115:115)+100</f>
        <v>100</v>
      </c>
      <c r="K38" s="425">
        <v>1</v>
      </c>
      <c r="L38" s="1138"/>
      <c r="M38" s="1129"/>
      <c r="N38" s="1129"/>
      <c r="O38" s="1129"/>
      <c r="P38" s="3246" t="s">
        <v>2554</v>
      </c>
      <c r="Q38" s="3019" t="str">
        <f t="shared" si="11"/>
        <v>物业管理</v>
      </c>
      <c r="R38" s="772" t="s">
        <v>21</v>
      </c>
      <c r="S38" s="773">
        <f t="shared" si="12"/>
        <v>100</v>
      </c>
      <c r="T38" s="772" t="s">
        <v>21</v>
      </c>
      <c r="U38" s="773">
        <f t="shared" si="13"/>
        <v>100</v>
      </c>
      <c r="V38" s="772" t="s">
        <v>21</v>
      </c>
      <c r="W38" s="773">
        <f t="shared" si="14"/>
        <v>100</v>
      </c>
      <c r="X38" s="3022"/>
      <c r="Y38" s="3248" t="s">
        <v>2554</v>
      </c>
      <c r="Z38" s="3021" t="str">
        <f t="shared" si="18"/>
        <v>物业管理</v>
      </c>
      <c r="AA38" s="3020">
        <f t="shared" si="15"/>
        <v>1</v>
      </c>
      <c r="AB38" s="3020">
        <f t="shared" si="16"/>
        <v>1</v>
      </c>
      <c r="AC38" s="3020">
        <f t="shared" si="17"/>
        <v>1</v>
      </c>
    </row>
    <row r="39" spans="1:29" ht="15">
      <c r="A39" s="471"/>
      <c r="B39" s="3018" t="s">
        <v>2561</v>
      </c>
      <c r="C39" s="2611" t="s">
        <v>3176</v>
      </c>
      <c r="D39" s="434">
        <v>100</v>
      </c>
      <c r="E39" s="2611" t="s">
        <v>3176</v>
      </c>
      <c r="F39" s="460">
        <f>SUMIF(116:116,E39,117:117)-SUMIF(116:116,C39,117:117)+100</f>
        <v>100</v>
      </c>
      <c r="G39" s="2611" t="s">
        <v>3176</v>
      </c>
      <c r="H39" s="434">
        <f>SUMIF(116:116,G39,117:117)-SUMIF(116:116,C39,117:117)+100</f>
        <v>100</v>
      </c>
      <c r="I39" s="2611" t="s">
        <v>3176</v>
      </c>
      <c r="J39" s="434">
        <f>SUMIF(116:116,I39,117:117)-SUMIF(116:116,C39,117:117)+100</f>
        <v>100</v>
      </c>
      <c r="K39" s="425">
        <v>1</v>
      </c>
      <c r="L39" s="1138"/>
      <c r="M39" s="1129"/>
      <c r="N39" s="1129"/>
      <c r="O39" s="1129"/>
      <c r="P39" s="3246"/>
      <c r="Q39" s="3019" t="str">
        <f t="shared" si="11"/>
        <v>市政基础设施</v>
      </c>
      <c r="R39" s="772" t="s">
        <v>21</v>
      </c>
      <c r="S39" s="773">
        <f t="shared" si="12"/>
        <v>100</v>
      </c>
      <c r="T39" s="772" t="s">
        <v>21</v>
      </c>
      <c r="U39" s="773">
        <f t="shared" si="13"/>
        <v>100</v>
      </c>
      <c r="V39" s="772" t="s">
        <v>21</v>
      </c>
      <c r="W39" s="773">
        <f t="shared" si="14"/>
        <v>100</v>
      </c>
      <c r="X39" s="3022"/>
      <c r="Y39" s="3248"/>
      <c r="Z39" s="3021" t="str">
        <f t="shared" si="18"/>
        <v>市政基础设施</v>
      </c>
      <c r="AA39" s="3020">
        <f t="shared" si="15"/>
        <v>1</v>
      </c>
      <c r="AB39" s="3020">
        <f t="shared" si="16"/>
        <v>1</v>
      </c>
      <c r="AC39" s="3020">
        <f t="shared" si="17"/>
        <v>1</v>
      </c>
    </row>
    <row r="40" spans="1:29" ht="15">
      <c r="A40" s="471"/>
      <c r="B40" s="3018" t="s">
        <v>2562</v>
      </c>
      <c r="C40" s="2611" t="s">
        <v>3061</v>
      </c>
      <c r="D40" s="434">
        <v>100</v>
      </c>
      <c r="E40" s="2612" t="s">
        <v>3063</v>
      </c>
      <c r="F40" s="460">
        <f>SUMIF(118:118,E40,119:119)-SUMIF(118:118,C40,119:119)+100</f>
        <v>98</v>
      </c>
      <c r="G40" s="2611" t="s">
        <v>3063</v>
      </c>
      <c r="H40" s="434">
        <f>SUMIF(118:118,G40,119:119)-SUMIF(118:118,C40,119:119)+100</f>
        <v>98</v>
      </c>
      <c r="I40" s="2612" t="s">
        <v>3063</v>
      </c>
      <c r="J40" s="434">
        <f>SUMIF(118:118,I40,119:119)-SUMIF(118:118,C40,119:119)+100</f>
        <v>98</v>
      </c>
      <c r="K40" s="425">
        <v>2</v>
      </c>
      <c r="L40" s="1138"/>
      <c r="M40" s="1129"/>
      <c r="N40" s="1129"/>
      <c r="O40" s="1129"/>
      <c r="P40" s="3246"/>
      <c r="Q40" s="3019" t="str">
        <f t="shared" si="11"/>
        <v>房型</v>
      </c>
      <c r="R40" s="772" t="s">
        <v>21</v>
      </c>
      <c r="S40" s="773">
        <f t="shared" si="12"/>
        <v>98</v>
      </c>
      <c r="T40" s="772" t="s">
        <v>21</v>
      </c>
      <c r="U40" s="773">
        <f t="shared" si="13"/>
        <v>98</v>
      </c>
      <c r="V40" s="772" t="s">
        <v>21</v>
      </c>
      <c r="W40" s="773">
        <f t="shared" si="14"/>
        <v>98</v>
      </c>
      <c r="X40" s="3022"/>
      <c r="Y40" s="3248"/>
      <c r="Z40" s="3021" t="str">
        <f t="shared" si="18"/>
        <v>房型</v>
      </c>
      <c r="AA40" s="3020">
        <f t="shared" si="15"/>
        <v>1.0204081632653061</v>
      </c>
      <c r="AB40" s="3020">
        <f t="shared" si="16"/>
        <v>1.0204081632653061</v>
      </c>
      <c r="AC40" s="3020">
        <f t="shared" si="17"/>
        <v>1.0204081632653061</v>
      </c>
    </row>
    <row r="41" spans="1:29" s="470" customFormat="1" ht="28.5">
      <c r="A41" s="467"/>
      <c r="B41" s="3357" t="s">
        <v>2563</v>
      </c>
      <c r="C41" s="468">
        <f>'数据-基础表'!K18</f>
        <v>194.47</v>
      </c>
      <c r="D41" s="135">
        <v>100</v>
      </c>
      <c r="E41" s="429">
        <v>140</v>
      </c>
      <c r="F41" s="424">
        <f>SUMIF(120:120,E41,121:121)-SUMIF(120:120,C41,121:121)+100</f>
        <v>101</v>
      </c>
      <c r="G41" s="428">
        <v>165</v>
      </c>
      <c r="H41" s="135">
        <f>SUMIF(120:120,G41,121:121)-SUMIF(120:120,C41,121:121)+100</f>
        <v>100</v>
      </c>
      <c r="I41" s="476">
        <v>138</v>
      </c>
      <c r="J41" s="434">
        <f>SUMIF(120:120,I41,121:121)-SUMIF(120:120,C41,121:121)+100</f>
        <v>101</v>
      </c>
      <c r="K41" s="2599"/>
      <c r="L41" s="1136"/>
      <c r="M41" s="1139"/>
      <c r="N41" s="1139"/>
      <c r="O41" s="1139"/>
      <c r="P41" s="3246"/>
      <c r="Q41" s="774" t="str">
        <f t="shared" si="11"/>
        <v>单套/主力户型建筑面积</v>
      </c>
      <c r="R41" s="775" t="s">
        <v>21</v>
      </c>
      <c r="S41" s="776">
        <f t="shared" si="12"/>
        <v>101</v>
      </c>
      <c r="T41" s="775" t="s">
        <v>21</v>
      </c>
      <c r="U41" s="776">
        <f t="shared" si="13"/>
        <v>100</v>
      </c>
      <c r="V41" s="775" t="s">
        <v>21</v>
      </c>
      <c r="W41" s="776">
        <f t="shared" si="14"/>
        <v>101</v>
      </c>
      <c r="X41" s="777"/>
      <c r="Y41" s="3248"/>
      <c r="Z41" s="778" t="str">
        <f t="shared" si="18"/>
        <v>单套/主力户型建筑面积</v>
      </c>
      <c r="AA41" s="3020">
        <f t="shared" si="15"/>
        <v>0.99009900990099009</v>
      </c>
      <c r="AB41" s="3020">
        <f t="shared" si="16"/>
        <v>1</v>
      </c>
      <c r="AC41" s="3020">
        <f t="shared" si="17"/>
        <v>0.99009900990099009</v>
      </c>
    </row>
    <row r="42" spans="1:29" ht="15">
      <c r="A42" s="471"/>
      <c r="B42" s="3018" t="s">
        <v>2564</v>
      </c>
      <c r="C42" s="2611" t="s">
        <v>3065</v>
      </c>
      <c r="D42" s="434">
        <v>100</v>
      </c>
      <c r="E42" s="2612" t="s">
        <v>3067</v>
      </c>
      <c r="F42" s="460">
        <f>SUMIF(122:122,E42,123:123)-SUMIF(122:122,C42,123:123)+100</f>
        <v>99</v>
      </c>
      <c r="G42" s="2612" t="s">
        <v>3067</v>
      </c>
      <c r="H42" s="434">
        <f>SUMIF(122:122,G42,123:123)-SUMIF(122:122,C42,123:123)+100</f>
        <v>99</v>
      </c>
      <c r="I42" s="2612" t="s">
        <v>3067</v>
      </c>
      <c r="J42" s="434">
        <f>SUMIF(122:122,I42,123:123)-SUMIF(122:122,C42,123:123)+100</f>
        <v>99</v>
      </c>
      <c r="K42" s="425">
        <v>1</v>
      </c>
      <c r="L42" s="1138"/>
      <c r="M42" s="1129"/>
      <c r="N42" s="1129"/>
      <c r="O42" s="1129"/>
      <c r="P42" s="3246"/>
      <c r="Q42" s="3019" t="str">
        <f t="shared" si="11"/>
        <v>内部装修</v>
      </c>
      <c r="R42" s="772" t="s">
        <v>21</v>
      </c>
      <c r="S42" s="773">
        <f t="shared" si="12"/>
        <v>99</v>
      </c>
      <c r="T42" s="772" t="s">
        <v>21</v>
      </c>
      <c r="U42" s="773">
        <f t="shared" si="13"/>
        <v>99</v>
      </c>
      <c r="V42" s="772" t="s">
        <v>21</v>
      </c>
      <c r="W42" s="773">
        <f t="shared" si="14"/>
        <v>99</v>
      </c>
      <c r="X42" s="3022"/>
      <c r="Y42" s="3248"/>
      <c r="Z42" s="3021" t="str">
        <f t="shared" si="18"/>
        <v>内部装修</v>
      </c>
      <c r="AA42" s="3020">
        <f t="shared" si="15"/>
        <v>1.0101010101010102</v>
      </c>
      <c r="AB42" s="3020">
        <f t="shared" si="16"/>
        <v>1.0101010101010102</v>
      </c>
      <c r="AC42" s="3020">
        <f t="shared" si="17"/>
        <v>1.0101010101010102</v>
      </c>
    </row>
    <row r="43" spans="1:29" ht="15">
      <c r="A43" s="471"/>
      <c r="B43" s="3018" t="s">
        <v>2565</v>
      </c>
      <c r="C43" s="2611" t="s">
        <v>3072</v>
      </c>
      <c r="D43" s="434">
        <v>100</v>
      </c>
      <c r="E43" s="2612" t="s">
        <v>3072</v>
      </c>
      <c r="F43" s="460">
        <f>SUMIF(124:124,E43,125:125)-SUMIF(124:124,C43,125:125)+100</f>
        <v>100</v>
      </c>
      <c r="G43" s="2611" t="s">
        <v>3072</v>
      </c>
      <c r="H43" s="434">
        <f>SUMIF(124:124,G43,125:125)-SUMIF(124:124,C43,125:125)+100</f>
        <v>100</v>
      </c>
      <c r="I43" s="2612" t="s">
        <v>3072</v>
      </c>
      <c r="J43" s="434">
        <f>SUMIF(124:124,I43,125:125)-SUMIF(124:124,C43,125:125)+100</f>
        <v>100</v>
      </c>
      <c r="K43" s="425">
        <v>2</v>
      </c>
      <c r="L43" s="1138"/>
      <c r="M43" s="1129"/>
      <c r="N43" s="1129"/>
      <c r="O43" s="1129"/>
      <c r="P43" s="3246"/>
      <c r="Q43" s="3019" t="str">
        <f t="shared" si="11"/>
        <v>内部装修维护情况</v>
      </c>
      <c r="R43" s="772" t="s">
        <v>21</v>
      </c>
      <c r="S43" s="773">
        <f t="shared" si="12"/>
        <v>100</v>
      </c>
      <c r="T43" s="772" t="s">
        <v>21</v>
      </c>
      <c r="U43" s="773">
        <f t="shared" si="13"/>
        <v>100</v>
      </c>
      <c r="V43" s="772" t="s">
        <v>21</v>
      </c>
      <c r="W43" s="773">
        <f t="shared" si="14"/>
        <v>100</v>
      </c>
      <c r="X43" s="3022"/>
      <c r="Y43" s="3248"/>
      <c r="Z43" s="3021" t="str">
        <f t="shared" si="18"/>
        <v>内部装修维护情况</v>
      </c>
      <c r="AA43" s="3020">
        <f t="shared" si="15"/>
        <v>1</v>
      </c>
      <c r="AB43" s="3020">
        <f t="shared" si="16"/>
        <v>1</v>
      </c>
      <c r="AC43" s="3020">
        <f t="shared" si="17"/>
        <v>1</v>
      </c>
    </row>
    <row r="44" spans="1:29" s="116" customFormat="1" ht="15">
      <c r="A44" s="472"/>
      <c r="B44" s="2994" t="s">
        <v>3263</v>
      </c>
      <c r="C44" s="468">
        <v>26</v>
      </c>
      <c r="D44" s="135">
        <v>100</v>
      </c>
      <c r="E44" s="468">
        <v>13</v>
      </c>
      <c r="F44" s="424">
        <f>SUMIF(126:126,E44,127:127)-SUMIF(126:126,C44,127:127)+100</f>
        <v>97</v>
      </c>
      <c r="G44" s="468">
        <v>17</v>
      </c>
      <c r="H44" s="135">
        <f>SUMIF(126:126,G44,127:127)-SUMIF(126:126,C44,127:127)+100</f>
        <v>98</v>
      </c>
      <c r="I44" s="468">
        <v>16</v>
      </c>
      <c r="J44" s="135">
        <f>SUMIF(126:126,I44,127:127)-SUMIF(126:126,C44,127:127)+100</f>
        <v>98</v>
      </c>
      <c r="K44" s="2599"/>
      <c r="L44" s="1130"/>
      <c r="M44" s="1131"/>
      <c r="N44" s="1131"/>
      <c r="O44" s="1131"/>
      <c r="P44" s="3246"/>
      <c r="Q44" s="3016" t="str">
        <f t="shared" si="11"/>
        <v>楼层</v>
      </c>
      <c r="R44" s="768" t="s">
        <v>21</v>
      </c>
      <c r="S44" s="769">
        <f t="shared" si="12"/>
        <v>97</v>
      </c>
      <c r="T44" s="768" t="s">
        <v>21</v>
      </c>
      <c r="U44" s="769">
        <f t="shared" si="13"/>
        <v>98</v>
      </c>
      <c r="V44" s="768" t="s">
        <v>21</v>
      </c>
      <c r="W44" s="769">
        <f t="shared" si="14"/>
        <v>98</v>
      </c>
      <c r="X44" s="770"/>
      <c r="Y44" s="3248"/>
      <c r="Z44" s="3017" t="str">
        <f t="shared" si="18"/>
        <v>楼层</v>
      </c>
      <c r="AA44" s="771">
        <f t="shared" si="15"/>
        <v>1.0309278350515463</v>
      </c>
      <c r="AB44" s="771">
        <f t="shared" si="16"/>
        <v>1.0204081632653061</v>
      </c>
      <c r="AC44" s="771">
        <f t="shared" si="17"/>
        <v>1.0204081632653061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8"/>
      <c r="M45" s="1129"/>
      <c r="N45" s="1129"/>
      <c r="O45" s="1129"/>
      <c r="P45" s="3246"/>
      <c r="Q45" s="3019">
        <f t="shared" si="11"/>
        <v>111</v>
      </c>
      <c r="R45" s="772" t="s">
        <v>21</v>
      </c>
      <c r="S45" s="773">
        <f t="shared" si="12"/>
        <v>100</v>
      </c>
      <c r="T45" s="772" t="s">
        <v>21</v>
      </c>
      <c r="U45" s="773">
        <f t="shared" si="13"/>
        <v>100</v>
      </c>
      <c r="V45" s="772" t="s">
        <v>21</v>
      </c>
      <c r="W45" s="773">
        <f t="shared" si="14"/>
        <v>100</v>
      </c>
      <c r="X45" s="3022"/>
      <c r="Y45" s="3248"/>
      <c r="Z45" s="3021">
        <f t="shared" si="18"/>
        <v>111</v>
      </c>
      <c r="AA45" s="3020">
        <f t="shared" si="15"/>
        <v>1</v>
      </c>
      <c r="AB45" s="3020">
        <f t="shared" si="16"/>
        <v>1</v>
      </c>
      <c r="AC45" s="3020">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8"/>
      <c r="M46" s="1129"/>
      <c r="N46" s="1129"/>
      <c r="O46" s="1129"/>
      <c r="P46" s="3247"/>
      <c r="Q46" s="3019">
        <f t="shared" si="11"/>
        <v>111</v>
      </c>
      <c r="R46" s="772" t="s">
        <v>20</v>
      </c>
      <c r="S46" s="773">
        <f t="shared" si="12"/>
        <v>100</v>
      </c>
      <c r="T46" s="772" t="s">
        <v>20</v>
      </c>
      <c r="U46" s="773">
        <f t="shared" si="13"/>
        <v>100</v>
      </c>
      <c r="V46" s="772" t="s">
        <v>20</v>
      </c>
      <c r="W46" s="773">
        <f t="shared" si="14"/>
        <v>100</v>
      </c>
      <c r="X46" s="3022"/>
      <c r="Y46" s="3249"/>
      <c r="Z46" s="3021">
        <f t="shared" si="18"/>
        <v>111</v>
      </c>
      <c r="AA46" s="3020">
        <f t="shared" si="15"/>
        <v>1</v>
      </c>
      <c r="AB46" s="3020">
        <f t="shared" si="16"/>
        <v>1</v>
      </c>
      <c r="AC46" s="3020">
        <f t="shared" si="17"/>
        <v>1</v>
      </c>
    </row>
    <row r="47" spans="1:29" ht="15">
      <c r="A47" s="478" t="s">
        <v>2566</v>
      </c>
      <c r="B47" s="479"/>
      <c r="C47" s="1405" t="s">
        <v>19</v>
      </c>
      <c r="D47" s="1406"/>
      <c r="E47" s="1407">
        <v>7.1</v>
      </c>
      <c r="F47" s="1408"/>
      <c r="G47" s="1409">
        <v>5.45</v>
      </c>
      <c r="H47" s="1410"/>
      <c r="I47" s="1407">
        <v>6.28</v>
      </c>
      <c r="J47" s="1410"/>
      <c r="K47" s="2617"/>
      <c r="L47" s="1141"/>
      <c r="M47" s="1142"/>
      <c r="N47" s="1129"/>
      <c r="O47" s="1142"/>
      <c r="P47" s="3236" t="str">
        <f>A47</f>
        <v>成交单价（元/平方米）</v>
      </c>
      <c r="Q47" s="3236"/>
      <c r="R47" s="3237">
        <f>E47</f>
        <v>7.1</v>
      </c>
      <c r="S47" s="3237"/>
      <c r="T47" s="3237">
        <f>G47</f>
        <v>5.45</v>
      </c>
      <c r="U47" s="3237"/>
      <c r="V47" s="3237">
        <f>I47</f>
        <v>6.28</v>
      </c>
      <c r="W47" s="3237"/>
      <c r="X47" s="757"/>
      <c r="Y47" s="779"/>
      <c r="Z47" s="757"/>
      <c r="AA47" s="757"/>
      <c r="AB47" s="757"/>
      <c r="AC47" s="757"/>
    </row>
    <row r="48" spans="1:29" ht="15.75" thickBot="1">
      <c r="A48" s="485" t="s">
        <v>2567</v>
      </c>
      <c r="B48" s="486"/>
      <c r="C48" s="1411">
        <f>R49</f>
        <v>6</v>
      </c>
      <c r="D48" s="1412"/>
      <c r="E48" s="1413">
        <f>R48</f>
        <v>7</v>
      </c>
      <c r="F48" s="1413"/>
      <c r="G48" s="1411">
        <f>T48</f>
        <v>6</v>
      </c>
      <c r="H48" s="1412"/>
      <c r="I48" s="1413">
        <f>V48</f>
        <v>6</v>
      </c>
      <c r="J48" s="1412"/>
      <c r="K48" s="2618"/>
      <c r="L48" s="1141"/>
      <c r="M48" s="1142"/>
      <c r="N48" s="1142"/>
      <c r="O48" s="1142"/>
      <c r="P48" s="3236" t="str">
        <f>A48</f>
        <v>比较价值（元/平方米）</v>
      </c>
      <c r="Q48" s="3236"/>
      <c r="R48" s="3237">
        <f>IF(F1="售价",ROUND(PRODUCT(R47,AA7:AA46),0),ROUND(PRODUCT(R47,AA7:AA46),1))</f>
        <v>7</v>
      </c>
      <c r="S48" s="3237"/>
      <c r="T48" s="3237">
        <f>IF(F1="售价",ROUND(PRODUCT(T47,AB7:AB46),0),ROUND(PRODUCT(T47,AB7:AB46),1))</f>
        <v>6</v>
      </c>
      <c r="U48" s="3237"/>
      <c r="V48" s="3237">
        <f>IF(F1="售价",ROUND(PRODUCT(V47,AC7:AC46),0),ROUND(PRODUCT(V47,AC7:AC46),1))</f>
        <v>6</v>
      </c>
      <c r="W48" s="3237"/>
      <c r="X48" s="757"/>
      <c r="Y48" s="757"/>
      <c r="Z48" s="757"/>
      <c r="AA48" s="757"/>
      <c r="AB48" s="757"/>
      <c r="AC48" s="757"/>
    </row>
    <row r="49" spans="1:29" ht="15.75" thickBot="1">
      <c r="A49" s="491" t="s">
        <v>2568</v>
      </c>
      <c r="B49" s="492"/>
      <c r="C49" s="1414">
        <f>R49</f>
        <v>6</v>
      </c>
      <c r="D49" s="1415"/>
      <c r="E49" s="1415"/>
      <c r="F49" s="1415"/>
      <c r="G49" s="1415"/>
      <c r="H49" s="1415"/>
      <c r="I49" s="1415"/>
      <c r="J49" s="1415"/>
      <c r="K49" s="2619"/>
      <c r="L49" s="1141"/>
      <c r="M49" s="1142"/>
      <c r="N49" s="1142"/>
      <c r="O49" s="1142"/>
      <c r="P49" s="3238" t="str">
        <f>A49</f>
        <v>估价对象XX用房的比较价值（楼面单价，元/平方米）</v>
      </c>
      <c r="Q49" s="3239"/>
      <c r="R49" s="3240">
        <f>IF(F1="售价",ROUND(AVERAGE(R48:V48),0),ROUND(AVERAGE(R48:V48),1))</f>
        <v>6</v>
      </c>
      <c r="S49" s="3240"/>
      <c r="T49" s="3240"/>
      <c r="U49" s="3240"/>
      <c r="V49" s="3240"/>
      <c r="W49" s="3240"/>
      <c r="X49" s="757"/>
      <c r="Y49" s="757"/>
      <c r="Z49" s="757"/>
      <c r="AA49" s="757"/>
      <c r="AB49" s="757"/>
      <c r="AC49" s="757"/>
    </row>
    <row r="50" spans="1:29">
      <c r="A50" s="1142"/>
      <c r="B50" s="1142"/>
      <c r="C50" s="1142"/>
      <c r="D50" s="1142"/>
      <c r="E50" s="1142">
        <f>30000/30/E41</f>
        <v>7.1428571428571432</v>
      </c>
      <c r="F50" s="1142"/>
      <c r="G50" s="1145"/>
      <c r="H50" s="1142">
        <f>27000/30/G41</f>
        <v>5.4545454545454541</v>
      </c>
      <c r="I50" s="1142"/>
      <c r="J50" s="1142">
        <f>26000/30/I41</f>
        <v>6.2801932367149753</v>
      </c>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2569</v>
      </c>
      <c r="D52" s="497"/>
      <c r="E52" s="498">
        <f>IF(E47&lt;E48,E48/E47-1,E47/E48-1)</f>
        <v>1.4285714285714235E-2</v>
      </c>
      <c r="F52" s="499" t="str">
        <f>IF(OR(E52&gt;=0.3,E52&lt;=-0.3),"超过30%","")</f>
        <v/>
      </c>
      <c r="G52" s="498">
        <f>IF(G47&lt;G48,G48/G47-1,G47/G48-1)</f>
        <v>0.10091743119266061</v>
      </c>
      <c r="H52" s="499" t="str">
        <f>IF(OR(G52&gt;=0.3,G52&lt;=-0.3),"超过30%","")</f>
        <v/>
      </c>
      <c r="I52" s="498">
        <f>IF(I47&lt;I48,I48/I47-1,I47/I48-1)</f>
        <v>4.6666666666666634E-2</v>
      </c>
      <c r="J52" s="499" t="str">
        <f>IF(OR(I52&gt;=0.3,I52&lt;=-0.3),"超过30%","")</f>
        <v/>
      </c>
      <c r="K52" s="1103"/>
      <c r="L52" s="1104"/>
      <c r="M52" s="1142"/>
      <c r="N52" s="1142"/>
      <c r="O52" s="1142"/>
    </row>
    <row r="53" spans="1:29" ht="13.5" customHeight="1">
      <c r="A53" s="1142"/>
      <c r="B53" s="1142"/>
      <c r="C53" s="496" t="s">
        <v>2570</v>
      </c>
      <c r="D53" s="500"/>
      <c r="E53" s="498">
        <f>IF(E48&lt;G48,G48/E48-1,E48/G48-1)</f>
        <v>0.16666666666666674</v>
      </c>
      <c r="F53" s="499" t="str">
        <f>IF(OR(E53&gt;=0.2,E53&lt;=-0.2),"超过20%","")</f>
        <v/>
      </c>
      <c r="G53" s="498">
        <f>IF(G48&lt;I48,I48/G48-1,G48/I48-1)</f>
        <v>0</v>
      </c>
      <c r="H53" s="499" t="str">
        <f>IF(OR(G53&gt;=0.2,G53&lt;=-0.2),"超过20%","")</f>
        <v/>
      </c>
      <c r="I53" s="498">
        <f>IF(I48&lt;E48,E48/I48-1,I48/E48-1)</f>
        <v>0.16666666666666674</v>
      </c>
      <c r="J53" s="499" t="str">
        <f>IF(OR(I53&gt;=0.2,I53&lt;=-0.2),"超过20%","")</f>
        <v/>
      </c>
      <c r="K53" s="1103"/>
      <c r="L53" s="1104"/>
      <c r="M53" s="1142"/>
      <c r="N53" s="1142"/>
      <c r="O53" s="1142"/>
    </row>
    <row r="54" spans="1:29" s="501" customFormat="1" ht="13.5" customHeight="1">
      <c r="A54" s="1143"/>
      <c r="B54" s="1143"/>
      <c r="C54" s="496" t="s">
        <v>2571</v>
      </c>
      <c r="D54" s="500"/>
      <c r="E54" s="498">
        <f>IF(E47&lt;G47,G47/E47-1,E47/G47-1)</f>
        <v>0.30275229357798161</v>
      </c>
      <c r="F54" s="499" t="str">
        <f>IF(OR(E54&gt;=0.3,E54&lt;=-0.3),"超过30%","")</f>
        <v>超过30%</v>
      </c>
      <c r="G54" s="498">
        <f>IF(G47&lt;I47,I47/G47-1,G47/I47-1)</f>
        <v>0.15229357798165144</v>
      </c>
      <c r="H54" s="499" t="str">
        <f>IF(OR(G54&gt;=0.3,G54&lt;=-0.3),"超过30%","")</f>
        <v/>
      </c>
      <c r="I54" s="498">
        <f>IF(I47&lt;E47,E47/I47-1,I47/E47-1)</f>
        <v>0.13057324840764317</v>
      </c>
      <c r="J54" s="499" t="str">
        <f>IF(OR(I54&gt;=0.3,I54&lt;=-0.3),"超过30%","")</f>
        <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1" t="s">
        <v>2572</v>
      </c>
      <c r="B57" s="757"/>
      <c r="C57" s="762"/>
      <c r="D57" s="762"/>
      <c r="E57" s="762"/>
      <c r="F57" s="763"/>
      <c r="G57" s="763"/>
      <c r="H57" s="762"/>
      <c r="I57" s="762"/>
      <c r="J57" s="762"/>
      <c r="K57" s="1158"/>
      <c r="L57" s="1159"/>
      <c r="M57" s="1157"/>
      <c r="N57" s="1157"/>
      <c r="O57" s="1157"/>
      <c r="P57" s="2622"/>
      <c r="Q57" s="503"/>
    </row>
    <row r="58" spans="1:29" s="507" customFormat="1" ht="15">
      <c r="A58" s="504" t="s">
        <v>2537</v>
      </c>
      <c r="B58" s="505"/>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6" customFormat="1" ht="15">
      <c r="A59" s="508"/>
      <c r="B59" s="2623"/>
      <c r="C59" s="1571">
        <v>100</v>
      </c>
      <c r="D59" s="510">
        <v>100</v>
      </c>
      <c r="E59" s="511">
        <v>100</v>
      </c>
      <c r="F59" s="511">
        <v>100</v>
      </c>
      <c r="G59" s="511"/>
      <c r="H59" s="511"/>
      <c r="I59" s="511"/>
      <c r="J59" s="511"/>
      <c r="K59" s="511"/>
      <c r="L59" s="511"/>
      <c r="M59" s="512"/>
      <c r="N59" s="511"/>
      <c r="O59" s="512"/>
      <c r="P59" s="2624"/>
    </row>
    <row r="60" spans="1:29" s="116" customFormat="1" ht="15.75" thickBot="1">
      <c r="A60" s="514" t="s">
        <v>2574</v>
      </c>
      <c r="B60" s="515"/>
      <c r="C60" s="516"/>
      <c r="D60" s="517"/>
      <c r="E60" s="517"/>
      <c r="F60" s="517"/>
      <c r="G60" s="517"/>
      <c r="H60" s="517"/>
      <c r="I60" s="517"/>
      <c r="J60" s="517"/>
      <c r="K60" s="517"/>
      <c r="L60" s="517"/>
      <c r="M60" s="518"/>
      <c r="N60" s="517"/>
      <c r="O60" s="518"/>
      <c r="P60" s="2624"/>
      <c r="Q60" s="503"/>
    </row>
    <row r="61" spans="1:29" s="116" customFormat="1" ht="15">
      <c r="A61" s="520" t="s">
        <v>2539</v>
      </c>
      <c r="B61" s="509"/>
      <c r="C61" s="521" t="s">
        <v>2576</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2577</v>
      </c>
      <c r="B63" s="527" t="s">
        <v>2543</v>
      </c>
      <c r="C63" s="528" t="str">
        <f>C9</f>
        <v>公寓</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50"/>
      <c r="O65" s="1150"/>
      <c r="P65" s="2626"/>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1"/>
      <c r="O66" s="1151"/>
      <c r="P66" s="2626"/>
      <c r="Q66" s="503"/>
    </row>
    <row r="67" spans="1:17" ht="15.75" thickTop="1">
      <c r="A67" s="533"/>
      <c r="B67" s="545" t="s">
        <v>2547</v>
      </c>
      <c r="C67" s="546" t="str">
        <f>C68&amp;"（含）"&amp;"-"&amp;D68</f>
        <v>1（含）-2</v>
      </c>
      <c r="D67" s="546" t="str">
        <f t="shared" ref="D67:L67" si="21">D68&amp;"（含）"&amp;"-"&amp;E68</f>
        <v>2（含）-3</v>
      </c>
      <c r="E67" s="546" t="str">
        <f t="shared" si="21"/>
        <v>3（含）-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6"/>
      <c r="Q67" s="503"/>
    </row>
    <row r="68" spans="1:17" ht="15">
      <c r="A68" s="533"/>
      <c r="B68" s="547"/>
      <c r="C68" s="548">
        <v>1</v>
      </c>
      <c r="D68" s="548">
        <v>2</v>
      </c>
      <c r="E68" s="548">
        <v>3</v>
      </c>
      <c r="F68" s="548"/>
      <c r="G68" s="548"/>
      <c r="H68" s="548"/>
      <c r="I68" s="548"/>
      <c r="J68" s="548"/>
      <c r="K68" s="549"/>
      <c r="L68" s="550"/>
      <c r="M68" s="551"/>
      <c r="N68" s="1150"/>
      <c r="O68" s="1150"/>
      <c r="P68" s="2626"/>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50"/>
      <c r="O76" s="1150"/>
      <c r="P76" s="2630"/>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6"/>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50"/>
      <c r="O78" s="1150"/>
      <c r="P78" s="2626"/>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6"/>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50"/>
      <c r="O80" s="1150"/>
      <c r="P80" s="2626"/>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26"/>
      <c r="Q81" s="503"/>
    </row>
    <row r="82" spans="1:17" ht="15.75" thickTop="1">
      <c r="A82" s="533"/>
      <c r="B82" s="545" t="s">
        <v>2087</v>
      </c>
      <c r="C82" s="538" t="s">
        <v>2593</v>
      </c>
      <c r="D82" s="538" t="s">
        <v>2594</v>
      </c>
      <c r="E82" s="538" t="s">
        <v>2595</v>
      </c>
      <c r="F82" s="538" t="s">
        <v>2596</v>
      </c>
      <c r="G82" s="538" t="s">
        <v>2597</v>
      </c>
      <c r="H82" s="538"/>
      <c r="I82" s="538"/>
      <c r="J82" s="538"/>
      <c r="K82" s="538"/>
      <c r="L82" s="538"/>
      <c r="M82" s="1380"/>
      <c r="N82" s="1151"/>
      <c r="O82" s="1151"/>
      <c r="P82" s="2626"/>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1"/>
      <c r="O83" s="1151"/>
      <c r="P83" s="2626"/>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50"/>
      <c r="O84" s="1150"/>
      <c r="P84" s="2626"/>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6"/>
      <c r="Q85" s="503"/>
    </row>
    <row r="86" spans="1:17" s="116" customFormat="1" ht="15.75" thickTop="1">
      <c r="A86" s="578"/>
      <c r="B86" s="537" t="s">
        <v>2599</v>
      </c>
      <c r="C86" s="553">
        <v>26</v>
      </c>
      <c r="D86" s="553">
        <v>17</v>
      </c>
      <c r="E86" s="553">
        <v>16</v>
      </c>
      <c r="F86" s="553">
        <v>13</v>
      </c>
      <c r="G86" s="553"/>
      <c r="H86" s="553"/>
      <c r="I86" s="553"/>
      <c r="J86" s="553"/>
      <c r="K86" s="553"/>
      <c r="L86" s="579"/>
      <c r="M86" s="580"/>
      <c r="N86" s="1149"/>
      <c r="O86" s="1149"/>
      <c r="P86" s="262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6" customFormat="1" ht="15.75" thickTop="1">
      <c r="A88" s="578"/>
      <c r="B88" s="537" t="s">
        <v>2600</v>
      </c>
      <c r="C88" s="2970" t="s">
        <v>3266</v>
      </c>
      <c r="D88" s="2970" t="s">
        <v>3267</v>
      </c>
      <c r="E88" s="2970" t="s">
        <v>3268</v>
      </c>
      <c r="F88" s="2970" t="s">
        <v>3270</v>
      </c>
      <c r="G88" s="2970" t="s">
        <v>3269</v>
      </c>
      <c r="H88" s="2970" t="s">
        <v>3274</v>
      </c>
      <c r="I88" s="2970" t="s">
        <v>3273</v>
      </c>
      <c r="J88" s="2970"/>
      <c r="K88" s="553"/>
      <c r="L88" s="553"/>
      <c r="M88" s="580"/>
      <c r="N88" s="1149"/>
      <c r="O88" s="1149"/>
      <c r="P88" s="2626"/>
      <c r="Q88" s="503"/>
    </row>
    <row r="89" spans="1:17" s="116" customFormat="1" ht="15.75"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51"/>
      <c r="O89" s="1151"/>
      <c r="P89" s="2626"/>
      <c r="Q89" s="503"/>
    </row>
    <row r="90" spans="1:17" s="470" customFormat="1" ht="15.75" thickTop="1">
      <c r="A90" s="552"/>
      <c r="B90" s="537" t="str">
        <f>B27</f>
        <v>道路级别</v>
      </c>
      <c r="C90" s="2970" t="s">
        <v>3165</v>
      </c>
      <c r="D90" s="2970" t="s">
        <v>3166</v>
      </c>
      <c r="E90" s="2970" t="s">
        <v>3167</v>
      </c>
      <c r="F90" s="2970" t="s">
        <v>3168</v>
      </c>
      <c r="G90" s="2970" t="s">
        <v>3169</v>
      </c>
      <c r="H90" s="554"/>
      <c r="I90" s="554"/>
      <c r="J90" s="554"/>
      <c r="K90" s="554"/>
      <c r="L90" s="555"/>
      <c r="M90" s="556"/>
      <c r="N90" s="1152"/>
      <c r="O90" s="1152"/>
      <c r="P90" s="2627"/>
      <c r="Q90" s="558"/>
    </row>
    <row r="91" spans="1:17" s="470" customFormat="1" ht="15.75" thickBot="1">
      <c r="A91" s="552"/>
      <c r="B91" s="542"/>
      <c r="C91" s="559">
        <v>100</v>
      </c>
      <c r="D91" s="559">
        <v>98</v>
      </c>
      <c r="E91" s="559">
        <v>96</v>
      </c>
      <c r="F91" s="559">
        <v>94</v>
      </c>
      <c r="G91" s="559">
        <v>92</v>
      </c>
      <c r="H91" s="561"/>
      <c r="I91" s="561"/>
      <c r="J91" s="561"/>
      <c r="K91" s="561"/>
      <c r="L91" s="561"/>
      <c r="M91" s="562"/>
      <c r="N91" s="1152"/>
      <c r="O91" s="1152"/>
      <c r="P91" s="2627"/>
      <c r="Q91" s="558"/>
    </row>
    <row r="92" spans="1:17" ht="15.75" thickTop="1">
      <c r="A92" s="533"/>
      <c r="B92" s="537" t="str">
        <f>B28</f>
        <v>人流量</v>
      </c>
      <c r="C92" s="2970" t="s">
        <v>3187</v>
      </c>
      <c r="D92" s="2970" t="s">
        <v>3188</v>
      </c>
      <c r="E92" s="2970" t="s">
        <v>3189</v>
      </c>
      <c r="F92" s="2970" t="s">
        <v>3190</v>
      </c>
      <c r="G92" s="2971" t="s">
        <v>3191</v>
      </c>
      <c r="H92" s="582"/>
      <c r="I92" s="582"/>
      <c r="J92" s="582"/>
      <c r="K92" s="583"/>
      <c r="L92" s="584"/>
      <c r="M92" s="585"/>
      <c r="N92" s="1150"/>
      <c r="O92" s="1150"/>
      <c r="P92" s="2626"/>
      <c r="Q92" s="503"/>
    </row>
    <row r="93" spans="1:17" ht="15.75" thickBot="1">
      <c r="A93" s="533"/>
      <c r="B93" s="542"/>
      <c r="C93" s="559">
        <v>100</v>
      </c>
      <c r="D93" s="535">
        <v>98</v>
      </c>
      <c r="E93" s="535">
        <v>96</v>
      </c>
      <c r="F93" s="535">
        <v>94</v>
      </c>
      <c r="G93" s="535">
        <v>92</v>
      </c>
      <c r="H93" s="535"/>
      <c r="I93" s="535"/>
      <c r="J93" s="535"/>
      <c r="K93" s="535"/>
      <c r="L93" s="535"/>
      <c r="M93" s="536"/>
      <c r="N93" s="1151"/>
      <c r="O93" s="1151"/>
      <c r="P93" s="2626"/>
      <c r="Q93" s="503"/>
    </row>
    <row r="94" spans="1:17" ht="15.75" thickTop="1">
      <c r="A94" s="533"/>
      <c r="B94" s="537" t="str">
        <f>B29</f>
        <v>朝向</v>
      </c>
      <c r="C94" s="2970" t="s">
        <v>3266</v>
      </c>
      <c r="D94" s="2970" t="s">
        <v>3267</v>
      </c>
      <c r="E94" s="2970" t="s">
        <v>3100</v>
      </c>
      <c r="F94" s="2970" t="s">
        <v>3275</v>
      </c>
      <c r="G94" s="2970" t="s">
        <v>3276</v>
      </c>
      <c r="H94" s="2970" t="s">
        <v>3277</v>
      </c>
      <c r="I94" s="2970" t="s">
        <v>3278</v>
      </c>
      <c r="J94" s="2970" t="s">
        <v>3271</v>
      </c>
      <c r="K94" s="2970" t="s">
        <v>3272</v>
      </c>
      <c r="L94" s="2970" t="s">
        <v>3273</v>
      </c>
      <c r="M94" s="2970"/>
      <c r="N94" s="1150"/>
      <c r="O94" s="1150"/>
      <c r="P94" s="2626"/>
      <c r="Q94" s="503"/>
    </row>
    <row r="95" spans="1:17" ht="15.75" thickBot="1">
      <c r="A95" s="533"/>
      <c r="B95" s="542"/>
      <c r="C95" s="559">
        <v>100</v>
      </c>
      <c r="D95" s="559">
        <v>99</v>
      </c>
      <c r="E95" s="559">
        <v>98</v>
      </c>
      <c r="F95" s="559">
        <v>98</v>
      </c>
      <c r="G95" s="535">
        <v>97</v>
      </c>
      <c r="H95" s="535">
        <v>97</v>
      </c>
      <c r="I95" s="535">
        <v>96</v>
      </c>
      <c r="J95" s="535">
        <v>95</v>
      </c>
      <c r="K95" s="535">
        <v>95</v>
      </c>
      <c r="L95" s="535">
        <v>94</v>
      </c>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2552</v>
      </c>
      <c r="B100" s="527" t="s">
        <v>2601</v>
      </c>
      <c r="C100" s="3007" t="s">
        <v>3193</v>
      </c>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1"/>
      <c r="O101" s="1151"/>
      <c r="P101" s="2626"/>
      <c r="Q101" s="503"/>
    </row>
    <row r="102" spans="1:17" ht="15.75" thickTop="1">
      <c r="A102" s="533"/>
      <c r="B102" s="537" t="s">
        <v>2602</v>
      </c>
      <c r="C102" s="577" t="str">
        <f>C103&amp;"(含)"&amp;"-"&amp;D103</f>
        <v>0(含)-100</v>
      </c>
      <c r="D102" s="577" t="str">
        <f t="shared" ref="D102:L102" si="27">D103&amp;"(含)"&amp;"-"&amp;E103</f>
        <v>100(含)-300</v>
      </c>
      <c r="E102" s="577" t="str">
        <f t="shared" si="27"/>
        <v>300(含)-500</v>
      </c>
      <c r="F102" s="577" t="str">
        <f t="shared" si="27"/>
        <v>500(含)-1000</v>
      </c>
      <c r="G102" s="577" t="str">
        <f t="shared" si="27"/>
        <v>1000(含)-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v>0</v>
      </c>
      <c r="D103" s="594">
        <v>100</v>
      </c>
      <c r="E103" s="594">
        <v>300</v>
      </c>
      <c r="F103" s="594">
        <v>500</v>
      </c>
      <c r="G103" s="594">
        <v>1000</v>
      </c>
      <c r="H103" s="594"/>
      <c r="I103" s="594"/>
      <c r="J103" s="595"/>
      <c r="K103" s="595"/>
      <c r="L103" s="596"/>
      <c r="M103" s="597"/>
      <c r="N103" s="1152"/>
      <c r="O103" s="1152"/>
      <c r="P103" s="2627"/>
      <c r="Q103" s="558"/>
    </row>
    <row r="104" spans="1:17" s="470" customFormat="1" ht="15.75" thickBot="1">
      <c r="A104" s="552"/>
      <c r="B104" s="542"/>
      <c r="C104" s="559">
        <v>100</v>
      </c>
      <c r="D104" s="535">
        <v>98</v>
      </c>
      <c r="E104" s="535">
        <v>96</v>
      </c>
      <c r="F104" s="535">
        <v>94</v>
      </c>
      <c r="G104" s="535">
        <v>92</v>
      </c>
      <c r="H104" s="535"/>
      <c r="I104" s="535"/>
      <c r="J104" s="535"/>
      <c r="K104" s="535"/>
      <c r="L104" s="535"/>
      <c r="M104" s="535"/>
      <c r="N104" s="1151"/>
      <c r="O104" s="1151"/>
      <c r="P104" s="2627"/>
      <c r="Q104" s="558"/>
    </row>
    <row r="105" spans="1:17" ht="15" thickTop="1">
      <c r="A105" s="598"/>
      <c r="B105" s="537" t="s">
        <v>2603</v>
      </c>
      <c r="C105" s="2970" t="s">
        <v>3178</v>
      </c>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51"/>
      <c r="O106" s="1151"/>
      <c r="P106" s="2626"/>
      <c r="Q106" s="503"/>
    </row>
    <row r="107" spans="1:17" ht="15" thickTop="1">
      <c r="A107" s="598"/>
      <c r="B107" s="537" t="s">
        <v>2604</v>
      </c>
      <c r="C107" s="2971" t="s">
        <v>3180</v>
      </c>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1"/>
      <c r="O108" s="1151"/>
      <c r="P108" s="2626"/>
      <c r="Q108" s="503"/>
    </row>
    <row r="109" spans="1:17" ht="15" thickTop="1">
      <c r="A109" s="598"/>
      <c r="B109" s="537" t="s">
        <v>2605</v>
      </c>
      <c r="C109" s="2970" t="s">
        <v>3181</v>
      </c>
      <c r="D109" s="2970" t="s">
        <v>3182</v>
      </c>
      <c r="E109" s="2970" t="s">
        <v>3183</v>
      </c>
      <c r="F109" s="2971" t="s">
        <v>3184</v>
      </c>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1"/>
      <c r="O110" s="1151"/>
      <c r="P110" s="2626"/>
      <c r="Q110" s="503"/>
    </row>
    <row r="111" spans="1:17" s="470" customFormat="1" ht="15" thickTop="1">
      <c r="A111" s="592"/>
      <c r="B111" s="537" t="s">
        <v>1987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2"/>
      <c r="O113" s="1152"/>
      <c r="P113" s="2627"/>
      <c r="Q113" s="558"/>
    </row>
    <row r="114" spans="1:17" ht="15" thickTop="1">
      <c r="A114" s="598"/>
      <c r="B114" s="537" t="s">
        <v>2606</v>
      </c>
      <c r="C114" s="2970" t="s">
        <v>3196</v>
      </c>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51"/>
      <c r="O115" s="1151"/>
      <c r="P115" s="2626"/>
      <c r="Q115" s="503"/>
    </row>
    <row r="116" spans="1:17" ht="15" thickTop="1">
      <c r="A116" s="598"/>
      <c r="B116" s="537" t="s">
        <v>2607</v>
      </c>
      <c r="C116" s="2970" t="s">
        <v>3197</v>
      </c>
      <c r="D116" s="2970" t="s">
        <v>3198</v>
      </c>
      <c r="E116" s="2970" t="s">
        <v>3199</v>
      </c>
      <c r="F116" s="2970" t="s">
        <v>3200</v>
      </c>
      <c r="G116" s="2970" t="s">
        <v>3201</v>
      </c>
      <c r="H116" s="582"/>
      <c r="I116" s="582"/>
      <c r="J116" s="582"/>
      <c r="K116" s="583"/>
      <c r="L116" s="584"/>
      <c r="M116" s="585"/>
      <c r="N116" s="1150"/>
      <c r="O116" s="1150"/>
      <c r="P116" s="2626"/>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1"/>
      <c r="O117" s="1151"/>
      <c r="P117" s="2626"/>
      <c r="Q117" s="503"/>
    </row>
    <row r="118" spans="1:17" ht="15" thickTop="1">
      <c r="A118" s="598"/>
      <c r="B118" s="537" t="s">
        <v>2608</v>
      </c>
      <c r="C118" s="2971" t="s">
        <v>3062</v>
      </c>
      <c r="D118" s="2971" t="s">
        <v>3064</v>
      </c>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51"/>
      <c r="O119" s="1151"/>
      <c r="P119" s="2626"/>
      <c r="Q119" s="503"/>
    </row>
    <row r="120" spans="1:17" s="470" customFormat="1" ht="28.5" thickTop="1">
      <c r="A120" s="592"/>
      <c r="B120" s="537" t="s">
        <v>2563</v>
      </c>
      <c r="C120" s="553">
        <v>194.47</v>
      </c>
      <c r="D120" s="553">
        <v>140</v>
      </c>
      <c r="E120" s="553">
        <v>165</v>
      </c>
      <c r="F120" s="553">
        <v>138</v>
      </c>
      <c r="G120" s="553"/>
      <c r="H120" s="553"/>
      <c r="I120" s="553"/>
      <c r="J120" s="553"/>
      <c r="K120" s="553"/>
      <c r="L120" s="579"/>
      <c r="M120" s="580"/>
      <c r="N120" s="1152"/>
      <c r="O120" s="1152"/>
      <c r="P120" s="2627"/>
      <c r="Q120" s="558"/>
    </row>
    <row r="121" spans="1:17" s="470" customFormat="1" ht="15.75" thickBot="1">
      <c r="A121" s="552"/>
      <c r="B121" s="534"/>
      <c r="C121" s="559">
        <v>100</v>
      </c>
      <c r="D121" s="535">
        <v>101</v>
      </c>
      <c r="E121" s="535">
        <v>100</v>
      </c>
      <c r="F121" s="535">
        <v>101</v>
      </c>
      <c r="G121" s="535"/>
      <c r="H121" s="535"/>
      <c r="I121" s="535"/>
      <c r="J121" s="535"/>
      <c r="K121" s="535"/>
      <c r="L121" s="535"/>
      <c r="M121" s="535"/>
      <c r="N121" s="1152"/>
      <c r="O121" s="1152"/>
      <c r="P121" s="2627"/>
      <c r="Q121" s="558"/>
    </row>
    <row r="122" spans="1:17" ht="15" thickTop="1">
      <c r="A122" s="598"/>
      <c r="B122" s="537" t="s">
        <v>2609</v>
      </c>
      <c r="C122" s="2970" t="s">
        <v>3066</v>
      </c>
      <c r="D122" s="2970" t="s">
        <v>3068</v>
      </c>
      <c r="E122" s="2970" t="s">
        <v>3070</v>
      </c>
      <c r="F122" s="2971" t="s">
        <v>3071</v>
      </c>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1"/>
      <c r="O123" s="1151"/>
      <c r="P123" s="2626"/>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50"/>
      <c r="O124" s="1150"/>
      <c r="P124" s="2627"/>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6"/>
      <c r="Q125" s="503"/>
    </row>
    <row r="126" spans="1:17" s="470" customFormat="1" ht="15" thickTop="1">
      <c r="A126" s="592"/>
      <c r="B126" s="537" t="str">
        <f>B44</f>
        <v>楼层</v>
      </c>
      <c r="C126" s="553">
        <v>26</v>
      </c>
      <c r="D126" s="553">
        <v>17</v>
      </c>
      <c r="E126" s="553">
        <v>16</v>
      </c>
      <c r="F126" s="553">
        <v>13</v>
      </c>
      <c r="G126" s="553"/>
      <c r="H126" s="554"/>
      <c r="I126" s="554"/>
      <c r="J126" s="554"/>
      <c r="K126" s="554"/>
      <c r="L126" s="555"/>
      <c r="M126" s="556"/>
      <c r="N126" s="1152"/>
      <c r="O126" s="1152"/>
      <c r="P126" s="2627"/>
      <c r="Q126" s="558"/>
    </row>
    <row r="127" spans="1:17" s="470" customFormat="1" ht="15.75" thickBot="1">
      <c r="A127" s="552"/>
      <c r="B127" s="542"/>
      <c r="C127" s="559">
        <v>100</v>
      </c>
      <c r="D127" s="535">
        <v>98</v>
      </c>
      <c r="E127" s="535">
        <v>98</v>
      </c>
      <c r="F127" s="535">
        <v>97</v>
      </c>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2611</v>
      </c>
    </row>
    <row r="137" spans="1:17" ht="15">
      <c r="B137" s="2634" t="s">
        <v>2612</v>
      </c>
      <c r="C137" s="2635"/>
      <c r="D137" s="2635"/>
      <c r="E137" s="2635"/>
      <c r="F137" s="2635"/>
      <c r="G137" s="2636"/>
      <c r="H137" s="2637"/>
      <c r="I137" s="2638" t="s">
        <v>2613</v>
      </c>
      <c r="J137" s="2635"/>
      <c r="K137" s="2639"/>
    </row>
    <row r="138" spans="1:17" ht="15">
      <c r="B138" s="2640"/>
      <c r="C138" s="145" t="s">
        <v>2614</v>
      </c>
      <c r="D138" s="145" t="s">
        <v>2615</v>
      </c>
      <c r="E138" s="2641" t="s">
        <v>2616</v>
      </c>
      <c r="F138" s="2642" t="s">
        <v>2617</v>
      </c>
      <c r="G138" s="145" t="s">
        <v>2615</v>
      </c>
      <c r="H138" s="146" t="s">
        <v>2616</v>
      </c>
      <c r="I138" s="2643"/>
      <c r="J138" s="145" t="s">
        <v>2618</v>
      </c>
      <c r="K138" s="146" t="s">
        <v>2619</v>
      </c>
    </row>
    <row r="139" spans="1:17" ht="15">
      <c r="B139" s="1082">
        <v>6</v>
      </c>
      <c r="C139" s="1083">
        <v>96</v>
      </c>
      <c r="D139" s="2644" t="s">
        <v>2620</v>
      </c>
      <c r="E139" s="1084">
        <v>100</v>
      </c>
      <c r="F139" s="1085">
        <v>102.5</v>
      </c>
      <c r="G139" s="2644" t="s">
        <v>2620</v>
      </c>
      <c r="H139" s="1086">
        <v>105</v>
      </c>
      <c r="I139" s="2645" t="s">
        <v>2621</v>
      </c>
      <c r="J139" s="1083">
        <v>20</v>
      </c>
      <c r="K139" s="1087">
        <f>C145/(J139-2)</f>
        <v>4.0555555555555553E-3</v>
      </c>
    </row>
    <row r="140" spans="1:17" ht="15">
      <c r="B140" s="1088">
        <v>5</v>
      </c>
      <c r="C140" s="1089">
        <v>100</v>
      </c>
      <c r="D140" s="1089"/>
      <c r="E140" s="1090"/>
      <c r="F140" s="1091">
        <v>102</v>
      </c>
      <c r="G140" s="1089"/>
      <c r="H140" s="1092"/>
      <c r="I140" s="2646" t="s">
        <v>2622</v>
      </c>
      <c r="J140" s="314">
        <f>ROUNDUP((J139-1)/2,0)</f>
        <v>10</v>
      </c>
      <c r="K140" s="1093">
        <v>100</v>
      </c>
    </row>
    <row r="141" spans="1:17" ht="15">
      <c r="B141" s="1088">
        <v>4</v>
      </c>
      <c r="C141" s="1089">
        <v>102</v>
      </c>
      <c r="D141" s="1089"/>
      <c r="E141" s="1090"/>
      <c r="F141" s="1091">
        <v>101.5</v>
      </c>
      <c r="G141" s="1089"/>
      <c r="H141" s="1092"/>
      <c r="I141" s="2646" t="s">
        <v>2623</v>
      </c>
      <c r="J141" s="314">
        <v>1</v>
      </c>
      <c r="K141" s="1094">
        <f>ROUND(100+(J141-J140)*K139*100,1)</f>
        <v>96.4</v>
      </c>
    </row>
    <row r="142" spans="1:17" ht="15">
      <c r="B142" s="1088">
        <v>3</v>
      </c>
      <c r="C142" s="1089">
        <v>103</v>
      </c>
      <c r="D142" s="1089"/>
      <c r="E142" s="1090"/>
      <c r="F142" s="1091">
        <v>101</v>
      </c>
      <c r="G142" s="1089"/>
      <c r="H142" s="1092"/>
      <c r="I142" s="2646" t="s">
        <v>2624</v>
      </c>
      <c r="J142" s="314">
        <f>J139</f>
        <v>20</v>
      </c>
      <c r="K142" s="1095">
        <v>95</v>
      </c>
    </row>
    <row r="143" spans="1:17" ht="15">
      <c r="B143" s="1088">
        <v>2</v>
      </c>
      <c r="C143" s="1089">
        <v>100</v>
      </c>
      <c r="D143" s="1089"/>
      <c r="E143" s="1090"/>
      <c r="F143" s="1091">
        <v>100.5</v>
      </c>
      <c r="G143" s="1089"/>
      <c r="H143" s="1092"/>
      <c r="I143" s="2646" t="s">
        <v>2625</v>
      </c>
      <c r="J143" s="1089">
        <v>15</v>
      </c>
      <c r="K143" s="1094">
        <f>ROUND(100+(J143-J140)*K139*100,1)</f>
        <v>102</v>
      </c>
    </row>
    <row r="144" spans="1:17" ht="15">
      <c r="B144" s="1088">
        <v>1</v>
      </c>
      <c r="C144" s="1089">
        <v>98</v>
      </c>
      <c r="D144" s="2647" t="s">
        <v>2626</v>
      </c>
      <c r="E144" s="1090">
        <v>102</v>
      </c>
      <c r="F144" s="1096">
        <v>100</v>
      </c>
      <c r="G144" s="2647" t="s">
        <v>2626</v>
      </c>
      <c r="H144" s="1092">
        <v>105</v>
      </c>
      <c r="I144" s="2646" t="s">
        <v>2625</v>
      </c>
      <c r="J144" s="1089">
        <v>18</v>
      </c>
      <c r="K144" s="1094">
        <f>ROUND(100+(J144-J140)*K139*100,1)</f>
        <v>103.2</v>
      </c>
    </row>
    <row r="145" spans="2:11" ht="15.75" thickBot="1">
      <c r="B145" s="2648" t="s">
        <v>2627</v>
      </c>
      <c r="C145" s="1097">
        <f>ROUND(MAX(C139:C144)/MIN(C139:C144)-1,3)</f>
        <v>7.2999999999999995E-2</v>
      </c>
      <c r="D145" s="1098"/>
      <c r="E145" s="1098"/>
      <c r="F145" s="2649" t="s">
        <v>2628</v>
      </c>
      <c r="G145" s="2650"/>
      <c r="H145" s="2651"/>
      <c r="I145" s="2652" t="s">
        <v>2625</v>
      </c>
      <c r="J145" s="1099">
        <v>8</v>
      </c>
      <c r="K145" s="1100">
        <f>ROUND(100+(J145-J140)*K139*100,1)</f>
        <v>99.2</v>
      </c>
    </row>
    <row r="147" spans="2:11">
      <c r="B147" s="2633" t="s">
        <v>2629</v>
      </c>
    </row>
    <row r="148" spans="2:11">
      <c r="B148" s="2633" t="s">
        <v>2630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N22"/>
  <sheetViews>
    <sheetView workbookViewId="0">
      <selection activeCell="I13" sqref="I13"/>
    </sheetView>
  </sheetViews>
  <sheetFormatPr defaultRowHeight="13.5"/>
  <cols>
    <col min="2" max="2" width="4.5" customWidth="1"/>
    <col min="3" max="3" width="42.5" customWidth="1"/>
    <col min="4" max="4" width="33.625" bestFit="1" customWidth="1"/>
    <col min="5" max="6" width="9.375" customWidth="1"/>
    <col min="7" max="7" width="11.625" customWidth="1"/>
    <col min="8" max="8" width="11.125" customWidth="1"/>
    <col min="9" max="9" width="9.5" bestFit="1" customWidth="1"/>
  </cols>
  <sheetData>
    <row r="6" spans="2:14">
      <c r="B6" s="2981" t="s">
        <v>3124</v>
      </c>
      <c r="C6" s="2981" t="s">
        <v>3123</v>
      </c>
      <c r="D6" s="2981" t="s">
        <v>3131</v>
      </c>
      <c r="E6" s="2981" t="s">
        <v>3120</v>
      </c>
      <c r="F6" s="2982" t="s">
        <v>3161</v>
      </c>
      <c r="G6" s="2981" t="s">
        <v>3125</v>
      </c>
      <c r="H6" s="2981" t="s">
        <v>3142</v>
      </c>
    </row>
    <row r="7" spans="2:14">
      <c r="B7" s="2981">
        <v>1</v>
      </c>
      <c r="C7" s="2981" t="s">
        <v>3240</v>
      </c>
      <c r="D7" s="2981" t="s">
        <v>3133</v>
      </c>
      <c r="E7" s="3353" t="s">
        <v>3121</v>
      </c>
      <c r="F7" s="2982"/>
      <c r="G7" s="2981">
        <v>11.14</v>
      </c>
      <c r="H7" s="2983">
        <v>109.98</v>
      </c>
    </row>
    <row r="8" spans="2:14">
      <c r="B8" s="2981">
        <v>2</v>
      </c>
      <c r="C8" s="2981" t="s">
        <v>3134</v>
      </c>
      <c r="D8" s="2981" t="s">
        <v>3138</v>
      </c>
      <c r="E8" s="3353"/>
      <c r="F8" s="2982"/>
      <c r="G8" s="2981">
        <v>17.239999999999998</v>
      </c>
      <c r="H8" s="2983">
        <v>170.17</v>
      </c>
    </row>
    <row r="9" spans="2:14">
      <c r="B9" s="2981">
        <v>3</v>
      </c>
      <c r="C9" s="2981" t="s">
        <v>3135</v>
      </c>
      <c r="D9" s="2981" t="s">
        <v>3139</v>
      </c>
      <c r="E9" s="3353"/>
      <c r="F9" s="2982"/>
      <c r="G9" s="2981">
        <v>16.07</v>
      </c>
      <c r="H9" s="2983">
        <v>158.59</v>
      </c>
    </row>
    <row r="10" spans="2:14">
      <c r="B10" s="2981">
        <v>4</v>
      </c>
      <c r="C10" s="2981" t="s">
        <v>3136</v>
      </c>
      <c r="D10" s="2981" t="s">
        <v>3140</v>
      </c>
      <c r="E10" s="3353"/>
      <c r="F10" s="2982"/>
      <c r="G10" s="2981">
        <v>11.52</v>
      </c>
      <c r="H10" s="2983">
        <v>113.7</v>
      </c>
    </row>
    <row r="11" spans="2:14">
      <c r="B11" s="2981">
        <v>5</v>
      </c>
      <c r="C11" s="2981" t="s">
        <v>3137</v>
      </c>
      <c r="D11" s="2981" t="s">
        <v>3141</v>
      </c>
      <c r="E11" s="3353"/>
      <c r="F11" s="2982"/>
      <c r="G11" s="2981">
        <v>8.3000000000000007</v>
      </c>
      <c r="H11" s="2983">
        <v>81.94</v>
      </c>
    </row>
    <row r="12" spans="2:14">
      <c r="B12" s="2981">
        <v>6</v>
      </c>
      <c r="C12" s="2981" t="s">
        <v>3143</v>
      </c>
      <c r="D12" s="2981" t="s">
        <v>3144</v>
      </c>
      <c r="E12" s="2981" t="s">
        <v>3145</v>
      </c>
      <c r="F12" s="2982"/>
      <c r="G12" s="2981">
        <v>19.71</v>
      </c>
      <c r="H12" s="2981">
        <f>'数据-基础表'!K18</f>
        <v>194.47</v>
      </c>
      <c r="I12" s="3013">
        <f>SUM(H7:H11)</f>
        <v>634.38000000000011</v>
      </c>
    </row>
    <row r="13" spans="2:14">
      <c r="B13" s="2981">
        <v>7</v>
      </c>
      <c r="C13" s="2981" t="s">
        <v>3127</v>
      </c>
      <c r="D13" s="2981" t="s">
        <v>3126</v>
      </c>
      <c r="E13" s="3353" t="s">
        <v>3122</v>
      </c>
      <c r="F13" s="2982"/>
      <c r="G13" s="2981">
        <v>26.22</v>
      </c>
      <c r="H13" s="2981">
        <v>139.46</v>
      </c>
      <c r="N13" s="3006"/>
    </row>
    <row r="14" spans="2:14">
      <c r="B14" s="2981">
        <v>8</v>
      </c>
      <c r="C14" s="2981" t="s">
        <v>3128</v>
      </c>
      <c r="D14" s="2981" t="s">
        <v>3129</v>
      </c>
      <c r="E14" s="3353"/>
      <c r="F14" s="2982"/>
      <c r="G14" s="2981">
        <v>26.22</v>
      </c>
      <c r="H14" s="2981">
        <v>139.46</v>
      </c>
      <c r="N14" s="3006"/>
    </row>
    <row r="15" spans="2:14">
      <c r="B15" s="2981">
        <v>9</v>
      </c>
      <c r="C15" s="2981" t="s">
        <v>3130</v>
      </c>
      <c r="D15" s="2981" t="s">
        <v>3132</v>
      </c>
      <c r="E15" s="3353" t="s">
        <v>3160</v>
      </c>
      <c r="F15" s="2982"/>
      <c r="G15" s="2981">
        <v>12.79</v>
      </c>
      <c r="H15" s="2983">
        <v>296.32</v>
      </c>
      <c r="N15" s="3006"/>
    </row>
    <row r="16" spans="2:14">
      <c r="B16" s="2981">
        <v>10</v>
      </c>
      <c r="C16" s="2981" t="s">
        <v>3146</v>
      </c>
      <c r="D16" s="2981" t="s">
        <v>3153</v>
      </c>
      <c r="E16" s="3353"/>
      <c r="F16" s="2982"/>
      <c r="G16" s="2981">
        <v>6.87</v>
      </c>
      <c r="H16" s="2983">
        <v>159.13</v>
      </c>
    </row>
    <row r="17" spans="2:8">
      <c r="B17" s="2981">
        <v>11</v>
      </c>
      <c r="C17" s="2981" t="s">
        <v>3147</v>
      </c>
      <c r="D17" s="2981" t="s">
        <v>3154</v>
      </c>
      <c r="E17" s="3353"/>
      <c r="F17" s="2982"/>
      <c r="G17" s="2981">
        <v>13.32</v>
      </c>
      <c r="H17" s="2983">
        <v>308.7</v>
      </c>
    </row>
    <row r="18" spans="2:8">
      <c r="B18" s="2981">
        <v>12</v>
      </c>
      <c r="C18" s="2981" t="s">
        <v>3148</v>
      </c>
      <c r="D18" s="2981" t="s">
        <v>3155</v>
      </c>
      <c r="E18" s="3353"/>
      <c r="F18" s="2982"/>
      <c r="G18" s="2981">
        <v>14.46</v>
      </c>
      <c r="H18" s="2983">
        <v>334.91</v>
      </c>
    </row>
    <row r="19" spans="2:8">
      <c r="B19" s="2981">
        <v>13</v>
      </c>
      <c r="C19" s="2981" t="s">
        <v>3149</v>
      </c>
      <c r="D19" s="2981" t="s">
        <v>3156</v>
      </c>
      <c r="E19" s="3353"/>
      <c r="F19" s="2982"/>
      <c r="G19" s="2981">
        <v>13.5</v>
      </c>
      <c r="H19" s="2983">
        <v>312.8</v>
      </c>
    </row>
    <row r="20" spans="2:8">
      <c r="B20" s="2981">
        <v>14</v>
      </c>
      <c r="C20" s="2981" t="s">
        <v>3150</v>
      </c>
      <c r="D20" s="2981" t="s">
        <v>3157</v>
      </c>
      <c r="E20" s="3353"/>
      <c r="F20" s="2982"/>
      <c r="G20" s="2981">
        <v>6.87</v>
      </c>
      <c r="H20" s="2984">
        <v>159.13</v>
      </c>
    </row>
    <row r="21" spans="2:8">
      <c r="B21" s="2981">
        <v>15</v>
      </c>
      <c r="C21" s="2981" t="s">
        <v>3151</v>
      </c>
      <c r="D21" s="2981" t="s">
        <v>3158</v>
      </c>
      <c r="E21" s="3353"/>
      <c r="F21" s="2982"/>
      <c r="G21" s="2981">
        <v>13.35</v>
      </c>
      <c r="H21" s="2984">
        <v>309.19</v>
      </c>
    </row>
    <row r="22" spans="2:8">
      <c r="B22" s="2981">
        <v>16</v>
      </c>
      <c r="C22" s="2981" t="s">
        <v>3152</v>
      </c>
      <c r="D22" s="2981" t="s">
        <v>3159</v>
      </c>
      <c r="E22" s="3353"/>
      <c r="F22" s="2982"/>
      <c r="G22" s="2981">
        <v>14.46</v>
      </c>
      <c r="H22" s="2984">
        <v>334.98</v>
      </c>
    </row>
  </sheetData>
  <mergeCells count="3">
    <mergeCell ref="E13:E14"/>
    <mergeCell ref="E7:E11"/>
    <mergeCell ref="E15:E22"/>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51" t="s">
        <v>1657</v>
      </c>
      <c r="B1" s="3051"/>
      <c r="C1" s="3051"/>
      <c r="D1" s="3051"/>
    </row>
    <row r="2" spans="1:4" ht="18">
      <c r="A2" s="3052" t="s">
        <v>1641</v>
      </c>
      <c r="B2" s="3052"/>
      <c r="C2" s="3052"/>
      <c r="D2" s="3052"/>
    </row>
    <row r="3" spans="1:4" ht="18.75">
      <c r="A3" s="1975" t="s">
        <v>1642</v>
      </c>
      <c r="B3" s="1975" t="s">
        <v>1643</v>
      </c>
      <c r="C3" s="1975" t="s">
        <v>1644</v>
      </c>
      <c r="D3" s="1975" t="s">
        <v>1645</v>
      </c>
    </row>
    <row r="4" spans="1:4" ht="56.25" customHeight="1">
      <c r="A4" s="1976" t="str">
        <f>项目基本情况!B4</f>
        <v>郑燚</v>
      </c>
      <c r="B4" s="1977">
        <f ca="1">项目基本情况!C4</f>
        <v>1120070131</v>
      </c>
      <c r="C4" s="1978"/>
      <c r="D4" s="1979" t="s">
        <v>1646</v>
      </c>
    </row>
    <row r="5" spans="1:4" ht="56.25" customHeight="1">
      <c r="A5" s="1976" t="str">
        <f>项目基本情况!D4</f>
        <v>吴薇</v>
      </c>
      <c r="B5" s="1977">
        <f ca="1">项目基本情况!E4</f>
        <v>1419970001</v>
      </c>
      <c r="C5" s="1980"/>
      <c r="D5" s="1979" t="s">
        <v>1646</v>
      </c>
    </row>
    <row r="6" spans="1:4" ht="18">
      <c r="A6" s="3052" t="s">
        <v>1647</v>
      </c>
      <c r="B6" s="3052"/>
      <c r="C6" s="3052"/>
      <c r="D6" s="3052"/>
    </row>
    <row r="7" spans="1:4" ht="18.75">
      <c r="A7" s="1975" t="s">
        <v>1642</v>
      </c>
      <c r="B7" s="1977" t="s">
        <v>1648</v>
      </c>
      <c r="C7" s="1975" t="s">
        <v>1644</v>
      </c>
      <c r="D7" s="1975" t="s">
        <v>1645</v>
      </c>
    </row>
    <row r="8" spans="1:4" ht="56.25" customHeight="1">
      <c r="A8" s="1981" t="s">
        <v>866</v>
      </c>
      <c r="B8" s="1981" t="s">
        <v>1</v>
      </c>
      <c r="C8" s="1978"/>
      <c r="D8" s="1979" t="s">
        <v>1646</v>
      </c>
    </row>
    <row r="9" spans="1:4">
      <c r="A9" s="726"/>
      <c r="B9" s="726"/>
      <c r="C9" s="726"/>
      <c r="D9" s="726"/>
    </row>
    <row r="10" spans="1:4" ht="18.75">
      <c r="A10" s="1982" t="s">
        <v>1649</v>
      </c>
      <c r="B10" s="726"/>
      <c r="C10" s="726"/>
      <c r="D10" s="726"/>
    </row>
    <row r="11" spans="1:4" ht="30" customHeight="1">
      <c r="A11" s="3053" t="s">
        <v>1650</v>
      </c>
      <c r="B11" s="3045"/>
      <c r="C11" s="3045"/>
      <c r="D11" s="3045"/>
    </row>
    <row r="12" spans="1:4" ht="15.75">
      <c r="A12" s="30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0"/>
      <c r="C12" s="3050"/>
      <c r="D12" s="3050"/>
    </row>
    <row r="13" spans="1:4" ht="30" customHeight="1">
      <c r="A13" s="3045" t="str">
        <f>IF(项目基本情况!B8="抵押","3.抵押双方在办理抵押登记手续时，应使用本公司出具的正式《房地产评估报告》，特提醒报告使用者注意。","——")</f>
        <v>——</v>
      </c>
      <c r="B13" s="3050"/>
      <c r="C13" s="3050"/>
      <c r="D13" s="3050"/>
    </row>
    <row r="14" spans="1:4" ht="15.75" customHeight="1">
      <c r="A14" s="3045" t="str">
        <f>IF(项目基本情况!B8="抵押","4.本次评估估价师所知悉的法定优先受偿款情况说明如下：","——")</f>
        <v>——</v>
      </c>
      <c r="B14" s="3050"/>
      <c r="C14" s="3050"/>
      <c r="D14" s="3050"/>
    </row>
    <row r="15" spans="1:4" ht="42" customHeight="1">
      <c r="A15" s="3045" t="str">
        <f>IF(项目基本情况!B8="抵押","（1）"&amp;CONCATENATE(项目基本情况!L20,项目基本情况!L21,项目基本情况!L22),"——")</f>
        <v>——</v>
      </c>
      <c r="B15" s="3045"/>
      <c r="C15" s="3045"/>
      <c r="D15" s="3045"/>
    </row>
    <row r="16" spans="1:4" ht="30" customHeight="1">
      <c r="A16" s="3047" t="s">
        <v>1651</v>
      </c>
      <c r="B16" s="3047"/>
      <c r="C16" s="3047"/>
      <c r="D16" s="3047"/>
    </row>
    <row r="17" spans="1:4" ht="144" customHeight="1">
      <c r="A17" s="3047" t="s">
        <v>1652</v>
      </c>
      <c r="B17" s="3047"/>
      <c r="C17" s="3047"/>
      <c r="D17" s="3047"/>
    </row>
    <row r="18" spans="1:4" ht="15.75" customHeight="1">
      <c r="A18" s="3045" t="str">
        <f>IF(项目基本情况!B8="抵押",结果表!K120,"——")</f>
        <v>——</v>
      </c>
      <c r="B18" s="3045"/>
      <c r="C18" s="3045"/>
      <c r="D18" s="3045"/>
    </row>
    <row r="19" spans="1:4" ht="46.5" customHeight="1">
      <c r="A19" s="30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5"/>
      <c r="C19" s="3045"/>
      <c r="D19" s="3045"/>
    </row>
    <row r="20" spans="1:4" ht="57.75" customHeight="1">
      <c r="A20" s="30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5"/>
      <c r="C20" s="3045"/>
      <c r="D20" s="3045"/>
    </row>
    <row r="21" spans="1:4" ht="57.75" customHeight="1">
      <c r="A21" s="30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8"/>
      <c r="C21" s="3048"/>
      <c r="D21" s="3048"/>
    </row>
    <row r="22" spans="1:4" ht="18.75" customHeight="1">
      <c r="A22" s="3049" t="s">
        <v>1653</v>
      </c>
      <c r="B22" s="3049"/>
      <c r="C22" s="3049"/>
      <c r="D22" s="3049"/>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46">
        <v>42551</v>
      </c>
      <c r="D31" s="30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1" activeCellId="1" sqref="E29:F29 B41"/>
      <selection pane="bottomLeft" activeCell="B41" activeCellId="1" sqref="E29:F29 B41"/>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59" t="s">
        <v>1664</v>
      </c>
      <c r="B15" s="3054" t="s">
        <v>136</v>
      </c>
      <c r="C15" s="3055"/>
    </row>
    <row r="16" spans="1:7" ht="13.5">
      <c r="A16" s="3060"/>
      <c r="B16" s="3054" t="s">
        <v>69</v>
      </c>
      <c r="C16" s="3055"/>
    </row>
    <row r="17" spans="1:3" ht="13.5">
      <c r="A17" s="3060"/>
      <c r="B17" s="3057" t="s">
        <v>1665</v>
      </c>
      <c r="C17" s="1998" t="s">
        <v>1664</v>
      </c>
    </row>
    <row r="18" spans="1:3" ht="13.5">
      <c r="A18" s="3060"/>
      <c r="B18" s="3057"/>
      <c r="C18" s="1998" t="s">
        <v>1666</v>
      </c>
    </row>
    <row r="19" spans="1:3" ht="13.5">
      <c r="A19" s="3060"/>
      <c r="B19" s="3057"/>
      <c r="C19" s="1998" t="s">
        <v>1667</v>
      </c>
    </row>
    <row r="20" spans="1:3" ht="13.5">
      <c r="A20" s="3061"/>
      <c r="B20" s="3056" t="s">
        <v>1668</v>
      </c>
      <c r="C20" s="3055"/>
    </row>
    <row r="21" spans="1:3" ht="13.5">
      <c r="A21" s="1999" t="s">
        <v>1669</v>
      </c>
      <c r="B21" s="2000"/>
      <c r="C21" s="2001"/>
    </row>
    <row r="22" spans="1:3" ht="13.5">
      <c r="A22" s="3058" t="s">
        <v>1670</v>
      </c>
      <c r="B22" s="3056" t="s">
        <v>1671</v>
      </c>
      <c r="C22" s="3055"/>
    </row>
    <row r="23" spans="1:3" ht="13.5">
      <c r="A23" s="3058"/>
      <c r="B23" s="3056" t="s">
        <v>1672</v>
      </c>
      <c r="C23" s="3055"/>
    </row>
    <row r="24" spans="1:3" ht="13.5">
      <c r="A24" s="3058"/>
      <c r="B24" s="3056" t="s">
        <v>1673</v>
      </c>
      <c r="C24" s="3055"/>
    </row>
    <row r="25" spans="1:3" ht="13.5">
      <c r="A25" s="3058"/>
      <c r="B25" s="3057" t="s">
        <v>1674</v>
      </c>
      <c r="C25" s="1998" t="s">
        <v>1675</v>
      </c>
    </row>
    <row r="26" spans="1:3" ht="13.5">
      <c r="A26" s="3058"/>
      <c r="B26" s="3057"/>
      <c r="C26" s="1998" t="s">
        <v>1676</v>
      </c>
    </row>
    <row r="27" spans="1:3" ht="13.5">
      <c r="A27" s="3058"/>
      <c r="B27" s="3057"/>
      <c r="C27" s="1998" t="s">
        <v>1677</v>
      </c>
    </row>
    <row r="28" spans="1:3" ht="13.5">
      <c r="A28" s="3058"/>
      <c r="B28" s="3057"/>
      <c r="C28" s="1998" t="s">
        <v>1678</v>
      </c>
    </row>
    <row r="29" spans="1:3" ht="13.5">
      <c r="A29" s="3058"/>
      <c r="B29" s="3057"/>
      <c r="C29" s="1998" t="s">
        <v>1679</v>
      </c>
    </row>
    <row r="30" spans="1:3" ht="13.5">
      <c r="A30" s="3058"/>
      <c r="B30" s="3057"/>
      <c r="C30" s="1998" t="s">
        <v>1680</v>
      </c>
    </row>
    <row r="31" spans="1:3" ht="13.5">
      <c r="A31" s="3058"/>
      <c r="B31" s="3057"/>
      <c r="C31" s="1998" t="s">
        <v>1681</v>
      </c>
    </row>
    <row r="32" spans="1:3" ht="13.5">
      <c r="A32" s="3058"/>
      <c r="B32" s="3057"/>
      <c r="C32" s="1998" t="s">
        <v>1682</v>
      </c>
    </row>
    <row r="33" spans="1:3" ht="13.5">
      <c r="A33" s="3058"/>
      <c r="B33" s="3057"/>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1" activeCellId="1" sqref="E29:F29 B41"/>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43668</v>
      </c>
      <c r="C2" s="1017" t="s">
        <v>826</v>
      </c>
      <c r="D2" s="1017"/>
    </row>
    <row r="3" spans="1:6" ht="24" customHeight="1">
      <c r="A3" s="1018" t="s">
        <v>827</v>
      </c>
      <c r="B3" s="1019" t="s">
        <v>828</v>
      </c>
      <c r="C3" s="2344" t="s">
        <v>829</v>
      </c>
      <c r="D3" s="2347" t="s">
        <v>830</v>
      </c>
      <c r="E3" s="1020" t="s">
        <v>831</v>
      </c>
      <c r="F3" s="1019" t="s">
        <v>829</v>
      </c>
    </row>
    <row r="4" spans="1:6" ht="24" customHeight="1">
      <c r="A4" s="1700" t="s">
        <v>832</v>
      </c>
      <c r="B4" s="1020">
        <f ca="1">IF(C4&lt;B2,"已过期",1119970066)</f>
        <v>1119970066</v>
      </c>
      <c r="C4" s="2345">
        <v>43849</v>
      </c>
      <c r="D4" s="2348" t="s">
        <v>832</v>
      </c>
      <c r="E4" s="1020">
        <f ca="1">IF(F4&lt;B2,"已过期",96010014)</f>
        <v>96010014</v>
      </c>
      <c r="F4" s="1028">
        <v>47118</v>
      </c>
    </row>
    <row r="5" spans="1:6" ht="24" customHeight="1">
      <c r="A5" s="1700" t="s">
        <v>833</v>
      </c>
      <c r="B5" s="1020">
        <f ca="1">IF(C5&lt;B2,"已过期",1119970074)</f>
        <v>1119970074</v>
      </c>
      <c r="C5" s="2345">
        <v>43849</v>
      </c>
      <c r="D5" s="2348" t="s">
        <v>833</v>
      </c>
      <c r="E5" s="1020">
        <f ca="1">IF(F5&lt;B2,"已过期",2002110027)</f>
        <v>2002110027</v>
      </c>
      <c r="F5" s="1028">
        <v>46752</v>
      </c>
    </row>
    <row r="6" spans="1:6" ht="24" customHeight="1">
      <c r="A6" s="1700" t="s">
        <v>834</v>
      </c>
      <c r="B6" s="1020">
        <f ca="1">IF(C6&lt;B2,"已过期",1119970111)</f>
        <v>1119970111</v>
      </c>
      <c r="C6" s="2345">
        <v>43849</v>
      </c>
      <c r="D6" s="2348" t="s">
        <v>834</v>
      </c>
      <c r="E6" s="1020">
        <f ca="1">IF(F6&lt;B2,"已过期",94010078)</f>
        <v>94010078</v>
      </c>
      <c r="F6" s="1028">
        <v>46387</v>
      </c>
    </row>
    <row r="7" spans="1:6" ht="24" customHeight="1">
      <c r="A7" s="1700" t="s">
        <v>835</v>
      </c>
      <c r="B7" s="1020">
        <f ca="1">IF(C7&lt;B2,"已过期",1120050019)</f>
        <v>1120050019</v>
      </c>
      <c r="C7" s="2345">
        <v>44395</v>
      </c>
      <c r="D7" s="2348" t="s">
        <v>835</v>
      </c>
      <c r="E7" s="1020">
        <f ca="1">IF(F7&lt;B2,"已过期",2002110030)</f>
        <v>2002110030</v>
      </c>
      <c r="F7" s="1028">
        <v>46387</v>
      </c>
    </row>
    <row r="8" spans="1:6" ht="24" customHeight="1">
      <c r="A8" s="1700" t="s">
        <v>836</v>
      </c>
      <c r="B8" s="1020">
        <f ca="1">IF(C8&lt;B2,"已过期",1120000080)</f>
        <v>1120000080</v>
      </c>
      <c r="C8" s="2345">
        <v>43849</v>
      </c>
      <c r="D8" s="2348" t="s">
        <v>836</v>
      </c>
      <c r="E8" s="1020">
        <f ca="1">IF(F8&lt;B2,"已过期",2000110082)</f>
        <v>2000110082</v>
      </c>
      <c r="F8" s="1028">
        <v>46387</v>
      </c>
    </row>
    <row r="9" spans="1:6" ht="24" customHeight="1">
      <c r="A9" s="1700" t="s">
        <v>837</v>
      </c>
      <c r="B9" s="1020">
        <f ca="1">IF(C9&lt;B2,"已过期",1419970001)</f>
        <v>1419970001</v>
      </c>
      <c r="C9" s="2345">
        <v>43867</v>
      </c>
      <c r="D9" s="2348" t="s">
        <v>837</v>
      </c>
      <c r="E9" s="1020">
        <f ca="1">IF(F9&lt;B2,"已过期",2002110125)</f>
        <v>2002110125</v>
      </c>
      <c r="F9" s="1028">
        <v>47118</v>
      </c>
    </row>
    <row r="10" spans="1:6" ht="24" customHeight="1">
      <c r="A10" s="1700" t="s">
        <v>838</v>
      </c>
      <c r="B10" s="1020">
        <f ca="1">IF(C10&lt;B2,"已过期",1120060040)</f>
        <v>1120060040</v>
      </c>
      <c r="C10" s="2345">
        <v>44554</v>
      </c>
      <c r="D10" s="2348" t="s">
        <v>838</v>
      </c>
      <c r="E10" s="1020">
        <f ca="1">IF(F10&lt;B2,"已过期",2004110096)</f>
        <v>2004110096</v>
      </c>
      <c r="F10" s="1028">
        <v>47118</v>
      </c>
    </row>
    <row r="11" spans="1:6" ht="24" customHeight="1">
      <c r="A11" s="1700" t="s">
        <v>839</v>
      </c>
      <c r="B11" s="1020">
        <f ca="1">IF(C11&lt;B2,"已过期",1120100036)</f>
        <v>1120100036</v>
      </c>
      <c r="C11" s="2345">
        <v>44675</v>
      </c>
      <c r="D11" s="2348" t="s">
        <v>839</v>
      </c>
      <c r="E11" s="1020">
        <f ca="1">IF(F11&lt;B2,"已过期",2010110070)</f>
        <v>2010110070</v>
      </c>
      <c r="F11" s="1028">
        <v>47907</v>
      </c>
    </row>
    <row r="12" spans="1:6" ht="24" customHeight="1">
      <c r="A12" s="1700"/>
      <c r="B12" s="1020"/>
      <c r="C12" s="2924"/>
      <c r="D12" s="1700"/>
      <c r="E12" s="1020"/>
      <c r="F12" s="1028"/>
    </row>
    <row r="13" spans="1:6" ht="24" customHeight="1">
      <c r="A13" s="1700" t="s">
        <v>840</v>
      </c>
      <c r="B13" s="1020">
        <f ca="1">IF(C13&lt;B2,"已过期",1120070131)</f>
        <v>1120070131</v>
      </c>
      <c r="C13" s="2345">
        <v>43814</v>
      </c>
      <c r="D13" s="2348" t="s">
        <v>840</v>
      </c>
      <c r="E13" s="1020">
        <f ca="1">IF(F13&lt;B2,"已过期",2014110011)</f>
        <v>2014110011</v>
      </c>
      <c r="F13" s="1028">
        <v>49302</v>
      </c>
    </row>
    <row r="14" spans="1:6" ht="24" customHeight="1">
      <c r="A14" s="1700" t="s">
        <v>3031</v>
      </c>
      <c r="B14" s="1020">
        <f ca="1">IF(C14&lt;B2,"已过期",1120040230)</f>
        <v>1120040230</v>
      </c>
      <c r="C14" s="2345">
        <v>43835</v>
      </c>
      <c r="D14" s="2348" t="s">
        <v>3031</v>
      </c>
      <c r="E14" s="1020">
        <f ca="1">IF(F14&lt;B2,"已过期",98030020)</f>
        <v>98030020</v>
      </c>
      <c r="F14" s="1028">
        <v>47118</v>
      </c>
    </row>
    <row r="15" spans="1:6" ht="24" customHeight="1">
      <c r="A15" s="1701" t="s">
        <v>3032</v>
      </c>
      <c r="B15" s="1020">
        <f ca="1">IF(C15&lt;B2,"已过期",1120070085)</f>
        <v>1120070085</v>
      </c>
      <c r="C15" s="2345">
        <v>43814</v>
      </c>
      <c r="D15" s="2349" t="s">
        <v>3032</v>
      </c>
      <c r="E15" s="1020">
        <f ca="1">IF(F15&lt;B2,"已过期",2004110128)</f>
        <v>2004110128</v>
      </c>
      <c r="F15" s="1021">
        <v>47118</v>
      </c>
    </row>
    <row r="16" spans="1:6" ht="24" customHeight="1">
      <c r="A16" s="1700" t="s">
        <v>3033</v>
      </c>
      <c r="B16" s="1020">
        <f ca="1">IF(C16&lt;B2,"已过期",1120140022)</f>
        <v>1120140022</v>
      </c>
      <c r="C16" s="2924">
        <v>44029</v>
      </c>
      <c r="D16" s="2348" t="s">
        <v>3033</v>
      </c>
      <c r="E16" s="1020">
        <f ca="1">IF(F16&lt;B2,"已过期",2008110059)</f>
        <v>2008110059</v>
      </c>
      <c r="F16" s="1028">
        <v>47177</v>
      </c>
    </row>
    <row r="17" spans="1:7" ht="24" customHeight="1">
      <c r="A17" s="1700"/>
      <c r="B17" s="1020"/>
      <c r="C17" s="2345"/>
      <c r="D17" s="2348" t="s">
        <v>3034</v>
      </c>
      <c r="E17" s="1020">
        <f ca="1">IF(F17&lt;B2,"已过期",2014110076)</f>
        <v>2014110076</v>
      </c>
      <c r="F17" s="1028">
        <v>49302</v>
      </c>
    </row>
    <row r="18" spans="1:7" ht="24" customHeight="1">
      <c r="A18" s="1700"/>
      <c r="B18" s="1020"/>
      <c r="C18" s="2345"/>
      <c r="D18" s="2348"/>
      <c r="E18" s="1020"/>
      <c r="F18" s="1028"/>
    </row>
    <row r="19" spans="1:7" ht="24" customHeight="1">
      <c r="A19" s="1700"/>
      <c r="B19" s="1020"/>
      <c r="C19" s="2345"/>
      <c r="D19" s="2348"/>
      <c r="E19" s="1020"/>
      <c r="F19" s="1020"/>
    </row>
    <row r="20" spans="1:7" ht="24" customHeight="1">
      <c r="A20" s="1700"/>
      <c r="B20" s="1020"/>
      <c r="C20" s="2345"/>
      <c r="D20" s="2348"/>
      <c r="E20" s="1020"/>
      <c r="F20" s="1020"/>
    </row>
    <row r="21" spans="1:7" ht="24" customHeight="1">
      <c r="A21" s="1700"/>
      <c r="B21" s="1020"/>
      <c r="C21" s="2345"/>
      <c r="D21" s="2348" t="s">
        <v>841</v>
      </c>
      <c r="E21" s="1020">
        <f ca="1">IF(F21&lt;B2,"已过期",2011110090)</f>
        <v>2011110090</v>
      </c>
      <c r="F21" s="1028">
        <v>48302</v>
      </c>
    </row>
    <row r="22" spans="1:7" ht="24" customHeight="1">
      <c r="A22" s="1700" t="s">
        <v>842</v>
      </c>
      <c r="B22" s="1020">
        <f ca="1">IF(C22&lt;B2,"已过期",1120020033)</f>
        <v>1120020033</v>
      </c>
      <c r="C22" s="2924">
        <v>44339</v>
      </c>
      <c r="D22" s="2348" t="s">
        <v>842</v>
      </c>
      <c r="E22" s="1020">
        <f ca="1">IF(F22&lt;B2,"已过期",2000110137)</f>
        <v>2000110137</v>
      </c>
      <c r="F22" s="1028">
        <v>46387</v>
      </c>
    </row>
    <row r="23" spans="1:7" ht="24" customHeight="1">
      <c r="A23" s="1700"/>
      <c r="B23" s="1020"/>
      <c r="C23" s="2345"/>
      <c r="D23" s="2348"/>
      <c r="E23" s="1020"/>
      <c r="F23" s="1020"/>
    </row>
    <row r="24" spans="1:7" s="1022" customFormat="1" ht="24" customHeight="1">
      <c r="A24" s="1701" t="s">
        <v>1329</v>
      </c>
      <c r="B24" s="1701" t="s">
        <v>1329</v>
      </c>
      <c r="C24" s="2346" t="s">
        <v>1329</v>
      </c>
      <c r="D24" s="2349" t="s">
        <v>1329</v>
      </c>
      <c r="E24" s="1701" t="s">
        <v>1329</v>
      </c>
      <c r="F24" s="1701" t="s">
        <v>1329</v>
      </c>
    </row>
    <row r="25" spans="1:7" ht="24" customHeight="1">
      <c r="A25" s="3062" t="s">
        <v>843</v>
      </c>
      <c r="B25" s="3062"/>
      <c r="C25" s="3062"/>
      <c r="D25" s="3062"/>
      <c r="E25" s="3062"/>
      <c r="F25" s="3062"/>
      <c r="G25" s="3062"/>
    </row>
    <row r="26" spans="1:7" s="1023" customFormat="1" ht="24" customHeight="1">
      <c r="A26" s="3063" t="s">
        <v>844</v>
      </c>
      <c r="B26" s="3063"/>
      <c r="C26" s="3064"/>
      <c r="D26" s="3065" t="s">
        <v>845</v>
      </c>
      <c r="E26" s="3063"/>
      <c r="F26" s="3063"/>
    </row>
    <row r="27" spans="1:7" s="1025" customFormat="1" ht="24" customHeight="1">
      <c r="A27" s="1024" t="s">
        <v>846</v>
      </c>
      <c r="B27" s="1019" t="s">
        <v>847</v>
      </c>
      <c r="C27" s="2344" t="s">
        <v>848</v>
      </c>
      <c r="D27" s="2352" t="s">
        <v>846</v>
      </c>
      <c r="E27" s="1019" t="s">
        <v>847</v>
      </c>
      <c r="F27" s="1019" t="s">
        <v>848</v>
      </c>
    </row>
    <row r="28" spans="1:7" s="1025" customFormat="1" ht="24" customHeight="1">
      <c r="A28" s="1026" t="s">
        <v>849</v>
      </c>
      <c r="B28" s="1027" t="s">
        <v>850</v>
      </c>
      <c r="C28" s="2350">
        <v>43725</v>
      </c>
      <c r="D28" s="2353" t="s">
        <v>851</v>
      </c>
      <c r="E28" s="1026" t="s">
        <v>852</v>
      </c>
      <c r="F28" s="1056">
        <v>44377</v>
      </c>
    </row>
    <row r="29" spans="1:7" s="1025" customFormat="1" ht="24" customHeight="1">
      <c r="A29" s="1026"/>
      <c r="B29" s="1026"/>
      <c r="C29" s="2351"/>
      <c r="D29" s="2353" t="s">
        <v>853</v>
      </c>
      <c r="E29" s="1200" t="s">
        <v>3038</v>
      </c>
      <c r="F29" s="1201">
        <v>43646</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53" priority="88">
      <formula>AND($C28-TODAY()&lt;30,TODAY()&lt;$C28)</formula>
    </cfRule>
  </conditionalFormatting>
  <conditionalFormatting sqref="C28 F4">
    <cfRule type="cellIs" dxfId="252" priority="90" stopIfTrue="1" operator="lessThan">
      <formula>$B$2</formula>
    </cfRule>
  </conditionalFormatting>
  <conditionalFormatting sqref="C5">
    <cfRule type="expression" dxfId="251" priority="85">
      <formula>AND($C5-TODAY()&lt;30,TODAY()&lt;$C5)</formula>
    </cfRule>
  </conditionalFormatting>
  <conditionalFormatting sqref="C5 F5">
    <cfRule type="cellIs" dxfId="250" priority="86" stopIfTrue="1" operator="lessThan">
      <formula>$B$2</formula>
    </cfRule>
  </conditionalFormatting>
  <conditionalFormatting sqref="F6 F8 F10">
    <cfRule type="cellIs" dxfId="249" priority="84" stopIfTrue="1" operator="lessThan">
      <formula>$B$2</formula>
    </cfRule>
  </conditionalFormatting>
  <conditionalFormatting sqref="C4:C11 C13 C23 C17:C21">
    <cfRule type="expression" dxfId="248" priority="82">
      <formula>AND($C4-TODAY()&lt;30,TODAY()&lt;$C4)</formula>
    </cfRule>
  </conditionalFormatting>
  <conditionalFormatting sqref="F7 F9 F11 C4:C11 C13 C23 C17:C21">
    <cfRule type="cellIs" dxfId="247" priority="83" stopIfTrue="1" operator="lessThan">
      <formula>$B$2</formula>
    </cfRule>
  </conditionalFormatting>
  <conditionalFormatting sqref="C18">
    <cfRule type="expression" dxfId="246" priority="72">
      <formula>AND($C18-TODAY()&lt;30,TODAY()&lt;$C18)</formula>
    </cfRule>
  </conditionalFormatting>
  <conditionalFormatting sqref="C18">
    <cfRule type="cellIs" dxfId="245" priority="73" stopIfTrue="1" operator="lessThan">
      <formula>$B$2</formula>
    </cfRule>
  </conditionalFormatting>
  <conditionalFormatting sqref="C20">
    <cfRule type="expression" dxfId="244" priority="70">
      <formula>AND($C20-TODAY()&lt;30,TODAY()&lt;$C20)</formula>
    </cfRule>
  </conditionalFormatting>
  <conditionalFormatting sqref="C20">
    <cfRule type="cellIs" dxfId="243" priority="71" stopIfTrue="1" operator="lessThan">
      <formula>$B$2</formula>
    </cfRule>
  </conditionalFormatting>
  <conditionalFormatting sqref="C17">
    <cfRule type="expression" dxfId="242" priority="64">
      <formula>AND($C17-TODAY()&lt;30,TODAY()&lt;$C17)</formula>
    </cfRule>
  </conditionalFormatting>
  <conditionalFormatting sqref="C17">
    <cfRule type="cellIs" dxfId="241" priority="65" stopIfTrue="1" operator="lessThan">
      <formula>$B$2</formula>
    </cfRule>
  </conditionalFormatting>
  <conditionalFormatting sqref="C19">
    <cfRule type="expression" dxfId="240" priority="62">
      <formula>AND($C19-TODAY()&lt;30,TODAY()&lt;$C19)</formula>
    </cfRule>
  </conditionalFormatting>
  <conditionalFormatting sqref="C19">
    <cfRule type="cellIs" dxfId="239" priority="63" stopIfTrue="1" operator="lessThan">
      <formula>$B$2</formula>
    </cfRule>
  </conditionalFormatting>
  <conditionalFormatting sqref="C21">
    <cfRule type="expression" dxfId="238" priority="60">
      <formula>AND($C21-TODAY()&lt;30,TODAY()&lt;$C21)</formula>
    </cfRule>
  </conditionalFormatting>
  <conditionalFormatting sqref="C21">
    <cfRule type="cellIs" dxfId="237" priority="61" stopIfTrue="1" operator="lessThan">
      <formula>$B$2</formula>
    </cfRule>
  </conditionalFormatting>
  <conditionalFormatting sqref="C23">
    <cfRule type="expression" dxfId="236" priority="58">
      <formula>AND($C23-TODAY()&lt;30,TODAY()&lt;$C23)</formula>
    </cfRule>
  </conditionalFormatting>
  <conditionalFormatting sqref="C23">
    <cfRule type="cellIs" dxfId="235" priority="59" stopIfTrue="1" operator="lessThan">
      <formula>$B$2</formula>
    </cfRule>
  </conditionalFormatting>
  <conditionalFormatting sqref="F18">
    <cfRule type="cellIs" dxfId="234" priority="55" stopIfTrue="1" operator="lessThan">
      <formula>$B$2</formula>
    </cfRule>
  </conditionalFormatting>
  <conditionalFormatting sqref="F22">
    <cfRule type="cellIs" dxfId="233" priority="54" stopIfTrue="1" operator="lessThan">
      <formula>$B$2</formula>
    </cfRule>
  </conditionalFormatting>
  <conditionalFormatting sqref="F21">
    <cfRule type="cellIs" dxfId="232" priority="53" stopIfTrue="1" operator="lessThan">
      <formula>$B$2</formula>
    </cfRule>
  </conditionalFormatting>
  <conditionalFormatting sqref="B4:B11 E4:E11 B17:B23 E18:E23 B13 E13">
    <cfRule type="cellIs" dxfId="231" priority="51" stopIfTrue="1" operator="equal">
      <formula>"已过期"</formula>
    </cfRule>
  </conditionalFormatting>
  <conditionalFormatting sqref="A24:F24">
    <cfRule type="cellIs" dxfId="230" priority="47" stopIfTrue="1" operator="equal">
      <formula>"已过期"</formula>
    </cfRule>
  </conditionalFormatting>
  <conditionalFormatting sqref="F28">
    <cfRule type="expression" dxfId="229" priority="45">
      <formula>AND($E28-TODAY()&lt;30,TODAY()&lt;$E28)</formula>
    </cfRule>
  </conditionalFormatting>
  <conditionalFormatting sqref="F28">
    <cfRule type="cellIs" dxfId="228" priority="46" stopIfTrue="1" operator="lessThan">
      <formula>$B$2</formula>
    </cfRule>
  </conditionalFormatting>
  <conditionalFormatting sqref="F29">
    <cfRule type="expression" dxfId="227" priority="41" stopIfTrue="1">
      <formula>AND($E29-TODAY()&lt;30,TODAY()&lt;$E29)</formula>
    </cfRule>
  </conditionalFormatting>
  <conditionalFormatting sqref="F29">
    <cfRule type="cellIs" dxfId="226" priority="42" stopIfTrue="1" operator="lessThan">
      <formula>$B$2</formula>
    </cfRule>
  </conditionalFormatting>
  <conditionalFormatting sqref="F13">
    <cfRule type="cellIs" dxfId="225" priority="34" stopIfTrue="1" operator="lessThan">
      <formula>$B$2</formula>
    </cfRule>
  </conditionalFormatting>
  <conditionalFormatting sqref="C12">
    <cfRule type="expression" dxfId="224" priority="32">
      <formula>AND($C12-TODAY()&lt;30,TODAY()&lt;$C12)</formula>
    </cfRule>
  </conditionalFormatting>
  <conditionalFormatting sqref="C12">
    <cfRule type="cellIs" dxfId="223" priority="33" stopIfTrue="1" operator="lessThan">
      <formula>$B$2</formula>
    </cfRule>
  </conditionalFormatting>
  <conditionalFormatting sqref="C12">
    <cfRule type="expression" dxfId="222" priority="30">
      <formula>AND($C12-TODAY()&lt;30,TODAY()&lt;$C12)</formula>
    </cfRule>
  </conditionalFormatting>
  <conditionalFormatting sqref="C12">
    <cfRule type="cellIs" dxfId="221" priority="31" stopIfTrue="1" operator="lessThan">
      <formula>$B$2</formula>
    </cfRule>
  </conditionalFormatting>
  <conditionalFormatting sqref="B12">
    <cfRule type="cellIs" dxfId="220" priority="29" stopIfTrue="1" operator="equal">
      <formula>"已过期"</formula>
    </cfRule>
  </conditionalFormatting>
  <conditionalFormatting sqref="E12">
    <cfRule type="cellIs" dxfId="219" priority="28" stopIfTrue="1" operator="equal">
      <formula>"已过期"</formula>
    </cfRule>
  </conditionalFormatting>
  <conditionalFormatting sqref="F12">
    <cfRule type="cellIs" dxfId="218" priority="27" stopIfTrue="1" operator="lessThan">
      <formula>$B$2</formula>
    </cfRule>
  </conditionalFormatting>
  <conditionalFormatting sqref="C22">
    <cfRule type="expression" dxfId="217" priority="25">
      <formula>AND($C22-TODAY()&lt;30,TODAY()&lt;$C22)</formula>
    </cfRule>
  </conditionalFormatting>
  <conditionalFormatting sqref="C22">
    <cfRule type="cellIs" dxfId="216" priority="26" stopIfTrue="1" operator="lessThan">
      <formula>$B$2</formula>
    </cfRule>
  </conditionalFormatting>
  <conditionalFormatting sqref="C22">
    <cfRule type="expression" dxfId="215" priority="23">
      <formula>AND($C22-TODAY()&lt;30,TODAY()&lt;$C22)</formula>
    </cfRule>
  </conditionalFormatting>
  <conditionalFormatting sqref="C22">
    <cfRule type="cellIs" dxfId="214" priority="24" stopIfTrue="1" operator="lessThan">
      <formula>$B$2</formula>
    </cfRule>
  </conditionalFormatting>
  <conditionalFormatting sqref="C16">
    <cfRule type="expression" dxfId="213" priority="21">
      <formula>AND($C16-TODAY()&lt;30,TODAY()&lt;$C16)</formula>
    </cfRule>
  </conditionalFormatting>
  <conditionalFormatting sqref="C16">
    <cfRule type="cellIs" dxfId="212" priority="22" stopIfTrue="1" operator="lessThan">
      <formula>$B$2</formula>
    </cfRule>
  </conditionalFormatting>
  <conditionalFormatting sqref="C16">
    <cfRule type="expression" dxfId="211" priority="19">
      <formula>AND($C16-TODAY()&lt;30,TODAY()&lt;$C16)</formula>
    </cfRule>
  </conditionalFormatting>
  <conditionalFormatting sqref="C16">
    <cfRule type="cellIs" dxfId="210" priority="20" stopIfTrue="1" operator="lessThan">
      <formula>$B$2</formula>
    </cfRule>
  </conditionalFormatting>
  <conditionalFormatting sqref="B16">
    <cfRule type="cellIs" dxfId="209" priority="18" stopIfTrue="1" operator="equal">
      <formula>"已过期"</formula>
    </cfRule>
  </conditionalFormatting>
  <conditionalFormatting sqref="C14:C15">
    <cfRule type="expression" dxfId="208" priority="16">
      <formula>AND($C14-TODAY()&lt;30,TODAY()&lt;$C14)</formula>
    </cfRule>
  </conditionalFormatting>
  <conditionalFormatting sqref="C14:C15">
    <cfRule type="cellIs" dxfId="207" priority="17" stopIfTrue="1" operator="lessThan">
      <formula>$B$2</formula>
    </cfRule>
  </conditionalFormatting>
  <conditionalFormatting sqref="C14">
    <cfRule type="expression" dxfId="206" priority="14">
      <formula>AND($C14-TODAY()&lt;30,TODAY()&lt;$C14)</formula>
    </cfRule>
  </conditionalFormatting>
  <conditionalFormatting sqref="C14">
    <cfRule type="cellIs" dxfId="205" priority="15" stopIfTrue="1" operator="lessThan">
      <formula>$B$2</formula>
    </cfRule>
  </conditionalFormatting>
  <conditionalFormatting sqref="C15">
    <cfRule type="expression" dxfId="204" priority="12">
      <formula>AND($C15-TODAY()&lt;30,TODAY()&lt;$C15)</formula>
    </cfRule>
  </conditionalFormatting>
  <conditionalFormatting sqref="C15">
    <cfRule type="cellIs" dxfId="203" priority="13" stopIfTrue="1" operator="lessThan">
      <formula>$B$2</formula>
    </cfRule>
  </conditionalFormatting>
  <conditionalFormatting sqref="B14">
    <cfRule type="cellIs" dxfId="202" priority="11" stopIfTrue="1" operator="equal">
      <formula>"已过期"</formula>
    </cfRule>
  </conditionalFormatting>
  <conditionalFormatting sqref="B15">
    <cfRule type="cellIs" dxfId="201" priority="10" stopIfTrue="1" operator="equal">
      <formula>"已过期"</formula>
    </cfRule>
  </conditionalFormatting>
  <conditionalFormatting sqref="A15">
    <cfRule type="cellIs" dxfId="200" priority="9" stopIfTrue="1" operator="equal">
      <formula>"已过期"</formula>
    </cfRule>
  </conditionalFormatting>
  <conditionalFormatting sqref="C15">
    <cfRule type="expression" dxfId="199" priority="8">
      <formula>AND($C15-TODAY()&lt;30,TODAY()&lt;$C15)</formula>
    </cfRule>
  </conditionalFormatting>
  <conditionalFormatting sqref="F16">
    <cfRule type="cellIs" dxfId="198" priority="7" stopIfTrue="1" operator="lessThan">
      <formula>$B$2</formula>
    </cfRule>
  </conditionalFormatting>
  <conditionalFormatting sqref="E16 E14">
    <cfRule type="cellIs" dxfId="197" priority="6" stopIfTrue="1" operator="equal">
      <formula>"已过期"</formula>
    </cfRule>
  </conditionalFormatting>
  <conditionalFormatting sqref="E15">
    <cfRule type="cellIs" dxfId="196" priority="5" stopIfTrue="1" operator="equal">
      <formula>"已过期"</formula>
    </cfRule>
  </conditionalFormatting>
  <conditionalFormatting sqref="D15">
    <cfRule type="cellIs" dxfId="195" priority="4" stopIfTrue="1" operator="equal">
      <formula>"已过期"</formula>
    </cfRule>
  </conditionalFormatting>
  <conditionalFormatting sqref="F17">
    <cfRule type="cellIs" dxfId="194" priority="3" stopIfTrue="1" operator="lessThan">
      <formula>$B$2</formula>
    </cfRule>
  </conditionalFormatting>
  <conditionalFormatting sqref="E17">
    <cfRule type="cellIs" dxfId="193" priority="2" stopIfTrue="1" operator="equal">
      <formula>"已过期"</formula>
    </cfRule>
  </conditionalFormatting>
  <conditionalFormatting sqref="F14">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结果表-办公</vt:lpstr>
      <vt:lpstr>假设开发法</vt:lpstr>
      <vt:lpstr>收益法</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办公案例</vt:lpstr>
      <vt:lpstr>收益法-办公</vt:lpstr>
      <vt:lpstr>比较法-办公租金</vt:lpstr>
      <vt:lpstr>典型户型修正</vt:lpstr>
      <vt:lpstr>比较法-住宅</vt:lpstr>
      <vt:lpstr>住宅案例</vt:lpstr>
      <vt:lpstr>收益法-住宅</vt:lpstr>
      <vt:lpstr>成本法</vt:lpstr>
      <vt:lpstr>成本法 (元)</vt:lpstr>
      <vt:lpstr>基准地价修正</vt:lpstr>
      <vt:lpstr>成本法（废）</vt:lpstr>
      <vt:lpstr>区片价</vt:lpstr>
      <vt:lpstr>因素修正幅度</vt:lpstr>
      <vt:lpstr>存贷款利率</vt:lpstr>
      <vt:lpstr>区片价（范围）</vt:lpstr>
      <vt:lpstr>比较法-住宅租金)</vt:lpstr>
      <vt:lpstr>Sheet1</vt:lpstr>
      <vt:lpstr>估价师及机构信息!Print_Area</vt:lpstr>
      <vt:lpstr>收益法!Print_Area</vt:lpstr>
      <vt:lpstr>'收益法-办公'!Print_Area</vt:lpstr>
      <vt:lpstr>'收益法-住宅'!Print_Area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2019-07-22T08:31:21Z</dcterms:modified>
</cp:coreProperties>
</file>