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drawings/drawing5.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win10\Desktop\司法怀柔东关一区1号楼\"/>
    </mc:Choice>
  </mc:AlternateContent>
  <bookViews>
    <workbookView xWindow="0" yWindow="0" windowWidth="20490" windowHeight="7755" tabRatio="899" firstSheet="13" activeTab="3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Sheet1" sheetId="80" r:id="rId12"/>
    <sheet name="项目基本情况" sheetId="4" r:id="rId13"/>
    <sheet name="数据-基础表" sheetId="3" r:id="rId14"/>
    <sheet name="数据-汇总表" sheetId="6" r:id="rId15"/>
    <sheet name="数据-取费表" sheetId="1" r:id="rId16"/>
    <sheet name="估价对象房地状况" sheetId="20" state="hidden"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state="hidden" r:id="rId25"/>
    <sheet name="比较法-办公" sheetId="34"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Sheet3" sheetId="82" state="hidden" r:id="rId34"/>
    <sheet name="中指" sheetId="81" r:id="rId35"/>
    <sheet name="建委" sheetId="87" r:id="rId36"/>
    <sheet name="京东淘宝" sheetId="86" r:id="rId37"/>
    <sheet name="法拍" sheetId="84" r:id="rId38"/>
    <sheet name="收益法 (元)" sheetId="67" r:id="rId39"/>
    <sheet name="比较法-租金" sheetId="85" r:id="rId40"/>
    <sheet name="Sheet4" sheetId="83" r:id="rId41"/>
    <sheet name="成本法 (元)" sheetId="69" r:id="rId42"/>
    <sheet name="基准地价修正" sheetId="43"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 name="系统读取表" sheetId="74" r:id="rId53"/>
  </sheets>
  <externalReferences>
    <externalReference r:id="rId54"/>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39" hidden="1">'比较法-租金'!$A$1:$L$50</definedName>
    <definedName name="_xlnm._FilterDatabase" localSheetId="13"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2" hidden="1">项目基本情况!$A$42:$N$42</definedName>
    <definedName name="_xlnm.Print_Area" localSheetId="25">'比较法-办公'!$A$1:$K$55</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39">'比较法-租金'!$A$1:$K$55,'比较法-租金'!$A$58:$M$132</definedName>
    <definedName name="_xlnm.Print_Area" localSheetId="18">成本法!$A$1:$G$57</definedName>
    <definedName name="_xlnm.Print_Area" localSheetId="41">'成本法 (元)'!$A$1:$G$57</definedName>
    <definedName name="_xlnm.Print_Area" localSheetId="16">估价对象房地状况!$A$1:$G$24</definedName>
    <definedName name="_xlnm.Print_Area" localSheetId="8">估价师及机构信息!$A$1:$G$22</definedName>
    <definedName name="_xlnm.Print_Area" localSheetId="32">'基准地价（汇总）'!$A$1:$E$13</definedName>
    <definedName name="_xlnm.Print_Area" localSheetId="42">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8">'收益法 (元)'!$A$1:$F$43,'收益法 (元)'!$H$3:$M$29,'收益法 (元)'!$A$45:$F$71,'收益法 (元)'!$I$46:$N$65</definedName>
    <definedName name="_xlnm.Print_Area" localSheetId="22">'收益法（汇总）'!$A$1:$F$13</definedName>
    <definedName name="_xlnm.Print_Area" localSheetId="14">'数据-汇总表'!$A$1:$P$32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52">系统读取表!$A$1:$I$26</definedName>
    <definedName name="_xlnm.Print_Area" localSheetId="12">项目基本情况!$A$1:$I$38</definedName>
    <definedName name="八级">区片价!$P$1:$P$44</definedName>
    <definedName name="办公层高" localSheetId="39">'比较法-租金'!$B$119:$M$119</definedName>
    <definedName name="办公层高">'比较法-办公'!$B$119:$M$119</definedName>
    <definedName name="办公朝向" localSheetId="39">'比较法-租金'!$B$91:$M$91</definedName>
    <definedName name="办公朝向">'比较法-办公'!$B$91:$M$91</definedName>
    <definedName name="办公道路级别" localSheetId="39">'比较法-租金'!$B$87:$M$87</definedName>
    <definedName name="办公道路级别">'比较法-办公'!$B$87:$M$87</definedName>
    <definedName name="办公公共部分装修" localSheetId="39">'比较法-租金'!$B$108:$M$108</definedName>
    <definedName name="办公公共部分装修">'比较法-办公'!$B$108:$M$108</definedName>
    <definedName name="办公基础设施水平" localSheetId="39">'比较法-租金'!$B$117:$M$117</definedName>
    <definedName name="办公基础设施水平">'比较法-办公'!$B$117:$M$117</definedName>
    <definedName name="办公集聚程度">定义!$M$1:$M$6</definedName>
    <definedName name="办公建筑结构" localSheetId="39">'比较法-租金'!$B$106:$M$106</definedName>
    <definedName name="办公建筑结构">'比较法-办公'!$B$106:$M$106</definedName>
    <definedName name="办公建筑类型" localSheetId="39">'比较法-租金'!$B$101:$M$101</definedName>
    <definedName name="办公建筑类型">'比较法-办公'!$B$101:$M$101</definedName>
    <definedName name="办公交易情况" localSheetId="39">'比较法-租金'!$A$62:$M$62</definedName>
    <definedName name="办公交易情况">'比较法-办公'!$A$62:$M$62</definedName>
    <definedName name="办公楼层" localSheetId="39">'比较法-租金'!$B$89:$M$89</definedName>
    <definedName name="办公楼层">'比较法-办公'!$B$89:$M$89</definedName>
    <definedName name="办公内部装修" localSheetId="39">'比较法-租金'!$B$123:$M$123</definedName>
    <definedName name="办公内部装修">'比较法-办公'!$B$123:$M$123</definedName>
    <definedName name="办公物业管理" localSheetId="39">'比较法-租金'!$B$115:$M$115</definedName>
    <definedName name="办公物业管理">'比较法-办公'!$B$115:$M$115</definedName>
    <definedName name="办公用途" localSheetId="39">'比较法-租金'!$B$64:$M$64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 localSheetId="39">'比较法-租金'!$B$113:$M$113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34" i="34" l="1"/>
  <c r="G34" i="34"/>
  <c r="J3" i="86" l="1"/>
  <c r="J4" i="86"/>
  <c r="J9" i="86"/>
  <c r="J2" i="86"/>
  <c r="F10" i="86"/>
  <c r="I10" i="86"/>
  <c r="G9" i="86"/>
  <c r="G10" i="86"/>
  <c r="F9" i="86"/>
  <c r="D9" i="86"/>
  <c r="I9" i="86" s="1"/>
  <c r="F8" i="86"/>
  <c r="G8" i="86" s="1"/>
  <c r="H7" i="86"/>
  <c r="F6" i="86"/>
  <c r="G6" i="86" s="1"/>
  <c r="E7" i="86"/>
  <c r="F7" i="86" s="1"/>
  <c r="G7" i="86" s="1"/>
  <c r="I4" i="86"/>
  <c r="I5" i="86"/>
  <c r="I6" i="86"/>
  <c r="I7" i="86"/>
  <c r="I8" i="86"/>
  <c r="G4" i="86"/>
  <c r="G5" i="86"/>
  <c r="I3" i="86"/>
  <c r="G3" i="86"/>
  <c r="I2" i="86"/>
  <c r="G2" i="86"/>
  <c r="R22" i="84" l="1"/>
  <c r="R21" i="84"/>
  <c r="Q21" i="84"/>
  <c r="D5" i="9" l="1"/>
  <c r="I7" i="85" l="1"/>
  <c r="G7" i="85"/>
  <c r="B131" i="85"/>
  <c r="B129" i="85"/>
  <c r="H46" i="85" s="1"/>
  <c r="AB46" i="85" s="1"/>
  <c r="B127" i="85"/>
  <c r="D126" i="85"/>
  <c r="E126" i="85" s="1"/>
  <c r="F126" i="85" s="1"/>
  <c r="G126" i="85" s="1"/>
  <c r="D124" i="85"/>
  <c r="E124" i="85" s="1"/>
  <c r="F124" i="85" s="1"/>
  <c r="G124" i="85" s="1"/>
  <c r="H124" i="85" s="1"/>
  <c r="I124" i="85" s="1"/>
  <c r="J124" i="85" s="1"/>
  <c r="K124" i="85" s="1"/>
  <c r="L124" i="85" s="1"/>
  <c r="M124" i="85" s="1"/>
  <c r="D120" i="85"/>
  <c r="E120" i="85" s="1"/>
  <c r="F120" i="85" s="1"/>
  <c r="G120" i="85" s="1"/>
  <c r="H120" i="85" s="1"/>
  <c r="I120" i="85" s="1"/>
  <c r="J120" i="85" s="1"/>
  <c r="K120" i="85" s="1"/>
  <c r="L120" i="85" s="1"/>
  <c r="M120" i="85" s="1"/>
  <c r="D118" i="85"/>
  <c r="E118" i="85" s="1"/>
  <c r="F118" i="85" s="1"/>
  <c r="G118" i="85" s="1"/>
  <c r="D116" i="85"/>
  <c r="E116" i="85" s="1"/>
  <c r="F116" i="85" s="1"/>
  <c r="G116" i="85" s="1"/>
  <c r="H116" i="85" s="1"/>
  <c r="I116" i="85" s="1"/>
  <c r="J116" i="85" s="1"/>
  <c r="K116" i="85" s="1"/>
  <c r="L116" i="85" s="1"/>
  <c r="M116" i="85" s="1"/>
  <c r="D114" i="85"/>
  <c r="E114" i="85" s="1"/>
  <c r="F114" i="85" s="1"/>
  <c r="G114" i="85" s="1"/>
  <c r="H114" i="85" s="1"/>
  <c r="I114" i="85" s="1"/>
  <c r="J114" i="85" s="1"/>
  <c r="K114" i="85" s="1"/>
  <c r="L114" i="85" s="1"/>
  <c r="M114" i="85" s="1"/>
  <c r="D112" i="85"/>
  <c r="E112" i="85" s="1"/>
  <c r="F112" i="85" s="1"/>
  <c r="G112" i="85" s="1"/>
  <c r="H112" i="85" s="1"/>
  <c r="I112" i="85" s="1"/>
  <c r="J112" i="85" s="1"/>
  <c r="K112" i="85" s="1"/>
  <c r="L112" i="85" s="1"/>
  <c r="M112" i="85" s="1"/>
  <c r="G110" i="85"/>
  <c r="F110" i="85"/>
  <c r="E110" i="85"/>
  <c r="D110" i="85"/>
  <c r="C110" i="85"/>
  <c r="D109" i="85"/>
  <c r="E109" i="85" s="1"/>
  <c r="F109" i="85" s="1"/>
  <c r="G109" i="85" s="1"/>
  <c r="H109" i="85" s="1"/>
  <c r="I109" i="85" s="1"/>
  <c r="J109" i="85" s="1"/>
  <c r="K109" i="85" s="1"/>
  <c r="L109" i="85" s="1"/>
  <c r="M109" i="85" s="1"/>
  <c r="D107" i="85"/>
  <c r="E107" i="85" s="1"/>
  <c r="F107" i="85" s="1"/>
  <c r="G107" i="85" s="1"/>
  <c r="H107" i="85" s="1"/>
  <c r="I107" i="85" s="1"/>
  <c r="J107" i="85" s="1"/>
  <c r="K107" i="85" s="1"/>
  <c r="L107" i="85" s="1"/>
  <c r="M107" i="85" s="1"/>
  <c r="M103" i="85"/>
  <c r="L103" i="85"/>
  <c r="K103" i="85"/>
  <c r="J103" i="85"/>
  <c r="I103" i="85"/>
  <c r="H103" i="85"/>
  <c r="G103" i="85"/>
  <c r="F103" i="85"/>
  <c r="E103" i="85"/>
  <c r="D103" i="85"/>
  <c r="C103" i="85"/>
  <c r="E102" i="85"/>
  <c r="F102" i="85" s="1"/>
  <c r="G102" i="85" s="1"/>
  <c r="H102" i="85" s="1"/>
  <c r="I102" i="85" s="1"/>
  <c r="J102" i="85" s="1"/>
  <c r="K102" i="85" s="1"/>
  <c r="L102" i="85" s="1"/>
  <c r="M102" i="85" s="1"/>
  <c r="D102" i="85"/>
  <c r="B99" i="85"/>
  <c r="J32" i="85" s="1"/>
  <c r="B97" i="85"/>
  <c r="B95" i="85"/>
  <c r="B93" i="85"/>
  <c r="E92" i="85"/>
  <c r="F92" i="85" s="1"/>
  <c r="G92" i="85" s="1"/>
  <c r="H92" i="85" s="1"/>
  <c r="I92" i="85" s="1"/>
  <c r="J92" i="85" s="1"/>
  <c r="K92" i="85" s="1"/>
  <c r="L92" i="85" s="1"/>
  <c r="M92" i="85" s="1"/>
  <c r="D92" i="85"/>
  <c r="B91" i="85"/>
  <c r="D90" i="85"/>
  <c r="E90" i="85" s="1"/>
  <c r="B89" i="85"/>
  <c r="H27" i="85" s="1"/>
  <c r="U27" i="85" s="1"/>
  <c r="D88" i="85"/>
  <c r="E88" i="85" s="1"/>
  <c r="D86" i="85"/>
  <c r="E86" i="85" s="1"/>
  <c r="E84" i="85"/>
  <c r="F84" i="85" s="1"/>
  <c r="G84" i="85" s="1"/>
  <c r="D84" i="85"/>
  <c r="E82" i="85"/>
  <c r="F82" i="85" s="1"/>
  <c r="G82" i="85" s="1"/>
  <c r="D82" i="85"/>
  <c r="E80" i="85"/>
  <c r="F80" i="85" s="1"/>
  <c r="G80" i="85" s="1"/>
  <c r="D80" i="85"/>
  <c r="E78" i="85"/>
  <c r="F78" i="85" s="1"/>
  <c r="G78" i="85" s="1"/>
  <c r="D78" i="85"/>
  <c r="B75" i="85"/>
  <c r="J14" i="85" s="1"/>
  <c r="AC14" i="85" s="1"/>
  <c r="B73" i="85"/>
  <c r="B71" i="85"/>
  <c r="D70" i="85"/>
  <c r="E70" i="85" s="1"/>
  <c r="F70" i="85" s="1"/>
  <c r="G70" i="85" s="1"/>
  <c r="H70" i="85" s="1"/>
  <c r="I70" i="85" s="1"/>
  <c r="J70" i="85" s="1"/>
  <c r="K70" i="85" s="1"/>
  <c r="L70" i="85" s="1"/>
  <c r="M70" i="85" s="1"/>
  <c r="M68" i="85"/>
  <c r="L68" i="85"/>
  <c r="K68" i="85"/>
  <c r="J68" i="85"/>
  <c r="I68" i="85"/>
  <c r="H68" i="85"/>
  <c r="G68" i="85"/>
  <c r="F68" i="85"/>
  <c r="E68" i="85"/>
  <c r="D68" i="85"/>
  <c r="C68" i="85"/>
  <c r="C64" i="85"/>
  <c r="P50" i="85"/>
  <c r="P49" i="85"/>
  <c r="K49" i="85"/>
  <c r="P48" i="85"/>
  <c r="I55" i="85"/>
  <c r="J55" i="85" s="1"/>
  <c r="G55" i="85"/>
  <c r="H55" i="85" s="1"/>
  <c r="R48" i="85"/>
  <c r="Q47" i="85"/>
  <c r="Z47" i="85" s="1"/>
  <c r="J47" i="85"/>
  <c r="AC47" i="85" s="1"/>
  <c r="H47" i="85"/>
  <c r="AB47" i="85" s="1"/>
  <c r="F47" i="85"/>
  <c r="AA47" i="85" s="1"/>
  <c r="Q46" i="85"/>
  <c r="Z46" i="85" s="1"/>
  <c r="J46" i="85"/>
  <c r="AC46" i="85" s="1"/>
  <c r="W45" i="85"/>
  <c r="Q45" i="85"/>
  <c r="Z45" i="85" s="1"/>
  <c r="J45" i="85"/>
  <c r="AC45" i="85" s="1"/>
  <c r="H45" i="85"/>
  <c r="AB45" i="85" s="1"/>
  <c r="F45" i="85"/>
  <c r="AA45" i="85" s="1"/>
  <c r="Q44" i="85"/>
  <c r="Z44" i="85" s="1"/>
  <c r="J44" i="85"/>
  <c r="AC44" i="85" s="1"/>
  <c r="H44" i="85"/>
  <c r="AB44" i="85" s="1"/>
  <c r="F44" i="85"/>
  <c r="AA44" i="85" s="1"/>
  <c r="Q43" i="85"/>
  <c r="Z43" i="85" s="1"/>
  <c r="J43" i="85"/>
  <c r="AC43" i="85" s="1"/>
  <c r="H43" i="85"/>
  <c r="AB43" i="85" s="1"/>
  <c r="F43" i="85"/>
  <c r="AA43" i="85" s="1"/>
  <c r="Q42" i="85"/>
  <c r="Z42" i="85" s="1"/>
  <c r="J42" i="85"/>
  <c r="AC42" i="85" s="1"/>
  <c r="H42" i="85"/>
  <c r="AB42" i="85" s="1"/>
  <c r="F42" i="85"/>
  <c r="AA42" i="85" s="1"/>
  <c r="Q41" i="85"/>
  <c r="Z41" i="85" s="1"/>
  <c r="J41" i="85"/>
  <c r="AC41" i="85" s="1"/>
  <c r="H41" i="85"/>
  <c r="AB41" i="85" s="1"/>
  <c r="F41" i="85"/>
  <c r="AA41" i="85" s="1"/>
  <c r="Q40" i="85"/>
  <c r="Z40" i="85" s="1"/>
  <c r="J40" i="85"/>
  <c r="AC40" i="85" s="1"/>
  <c r="H40" i="85"/>
  <c r="U40" i="85" s="1"/>
  <c r="F40" i="85"/>
  <c r="AA40" i="85" s="1"/>
  <c r="Q39" i="85"/>
  <c r="Z39" i="85" s="1"/>
  <c r="J39" i="85"/>
  <c r="AC39" i="85" s="1"/>
  <c r="H39" i="85"/>
  <c r="AB39" i="85" s="1"/>
  <c r="F39" i="85"/>
  <c r="AA39" i="85" s="1"/>
  <c r="Q38" i="85"/>
  <c r="Z38" i="85" s="1"/>
  <c r="J38" i="85"/>
  <c r="AC38" i="85" s="1"/>
  <c r="H38" i="85"/>
  <c r="AB38" i="85" s="1"/>
  <c r="F38" i="85"/>
  <c r="AA38" i="85" s="1"/>
  <c r="Q37" i="85"/>
  <c r="Z37" i="85" s="1"/>
  <c r="Q36" i="85"/>
  <c r="Z36" i="85" s="1"/>
  <c r="J36" i="85"/>
  <c r="AC36" i="85" s="1"/>
  <c r="H36" i="85"/>
  <c r="AB36" i="85" s="1"/>
  <c r="F36" i="85"/>
  <c r="AA36" i="85" s="1"/>
  <c r="Q35" i="85"/>
  <c r="Z35" i="85" s="1"/>
  <c r="J35" i="85"/>
  <c r="AC35" i="85" s="1"/>
  <c r="H35" i="85"/>
  <c r="U35" i="85" s="1"/>
  <c r="F35" i="85"/>
  <c r="AA35" i="85" s="1"/>
  <c r="Q34" i="85"/>
  <c r="Z34" i="85" s="1"/>
  <c r="Q33" i="85"/>
  <c r="Z33" i="85" s="1"/>
  <c r="J33" i="85"/>
  <c r="AC33" i="85" s="1"/>
  <c r="H33" i="85"/>
  <c r="AB33" i="85" s="1"/>
  <c r="F33" i="85"/>
  <c r="AA33" i="85" s="1"/>
  <c r="Q32" i="85"/>
  <c r="Z32" i="85" s="1"/>
  <c r="F32" i="85"/>
  <c r="AA32" i="85" s="1"/>
  <c r="Q31" i="85"/>
  <c r="Z31" i="85" s="1"/>
  <c r="J31" i="85"/>
  <c r="AC31" i="85" s="1"/>
  <c r="H31" i="85"/>
  <c r="AB31" i="85" s="1"/>
  <c r="F31" i="85"/>
  <c r="AA31" i="85" s="1"/>
  <c r="Q30" i="85"/>
  <c r="Z30" i="85" s="1"/>
  <c r="J30" i="85"/>
  <c r="AC30" i="85" s="1"/>
  <c r="H30" i="85"/>
  <c r="AB30" i="85" s="1"/>
  <c r="F30" i="85"/>
  <c r="AA30" i="85" s="1"/>
  <c r="Q29" i="85"/>
  <c r="Z29" i="85" s="1"/>
  <c r="J29" i="85"/>
  <c r="AC29" i="85" s="1"/>
  <c r="H29" i="85"/>
  <c r="AB29" i="85" s="1"/>
  <c r="F29" i="85"/>
  <c r="AA29" i="85" s="1"/>
  <c r="Q28" i="85"/>
  <c r="Z28" i="85" s="1"/>
  <c r="J28" i="85"/>
  <c r="AC28" i="85" s="1"/>
  <c r="H28" i="85"/>
  <c r="AB28" i="85" s="1"/>
  <c r="F28" i="85"/>
  <c r="AA28" i="85" s="1"/>
  <c r="Q27" i="85"/>
  <c r="Z27" i="85" s="1"/>
  <c r="Q25" i="85"/>
  <c r="Z25" i="85" s="1"/>
  <c r="Q23" i="85"/>
  <c r="Z23" i="85" s="1"/>
  <c r="C23" i="85"/>
  <c r="Q21" i="85"/>
  <c r="Z21" i="85" s="1"/>
  <c r="J21" i="85"/>
  <c r="W21" i="85" s="1"/>
  <c r="H21" i="85"/>
  <c r="AB21" i="85" s="1"/>
  <c r="F21" i="85"/>
  <c r="S21" i="85" s="1"/>
  <c r="C21" i="85"/>
  <c r="Z19" i="85"/>
  <c r="Q19" i="85"/>
  <c r="J19" i="85"/>
  <c r="W19" i="85" s="1"/>
  <c r="H19" i="85"/>
  <c r="F19" i="85"/>
  <c r="S19" i="85" s="1"/>
  <c r="C19" i="85"/>
  <c r="Q17" i="85"/>
  <c r="Z17" i="85" s="1"/>
  <c r="J17" i="85"/>
  <c r="AC17" i="85" s="1"/>
  <c r="C17" i="85"/>
  <c r="Q15" i="85"/>
  <c r="Z15" i="85" s="1"/>
  <c r="J15" i="85"/>
  <c r="AC15" i="85" s="1"/>
  <c r="H15" i="85"/>
  <c r="AB15" i="85" s="1"/>
  <c r="F15" i="85"/>
  <c r="AA15" i="85" s="1"/>
  <c r="C15" i="85"/>
  <c r="Q14" i="85"/>
  <c r="Z14" i="85" s="1"/>
  <c r="F14" i="85"/>
  <c r="AA14" i="85" s="1"/>
  <c r="Q13" i="85"/>
  <c r="Z13" i="85" s="1"/>
  <c r="J13" i="85"/>
  <c r="AC13" i="85" s="1"/>
  <c r="H13" i="85"/>
  <c r="AB13" i="85" s="1"/>
  <c r="F13" i="85"/>
  <c r="AA13" i="85" s="1"/>
  <c r="Q12" i="85"/>
  <c r="Z12" i="85" s="1"/>
  <c r="J12" i="85"/>
  <c r="AC12" i="85" s="1"/>
  <c r="H12" i="85"/>
  <c r="AB12" i="85" s="1"/>
  <c r="F12" i="85"/>
  <c r="AA12" i="85" s="1"/>
  <c r="Q11" i="85"/>
  <c r="Z11" i="85" s="1"/>
  <c r="J11" i="85"/>
  <c r="AC11" i="85" s="1"/>
  <c r="H11" i="85"/>
  <c r="AB11" i="85" s="1"/>
  <c r="F11" i="85"/>
  <c r="AA11" i="85" s="1"/>
  <c r="Q10" i="85"/>
  <c r="Z10" i="85" s="1"/>
  <c r="C10" i="85"/>
  <c r="H10" i="85" s="1"/>
  <c r="Q9" i="85"/>
  <c r="Z9" i="85" s="1"/>
  <c r="J9" i="85"/>
  <c r="AC9" i="85" s="1"/>
  <c r="H9" i="85"/>
  <c r="AB9" i="85" s="1"/>
  <c r="F9" i="85"/>
  <c r="AA9" i="85" s="1"/>
  <c r="J8" i="85"/>
  <c r="AC8" i="85" s="1"/>
  <c r="H8" i="85"/>
  <c r="U8" i="85" s="1"/>
  <c r="F8" i="85"/>
  <c r="S8" i="85" s="1"/>
  <c r="D2" i="85"/>
  <c r="F86" i="85" l="1"/>
  <c r="G86" i="85" s="1"/>
  <c r="F23" i="85"/>
  <c r="S23" i="85" s="1"/>
  <c r="J23" i="85"/>
  <c r="AC23" i="85" s="1"/>
  <c r="H23" i="85"/>
  <c r="AB23" i="85" s="1"/>
  <c r="AC32" i="85"/>
  <c r="W32" i="85"/>
  <c r="AC19" i="85"/>
  <c r="H32" i="85"/>
  <c r="AB32" i="85" s="1"/>
  <c r="F10" i="85"/>
  <c r="H14" i="85"/>
  <c r="AB14" i="85" s="1"/>
  <c r="J10" i="85"/>
  <c r="AC10" i="85" s="1"/>
  <c r="F17" i="85"/>
  <c r="AA17" i="85" s="1"/>
  <c r="F46" i="85"/>
  <c r="AA46" i="85" s="1"/>
  <c r="W8" i="85"/>
  <c r="H17" i="85"/>
  <c r="AB17" i="85" s="1"/>
  <c r="AA21" i="85"/>
  <c r="F88" i="85"/>
  <c r="G88" i="85" s="1"/>
  <c r="H25" i="85"/>
  <c r="J25" i="85"/>
  <c r="AC25" i="85" s="1"/>
  <c r="AB27" i="85"/>
  <c r="W10" i="85"/>
  <c r="AB10" i="85"/>
  <c r="U10" i="85"/>
  <c r="AA10" i="85"/>
  <c r="S10" i="85"/>
  <c r="S9" i="85"/>
  <c r="W11" i="85"/>
  <c r="S13" i="85"/>
  <c r="U14" i="85"/>
  <c r="S30" i="85"/>
  <c r="S43" i="85"/>
  <c r="AA8" i="85"/>
  <c r="U9" i="85"/>
  <c r="W15" i="85"/>
  <c r="AC21" i="85"/>
  <c r="W28" i="85"/>
  <c r="W36" i="85"/>
  <c r="S39" i="85"/>
  <c r="W41" i="85"/>
  <c r="U15" i="85"/>
  <c r="AB19" i="85"/>
  <c r="U19" i="85"/>
  <c r="AB35" i="85"/>
  <c r="AB40" i="85"/>
  <c r="S12" i="85"/>
  <c r="U13" i="85"/>
  <c r="W14" i="85"/>
  <c r="W17" i="85"/>
  <c r="AB8" i="85"/>
  <c r="W9" i="85"/>
  <c r="S11" i="85"/>
  <c r="U12" i="85"/>
  <c r="W13" i="85"/>
  <c r="AA19" i="85"/>
  <c r="AA23" i="85"/>
  <c r="U31" i="85"/>
  <c r="U44" i="85"/>
  <c r="U11" i="85"/>
  <c r="W12" i="85"/>
  <c r="S14" i="85"/>
  <c r="S15" i="85"/>
  <c r="F90" i="85"/>
  <c r="G90" i="85" s="1"/>
  <c r="H90" i="85" s="1"/>
  <c r="I90" i="85" s="1"/>
  <c r="J90" i="85" s="1"/>
  <c r="K90" i="85" s="1"/>
  <c r="L90" i="85" s="1"/>
  <c r="M90" i="85" s="1"/>
  <c r="F27" i="85"/>
  <c r="J27" i="85"/>
  <c r="S29" i="85"/>
  <c r="U30" i="85"/>
  <c r="W31" i="85"/>
  <c r="S33" i="85"/>
  <c r="W35" i="85"/>
  <c r="S38" i="85"/>
  <c r="U39" i="85"/>
  <c r="W40" i="85"/>
  <c r="S42" i="85"/>
  <c r="U43" i="85"/>
  <c r="W44" i="85"/>
  <c r="S46" i="85"/>
  <c r="U47" i="85"/>
  <c r="V48" i="85"/>
  <c r="U21" i="85"/>
  <c r="S28" i="85"/>
  <c r="U29" i="85"/>
  <c r="W30" i="85"/>
  <c r="S32" i="85"/>
  <c r="U33" i="85"/>
  <c r="S36" i="85"/>
  <c r="U38" i="85"/>
  <c r="W39" i="85"/>
  <c r="S41" i="85"/>
  <c r="U42" i="85"/>
  <c r="W43" i="85"/>
  <c r="S45" i="85"/>
  <c r="U46" i="85"/>
  <c r="W47" i="85"/>
  <c r="E55" i="85"/>
  <c r="F55" i="85" s="1"/>
  <c r="U28" i="85"/>
  <c r="W29" i="85"/>
  <c r="S31" i="85"/>
  <c r="W33" i="85"/>
  <c r="S35" i="85"/>
  <c r="U36" i="85"/>
  <c r="W38" i="85"/>
  <c r="S40" i="85"/>
  <c r="U41" i="85"/>
  <c r="W42" i="85"/>
  <c r="S44" i="85"/>
  <c r="U45" i="85"/>
  <c r="W46" i="85"/>
  <c r="S47" i="85"/>
  <c r="T48" i="85"/>
  <c r="I10" i="34"/>
  <c r="G10" i="34"/>
  <c r="E10" i="34"/>
  <c r="C10" i="34"/>
  <c r="E34" i="34"/>
  <c r="I7" i="34"/>
  <c r="G7" i="34"/>
  <c r="E7" i="34"/>
  <c r="I5" i="34"/>
  <c r="G5" i="34" s="1"/>
  <c r="E5" i="34"/>
  <c r="U23" i="85" l="1"/>
  <c r="W23" i="85"/>
  <c r="U17" i="85"/>
  <c r="S17" i="85"/>
  <c r="U32" i="85"/>
  <c r="W25" i="85"/>
  <c r="U25" i="85"/>
  <c r="AB25" i="85"/>
  <c r="H88" i="85"/>
  <c r="I88" i="85" s="1"/>
  <c r="J88" i="85" s="1"/>
  <c r="K88" i="85" s="1"/>
  <c r="L88" i="85" s="1"/>
  <c r="M88" i="85" s="1"/>
  <c r="F25" i="85"/>
  <c r="AC27" i="85"/>
  <c r="W27" i="85"/>
  <c r="AA27" i="85"/>
  <c r="S27" i="85"/>
  <c r="AA25" i="85" l="1"/>
  <c r="S25" i="85"/>
  <c r="Y6" i="1"/>
  <c r="O22" i="1"/>
  <c r="O23" i="1" s="1"/>
  <c r="O24" i="1" s="1"/>
  <c r="O26" i="1" s="1"/>
  <c r="B59" i="1"/>
  <c r="C37" i="85" l="1"/>
  <c r="C37" i="34"/>
  <c r="F19" i="6"/>
  <c r="B14" i="74" s="1"/>
  <c r="D3" i="4"/>
  <c r="J37" i="85" l="1"/>
  <c r="H37" i="85"/>
  <c r="F37" i="85"/>
  <c r="I29" i="79"/>
  <c r="I28" i="79"/>
  <c r="N28" i="79"/>
  <c r="M28" i="79"/>
  <c r="P28" i="79" s="1"/>
  <c r="L28" i="79"/>
  <c r="N29" i="79"/>
  <c r="M29" i="79"/>
  <c r="L29" i="79"/>
  <c r="O6" i="79"/>
  <c r="N6" i="79"/>
  <c r="M6" i="79"/>
  <c r="P6" i="79" s="1"/>
  <c r="L6" i="79"/>
  <c r="K6" i="79"/>
  <c r="O7" i="79"/>
  <c r="N7" i="79"/>
  <c r="M7" i="79"/>
  <c r="P7" i="79" s="1"/>
  <c r="L7" i="79"/>
  <c r="K7" i="79"/>
  <c r="U37" i="85" l="1"/>
  <c r="AB37" i="85"/>
  <c r="AA37" i="85"/>
  <c r="S37" i="85"/>
  <c r="AC37" i="85"/>
  <c r="W37" i="85"/>
  <c r="P29" i="79"/>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34" i="79"/>
  <c r="AA34" i="79"/>
  <c r="Z34" i="79"/>
  <c r="N34" i="79"/>
  <c r="M34" i="79"/>
  <c r="L34" i="79"/>
  <c r="I34" i="79"/>
  <c r="AB33" i="79"/>
  <c r="AA33" i="79"/>
  <c r="Z33" i="79"/>
  <c r="N33" i="79"/>
  <c r="M33" i="79"/>
  <c r="L33" i="79"/>
  <c r="I33" i="79"/>
  <c r="AB27" i="79"/>
  <c r="AA27" i="79"/>
  <c r="Z27" i="79"/>
  <c r="N27" i="79"/>
  <c r="M27" i="79"/>
  <c r="T25" i="79" s="1"/>
  <c r="W25" i="79" s="1"/>
  <c r="L27" i="79"/>
  <c r="I27" i="79"/>
  <c r="AD27"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K15" i="79"/>
  <c r="R15" i="79" s="1"/>
  <c r="I15" i="79"/>
  <c r="AC14" i="79"/>
  <c r="AB14" i="79"/>
  <c r="AA14" i="79"/>
  <c r="AD14" i="79" s="1"/>
  <c r="Z14" i="79"/>
  <c r="Y14" i="79"/>
  <c r="O14" i="79"/>
  <c r="N14" i="79"/>
  <c r="U14" i="79" s="1"/>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L11" i="79"/>
  <c r="K11" i="79"/>
  <c r="I11" i="79"/>
  <c r="AC5" i="79"/>
  <c r="AB5" i="79"/>
  <c r="AA5" i="79"/>
  <c r="AD5" i="79" s="1"/>
  <c r="Z5" i="79"/>
  <c r="Y5" i="79"/>
  <c r="O5" i="79"/>
  <c r="N5" i="79"/>
  <c r="N3" i="79" s="1"/>
  <c r="M5" i="79"/>
  <c r="P5" i="79" s="1"/>
  <c r="L5" i="79"/>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 i="79" l="1"/>
  <c r="U13" i="79"/>
  <c r="V14" i="79"/>
  <c r="K3" i="79"/>
  <c r="O3" i="79"/>
  <c r="AB3" i="79"/>
  <c r="T12" i="79"/>
  <c r="W12" i="79" s="1"/>
  <c r="R14" i="79"/>
  <c r="L3" i="79"/>
  <c r="L25" i="79"/>
  <c r="AA25" i="79"/>
  <c r="AD25" i="79" s="1"/>
  <c r="T28" i="79"/>
  <c r="W28" i="79" s="1"/>
  <c r="U34" i="79"/>
  <c r="AD35" i="79"/>
  <c r="S36" i="79"/>
  <c r="U38" i="79"/>
  <c r="AD39" i="79"/>
  <c r="Y3" i="79"/>
  <c r="AC3" i="79"/>
  <c r="U12" i="79"/>
  <c r="R13" i="79"/>
  <c r="V13" i="79"/>
  <c r="S14" i="79"/>
  <c r="S15" i="79"/>
  <c r="U25" i="79"/>
  <c r="T27" i="79"/>
  <c r="W27" i="79" s="1"/>
  <c r="U28" i="79"/>
  <c r="AD34" i="79"/>
  <c r="S35" i="79"/>
  <c r="U37" i="79"/>
  <c r="AD38" i="79"/>
  <c r="V3" i="79"/>
  <c r="Z3" i="79"/>
  <c r="U3" i="79"/>
  <c r="R12" i="79"/>
  <c r="V12" i="79"/>
  <c r="S13" i="79"/>
  <c r="T14" i="79"/>
  <c r="W14" i="79" s="1"/>
  <c r="M25" i="79"/>
  <c r="P25" i="79" s="1"/>
  <c r="U36" i="79"/>
  <c r="AD37" i="79"/>
  <c r="S38" i="79"/>
  <c r="S12" i="79"/>
  <c r="N25" i="79"/>
  <c r="S28" i="79"/>
  <c r="T34" i="79"/>
  <c r="W34" i="79" s="1"/>
  <c r="U35" i="79"/>
  <c r="AD36" i="79"/>
  <c r="S37" i="79"/>
  <c r="S27" i="79"/>
  <c r="M3" i="79"/>
  <c r="P3" i="79" s="1"/>
  <c r="T3" i="79"/>
  <c r="W3" i="79" s="1"/>
  <c r="U27" i="79"/>
  <c r="AD33" i="79"/>
  <c r="T32" i="79"/>
  <c r="T30" i="79"/>
  <c r="W30" i="79" s="1"/>
  <c r="T33" i="79"/>
  <c r="W33" i="79" s="1"/>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2" i="79"/>
  <c r="AB25" i="79"/>
  <c r="R8" i="79"/>
  <c r="R5" i="79"/>
  <c r="R9" i="79"/>
  <c r="P11" i="79"/>
  <c r="T9" i="79"/>
  <c r="W9" i="79" s="1"/>
  <c r="T8" i="79"/>
  <c r="W8" i="79" s="1"/>
  <c r="T5" i="79"/>
  <c r="W5" i="79" s="1"/>
  <c r="V8" i="79"/>
  <c r="V5" i="79"/>
  <c r="V9" i="79"/>
  <c r="S9" i="79"/>
  <c r="S5" i="79"/>
  <c r="S8" i="79"/>
  <c r="U9" i="79"/>
  <c r="U5" i="79"/>
  <c r="U8" i="79"/>
  <c r="S25" i="79"/>
  <c r="P14" i="79"/>
  <c r="P16" i="79"/>
  <c r="R3" i="79"/>
  <c r="Z25"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E24" i="71" s="1"/>
  <c r="O24" i="71"/>
  <c r="C24" i="7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B15" i="72" s="1"/>
  <c r="A14" i="62"/>
  <c r="B60" i="72" s="1"/>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AA26" i="71" s="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B19" i="72"/>
  <c r="A18" i="51"/>
  <c r="B13" i="72" s="1"/>
  <c r="C8" i="68"/>
  <c r="B49" i="48"/>
  <c r="B5" i="72" s="1"/>
  <c r="D89" i="71"/>
  <c r="F88" i="71"/>
  <c r="E88" i="71"/>
  <c r="E87" i="71" s="1"/>
  <c r="E86" i="71" s="1"/>
  <c r="C88" i="71"/>
  <c r="B88" i="71"/>
  <c r="F87" i="71"/>
  <c r="F86" i="71" s="1"/>
  <c r="B87" i="71"/>
  <c r="B86" i="71" s="1"/>
  <c r="D85" i="71"/>
  <c r="F84" i="71"/>
  <c r="E84" i="71"/>
  <c r="E83" i="71" s="1"/>
  <c r="E82" i="71"/>
  <c r="C84" i="71"/>
  <c r="D84" i="71"/>
  <c r="B84" i="71"/>
  <c r="B83" i="71" s="1"/>
  <c r="B82" i="71" s="1"/>
  <c r="F83" i="71"/>
  <c r="F82" i="71" s="1"/>
  <c r="D81" i="71"/>
  <c r="Q80" i="71"/>
  <c r="P80" i="71"/>
  <c r="O80" i="71"/>
  <c r="N80" i="71"/>
  <c r="F80" i="71"/>
  <c r="V80" i="71"/>
  <c r="E80" i="71"/>
  <c r="U80" i="71"/>
  <c r="C80" i="71"/>
  <c r="D80" i="71" s="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Q74" i="71"/>
  <c r="P74" i="71"/>
  <c r="O74" i="71"/>
  <c r="N74" i="71"/>
  <c r="Q73" i="71"/>
  <c r="P73" i="71"/>
  <c r="O73" i="71"/>
  <c r="N73" i="71"/>
  <c r="D73" i="71"/>
  <c r="Q72" i="71"/>
  <c r="P72" i="71"/>
  <c r="O72" i="71"/>
  <c r="N72" i="71"/>
  <c r="F72" i="71"/>
  <c r="V72" i="71"/>
  <c r="E72" i="71"/>
  <c r="U72" i="71"/>
  <c r="C72" i="71"/>
  <c r="C71" i="71" s="1"/>
  <c r="T72" i="71"/>
  <c r="B72" i="71"/>
  <c r="S72" i="71"/>
  <c r="Q71" i="71"/>
  <c r="P71" i="71"/>
  <c r="O71" i="71"/>
  <c r="N71" i="71"/>
  <c r="F71" i="71"/>
  <c r="F70" i="71"/>
  <c r="B71" i="71"/>
  <c r="B70" i="71"/>
  <c r="Q70" i="71"/>
  <c r="P70" i="71"/>
  <c r="O70" i="71"/>
  <c r="N70" i="71"/>
  <c r="Q69" i="71"/>
  <c r="P69" i="71"/>
  <c r="O69" i="71"/>
  <c r="N69" i="71"/>
  <c r="D69" i="71"/>
  <c r="F68" i="71"/>
  <c r="Q68" i="71" s="1"/>
  <c r="E68" i="71"/>
  <c r="P68" i="71" s="1"/>
  <c r="C68" i="71"/>
  <c r="O68" i="71" s="1"/>
  <c r="B68" i="71"/>
  <c r="B67" i="71" s="1"/>
  <c r="S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c r="N61" i="71"/>
  <c r="B62" i="71" s="1"/>
  <c r="B63" i="71" s="1"/>
  <c r="B64" i="71" s="1"/>
  <c r="S64" i="71" s="1"/>
  <c r="D61" i="71"/>
  <c r="Q60" i="71"/>
  <c r="P60" i="71"/>
  <c r="O60" i="71"/>
  <c r="N60" i="71"/>
  <c r="Q59" i="71"/>
  <c r="P59" i="71"/>
  <c r="O59" i="71"/>
  <c r="N59" i="71"/>
  <c r="Q58" i="71"/>
  <c r="P58" i="71"/>
  <c r="O58" i="71"/>
  <c r="N58" i="71"/>
  <c r="B59" i="71" s="1"/>
  <c r="B60" i="71" s="1"/>
  <c r="S60" i="71" s="1"/>
  <c r="Q57" i="71"/>
  <c r="F58" i="71" s="1"/>
  <c r="F59" i="71" s="1"/>
  <c r="F60" i="71" s="1"/>
  <c r="V60" i="71" s="1"/>
  <c r="P57" i="71"/>
  <c r="E58" i="71" s="1"/>
  <c r="E59" i="71" s="1"/>
  <c r="E60" i="71" s="1"/>
  <c r="U60"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O53" i="71"/>
  <c r="C54" i="71" s="1"/>
  <c r="N53" i="71"/>
  <c r="B54" i="71"/>
  <c r="D53" i="71"/>
  <c r="Q52" i="71"/>
  <c r="P52" i="71"/>
  <c r="O52" i="71"/>
  <c r="N52" i="71"/>
  <c r="Q51" i="71"/>
  <c r="P51" i="71"/>
  <c r="O51" i="71"/>
  <c r="N51" i="71"/>
  <c r="Q50" i="71"/>
  <c r="P50" i="71"/>
  <c r="O50" i="71"/>
  <c r="N50" i="71"/>
  <c r="B51" i="71" s="1"/>
  <c r="B52" i="71" s="1"/>
  <c r="S52" i="71" s="1"/>
  <c r="Q49" i="71"/>
  <c r="F50" i="71" s="1"/>
  <c r="F51" i="71" s="1"/>
  <c r="F52" i="71" s="1"/>
  <c r="V52" i="71" s="1"/>
  <c r="P49" i="71"/>
  <c r="E50" i="7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c r="O45" i="71"/>
  <c r="C46" i="71" s="1"/>
  <c r="D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C43" i="71" s="1"/>
  <c r="C44" i="71" s="1"/>
  <c r="N41" i="71"/>
  <c r="B42" i="71" s="1"/>
  <c r="B43" i="71"/>
  <c r="B44" i="71" s="1"/>
  <c r="S44" i="71" s="1"/>
  <c r="D41" i="71"/>
  <c r="Q40" i="71"/>
  <c r="P40" i="71"/>
  <c r="O40" i="71"/>
  <c r="N40" i="71"/>
  <c r="Q39" i="71"/>
  <c r="AB39" i="71" s="1"/>
  <c r="P39" i="71"/>
  <c r="O39" i="71"/>
  <c r="N39" i="71"/>
  <c r="X39" i="71"/>
  <c r="Q38" i="71"/>
  <c r="AB38" i="71" s="1"/>
  <c r="P38" i="71"/>
  <c r="O38" i="71"/>
  <c r="N38" i="71"/>
  <c r="X38" i="71" s="1"/>
  <c r="Q37" i="71"/>
  <c r="P37" i="71"/>
  <c r="O37" i="71"/>
  <c r="N37" i="71"/>
  <c r="D37" i="71"/>
  <c r="Q36" i="71"/>
  <c r="P36" i="71"/>
  <c r="O36" i="71"/>
  <c r="Y36" i="71" s="1"/>
  <c r="Z36" i="71" s="1"/>
  <c r="N36" i="71"/>
  <c r="Q35" i="71"/>
  <c r="P35" i="71"/>
  <c r="O35" i="71"/>
  <c r="N35" i="71"/>
  <c r="Q34" i="71"/>
  <c r="P34" i="71"/>
  <c r="O34" i="71"/>
  <c r="Y34" i="71" s="1"/>
  <c r="Z34" i="71" s="1"/>
  <c r="N34" i="71"/>
  <c r="Q33" i="71"/>
  <c r="F34" i="71" s="1"/>
  <c r="F35" i="71" s="1"/>
  <c r="F36" i="71" s="1"/>
  <c r="V36" i="71" s="1"/>
  <c r="P33" i="71"/>
  <c r="O33" i="71"/>
  <c r="C34" i="71" s="1"/>
  <c r="N33" i="71"/>
  <c r="B34" i="71" s="1"/>
  <c r="B35" i="71" s="1"/>
  <c r="B36" i="71" s="1"/>
  <c r="S36" i="71" s="1"/>
  <c r="D33" i="71"/>
  <c r="Q32" i="71"/>
  <c r="P32" i="71"/>
  <c r="O32" i="71"/>
  <c r="N32" i="71"/>
  <c r="Q31" i="71"/>
  <c r="P31" i="71"/>
  <c r="O31" i="71"/>
  <c r="N31" i="71"/>
  <c r="Q30" i="71"/>
  <c r="P30" i="71"/>
  <c r="O30" i="71"/>
  <c r="N30" i="71"/>
  <c r="Q29" i="71"/>
  <c r="P29" i="71"/>
  <c r="O29" i="71"/>
  <c r="N29" i="71"/>
  <c r="D29" i="71"/>
  <c r="O28" i="71"/>
  <c r="N28" i="71"/>
  <c r="B30" i="71"/>
  <c r="B31" i="71" s="1"/>
  <c r="E30" i="71"/>
  <c r="AA29" i="71"/>
  <c r="E38" i="71"/>
  <c r="E39" i="71"/>
  <c r="AA37" i="71"/>
  <c r="AA32" i="71"/>
  <c r="C38" i="71"/>
  <c r="C28" i="71"/>
  <c r="D28" i="71" s="1"/>
  <c r="U28" i="71" s="1"/>
  <c r="D42" i="71"/>
  <c r="C47" i="71"/>
  <c r="D47" i="71" s="1"/>
  <c r="P28" i="71"/>
  <c r="E28" i="71" s="1"/>
  <c r="E56" i="71"/>
  <c r="U56" i="71" s="1"/>
  <c r="U68" i="71"/>
  <c r="E67" i="71"/>
  <c r="Q28" i="71"/>
  <c r="C63" i="71"/>
  <c r="C64" i="71" s="1"/>
  <c r="D64" i="71" s="1"/>
  <c r="D62" i="71"/>
  <c r="D68" i="71"/>
  <c r="E71" i="71"/>
  <c r="E70" i="71" s="1"/>
  <c r="D72" i="71"/>
  <c r="C75" i="71"/>
  <c r="E75" i="71"/>
  <c r="E74" i="71" s="1"/>
  <c r="D76" i="71"/>
  <c r="C79" i="71"/>
  <c r="D79" i="71" s="1"/>
  <c r="E79" i="71"/>
  <c r="E78" i="71" s="1"/>
  <c r="C83" i="71"/>
  <c r="F28" i="71"/>
  <c r="F27" i="71" s="1"/>
  <c r="F26" i="71" s="1"/>
  <c r="D83" i="71"/>
  <c r="C82" i="71"/>
  <c r="D82" i="71" s="1"/>
  <c r="D43"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S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2" i="20"/>
  <c r="B57" i="43" s="1"/>
  <c r="C29" i="39"/>
  <c r="H25" i="40"/>
  <c r="AB25" i="40" s="1"/>
  <c r="J25" i="40"/>
  <c r="W25" i="40" s="1"/>
  <c r="H29" i="39"/>
  <c r="AB29" i="39" s="1"/>
  <c r="J29" i="39"/>
  <c r="AC29" i="39" s="1"/>
  <c r="J18" i="36"/>
  <c r="AC18" i="36" s="1"/>
  <c r="H18" i="35"/>
  <c r="J18" i="35"/>
  <c r="AC18" i="35" s="1"/>
  <c r="H21" i="37"/>
  <c r="AB21" i="37" s="1"/>
  <c r="F21" i="37"/>
  <c r="AA21" i="37" s="1"/>
  <c r="F84" i="34"/>
  <c r="G84" i="34" s="1"/>
  <c r="H21" i="34"/>
  <c r="AB21" i="34" s="1"/>
  <c r="H21" i="33"/>
  <c r="F21" i="33"/>
  <c r="E83" i="21"/>
  <c r="F83" i="21" s="1"/>
  <c r="G83" i="21" s="1"/>
  <c r="H1" i="69"/>
  <c r="AC25" i="40"/>
  <c r="U29" i="39"/>
  <c r="W29" i="39"/>
  <c r="S21" i="37"/>
  <c r="AA21" i="33"/>
  <c r="S21" i="33"/>
  <c r="W18" i="35"/>
  <c r="J21" i="37"/>
  <c r="W21" i="37" s="1"/>
  <c r="J21" i="34"/>
  <c r="W21" i="34" s="1"/>
  <c r="J21" i="33"/>
  <c r="H21" i="21"/>
  <c r="U21" i="21" s="1"/>
  <c r="F38" i="69"/>
  <c r="E37" i="69"/>
  <c r="F36" i="69"/>
  <c r="F35" i="69"/>
  <c r="F21" i="69"/>
  <c r="F20" i="69"/>
  <c r="F39" i="69" s="1"/>
  <c r="E10" i="69"/>
  <c r="E9" i="69"/>
  <c r="AC21" i="37"/>
  <c r="AB21" i="21"/>
  <c r="J21" i="21"/>
  <c r="W21" i="21" s="1"/>
  <c r="F38" i="68"/>
  <c r="E37" i="68"/>
  <c r="F36" i="68"/>
  <c r="F35" i="68"/>
  <c r="F21" i="68"/>
  <c r="F20" i="68"/>
  <c r="F39" i="68" s="1"/>
  <c r="E10" i="68"/>
  <c r="E9" i="68"/>
  <c r="C7"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85" s="1"/>
  <c r="C59" i="85" s="1"/>
  <c r="E15" i="4"/>
  <c r="F8" i="1" s="1"/>
  <c r="G8" i="1" s="1"/>
  <c r="A7" i="1"/>
  <c r="B7" i="1" s="1"/>
  <c r="E7" i="1" s="1"/>
  <c r="A8" i="1"/>
  <c r="B8" i="1" s="1"/>
  <c r="E8" i="1" s="1"/>
  <c r="A9" i="1"/>
  <c r="A10" i="1"/>
  <c r="A11" i="1"/>
  <c r="B11" i="1" s="1"/>
  <c r="E11" i="1" s="1"/>
  <c r="A12" i="1"/>
  <c r="A13" i="1"/>
  <c r="K13" i="1" s="1"/>
  <c r="M13" i="1" s="1"/>
  <c r="O13" i="1" s="1"/>
  <c r="P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A91" i="3" s="1"/>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G90" i="3" s="1"/>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A86" i="3" s="1"/>
  <c r="BC86" i="3"/>
  <c r="BB86" i="3"/>
  <c r="AX86" i="3"/>
  <c r="AW86" i="3"/>
  <c r="AV86" i="3"/>
  <c r="AC86" i="3"/>
  <c r="H86" i="3"/>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G83" i="3" s="1"/>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L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L70" i="3"/>
  <c r="BK70" i="3"/>
  <c r="BJ70" i="3"/>
  <c r="BI70" i="3"/>
  <c r="BH70" i="3"/>
  <c r="BG70" i="3"/>
  <c r="BF70" i="3"/>
  <c r="BE70" i="3"/>
  <c r="BD70" i="3"/>
  <c r="BA70" i="3" s="1"/>
  <c r="AZ70" i="3" s="1"/>
  <c r="BC70" i="3"/>
  <c r="BB70" i="3"/>
  <c r="AX70" i="3"/>
  <c r="AW70" i="3"/>
  <c r="AV70" i="3"/>
  <c r="AC70" i="3"/>
  <c r="H70" i="3"/>
  <c r="BT69" i="3"/>
  <c r="BS69" i="3"/>
  <c r="BR69" i="3"/>
  <c r="BQ69" i="3"/>
  <c r="BP69" i="3"/>
  <c r="BO69" i="3"/>
  <c r="BN69" i="3"/>
  <c r="BM69" i="3"/>
  <c r="BK69" i="3"/>
  <c r="BJ69" i="3"/>
  <c r="BI69" i="3"/>
  <c r="BH69" i="3"/>
  <c r="BG69" i="3"/>
  <c r="BF69" i="3"/>
  <c r="BE69" i="3"/>
  <c r="BD69" i="3"/>
  <c r="BC69" i="3"/>
  <c r="BA69" i="3" s="1"/>
  <c r="BB69" i="3"/>
  <c r="AX69" i="3"/>
  <c r="AW69" i="3"/>
  <c r="AV69" i="3"/>
  <c r="AC69" i="3"/>
  <c r="G69" i="3" s="1"/>
  <c r="H69" i="3"/>
  <c r="BT68" i="3"/>
  <c r="BS68" i="3"/>
  <c r="BR68" i="3"/>
  <c r="BQ68" i="3"/>
  <c r="BP68" i="3"/>
  <c r="BO68" i="3"/>
  <c r="BN68" i="3"/>
  <c r="BM68" i="3"/>
  <c r="BK68" i="3"/>
  <c r="BJ68" i="3"/>
  <c r="BI68" i="3"/>
  <c r="BH68" i="3"/>
  <c r="BG68" i="3"/>
  <c r="BF68" i="3"/>
  <c r="BE68" i="3"/>
  <c r="BD68" i="3"/>
  <c r="BC68" i="3"/>
  <c r="BA68" i="3" s="1"/>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A61" i="3" s="1"/>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L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A45" i="3" s="1"/>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A35" i="3" s="1"/>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L32" i="3" s="1"/>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G24" i="3" s="1"/>
  <c r="H24" i="3"/>
  <c r="BT23" i="3"/>
  <c r="BS23" i="3"/>
  <c r="BR23" i="3"/>
  <c r="BQ23" i="3"/>
  <c r="BP23" i="3"/>
  <c r="BO23" i="3"/>
  <c r="BL23" i="3" s="1"/>
  <c r="BN23" i="3"/>
  <c r="BM23" i="3"/>
  <c r="BK23" i="3"/>
  <c r="BJ23" i="3"/>
  <c r="BI23" i="3"/>
  <c r="BH23" i="3"/>
  <c r="BG23" i="3"/>
  <c r="BF23" i="3"/>
  <c r="BE23" i="3"/>
  <c r="BD23" i="3"/>
  <c r="BC23" i="3"/>
  <c r="BB23" i="3"/>
  <c r="AX23" i="3"/>
  <c r="AW23" i="3"/>
  <c r="AV23" i="3"/>
  <c r="AC23" i="3"/>
  <c r="H23" i="3"/>
  <c r="BT22" i="3"/>
  <c r="BS22" i="3"/>
  <c r="BR22" i="3"/>
  <c r="BQ22" i="3"/>
  <c r="BP22" i="3"/>
  <c r="BO22" i="3"/>
  <c r="BL22" i="3" s="1"/>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G186" i="3" s="1"/>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N170" i="3"/>
  <c r="BM170" i="3"/>
  <c r="BL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L162" i="3" s="1"/>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A150" i="3" s="1"/>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G148" i="3" s="1"/>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G146" i="3" s="1"/>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A144" i="3" s="1"/>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L142" i="3" s="1"/>
  <c r="BN142" i="3"/>
  <c r="BM142" i="3"/>
  <c r="BK142" i="3"/>
  <c r="BJ142" i="3"/>
  <c r="BI142" i="3"/>
  <c r="BH142" i="3"/>
  <c r="BG142" i="3"/>
  <c r="BF142" i="3"/>
  <c r="BE142" i="3"/>
  <c r="BD142" i="3"/>
  <c r="BC142" i="3"/>
  <c r="BB142" i="3"/>
  <c r="AX142" i="3"/>
  <c r="AW142" i="3"/>
  <c r="AV142" i="3"/>
  <c r="AC142" i="3"/>
  <c r="G142" i="3" s="1"/>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BA122" i="3" s="1"/>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A302" i="3" s="1"/>
  <c r="BB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L293" i="3" s="1"/>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L285" i="3" s="1"/>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L261" i="3" s="1"/>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A258" i="3" s="1"/>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L248" i="3" s="1"/>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L220" i="3" s="1"/>
  <c r="BM220" i="3"/>
  <c r="BK220" i="3"/>
  <c r="BJ220" i="3"/>
  <c r="BI220" i="3"/>
  <c r="BH220" i="3"/>
  <c r="BG220" i="3"/>
  <c r="BF220" i="3"/>
  <c r="BE220" i="3"/>
  <c r="BD220" i="3"/>
  <c r="BC220" i="3"/>
  <c r="BB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A214" i="3" s="1"/>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A212" i="3" s="1"/>
  <c r="AZ212" i="3" s="1"/>
  <c r="BC212" i="3"/>
  <c r="BB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A211" i="3" s="1"/>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L397" i="3" s="1"/>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A349" i="3" s="1"/>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L491" i="3" s="1"/>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A488" i="3" s="1"/>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A485" i="3" s="1"/>
  <c r="AZ485" i="3" s="1"/>
  <c r="BC485" i="3"/>
  <c r="BB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A484" i="3" s="1"/>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L468" i="3" s="1"/>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A463" i="3" s="1"/>
  <c r="AZ463" i="3" s="1"/>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L457" i="3" s="1"/>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L450" i="3" s="1"/>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A446" i="3" s="1"/>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L427" i="3" s="1"/>
  <c r="BK427" i="3"/>
  <c r="BJ427" i="3"/>
  <c r="BI427" i="3"/>
  <c r="BH427" i="3"/>
  <c r="BG427" i="3"/>
  <c r="BF427" i="3"/>
  <c r="BE427" i="3"/>
  <c r="BD427" i="3"/>
  <c r="BC427" i="3"/>
  <c r="BA427" i="3" s="1"/>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L424" i="3" s="1"/>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L422" i="3" s="1"/>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s="1"/>
  <c r="L4" i="9"/>
  <c r="A24" i="51" s="1"/>
  <c r="B18" i="72" s="1"/>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L494" i="3" s="1"/>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L496" i="3" s="1"/>
  <c r="BQ496" i="3"/>
  <c r="BR496" i="3"/>
  <c r="BS496" i="3"/>
  <c r="BT496" i="3"/>
  <c r="H497" i="3"/>
  <c r="AC497" i="3"/>
  <c r="BB497" i="3"/>
  <c r="BC497" i="3"/>
  <c r="BD497" i="3"/>
  <c r="BE497" i="3"/>
  <c r="BF497" i="3"/>
  <c r="BG497" i="3"/>
  <c r="BH497" i="3"/>
  <c r="BI497" i="3"/>
  <c r="BJ497" i="3"/>
  <c r="BK497" i="3"/>
  <c r="BM497" i="3"/>
  <c r="BN497" i="3"/>
  <c r="BO497" i="3"/>
  <c r="BP497" i="3"/>
  <c r="BL497" i="3" s="1"/>
  <c r="AZ497" i="3" s="1"/>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A500" i="3" s="1"/>
  <c r="BF500" i="3"/>
  <c r="BG500" i="3"/>
  <c r="BH500" i="3"/>
  <c r="BI500" i="3"/>
  <c r="BJ500" i="3"/>
  <c r="BK500" i="3"/>
  <c r="BM500" i="3"/>
  <c r="BN500" i="3"/>
  <c r="BO500" i="3"/>
  <c r="BP500" i="3"/>
  <c r="BQ500" i="3"/>
  <c r="BR500" i="3"/>
  <c r="BS500" i="3"/>
  <c r="BT500" i="3"/>
  <c r="H501" i="3"/>
  <c r="AC501" i="3"/>
  <c r="G501" i="3" s="1"/>
  <c r="BB501" i="3"/>
  <c r="BC501" i="3"/>
  <c r="BD501" i="3"/>
  <c r="BE501" i="3"/>
  <c r="BA501" i="3" s="1"/>
  <c r="BF501" i="3"/>
  <c r="BG501" i="3"/>
  <c r="BH501" i="3"/>
  <c r="BI501" i="3"/>
  <c r="BJ501" i="3"/>
  <c r="BK501" i="3"/>
  <c r="BM501" i="3"/>
  <c r="BN501" i="3"/>
  <c r="BO501" i="3"/>
  <c r="BP501" i="3"/>
  <c r="BR501" i="3"/>
  <c r="BS501" i="3"/>
  <c r="BT501" i="3"/>
  <c r="H502" i="3"/>
  <c r="AC502" i="3"/>
  <c r="BB502" i="3"/>
  <c r="BA502" i="3" s="1"/>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A505" i="3" s="1"/>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L506" i="3" s="1"/>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L508" i="3" s="1"/>
  <c r="BO508" i="3"/>
  <c r="BP508" i="3"/>
  <c r="BQ508" i="3"/>
  <c r="BR508" i="3"/>
  <c r="BS508" i="3"/>
  <c r="BT508" i="3"/>
  <c r="H509" i="3"/>
  <c r="BB509" i="3"/>
  <c r="BA509" i="3" s="1"/>
  <c r="BC509" i="3"/>
  <c r="BD509" i="3"/>
  <c r="BE509" i="3"/>
  <c r="BF509" i="3"/>
  <c r="BG509" i="3"/>
  <c r="BH509" i="3"/>
  <c r="BI509" i="3"/>
  <c r="BJ509" i="3"/>
  <c r="BK509" i="3"/>
  <c r="BM509" i="3"/>
  <c r="BN509" i="3"/>
  <c r="BO509" i="3"/>
  <c r="BL509" i="3" s="1"/>
  <c r="BP509" i="3"/>
  <c r="BR509" i="3"/>
  <c r="BS509" i="3"/>
  <c r="BT509" i="3"/>
  <c r="H510" i="3"/>
  <c r="AC510" i="3"/>
  <c r="BB510" i="3"/>
  <c r="BC510" i="3"/>
  <c r="BA510" i="3" s="1"/>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L513" i="3" s="1"/>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A519" i="3" s="1"/>
  <c r="AZ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A521" i="3" s="1"/>
  <c r="BF521" i="3"/>
  <c r="BG521" i="3"/>
  <c r="BH521" i="3"/>
  <c r="BI521" i="3"/>
  <c r="BJ521" i="3"/>
  <c r="BK521" i="3"/>
  <c r="BM521" i="3"/>
  <c r="BN521" i="3"/>
  <c r="BO521" i="3"/>
  <c r="BP521" i="3"/>
  <c r="BR521" i="3"/>
  <c r="BS521" i="3"/>
  <c r="BT521" i="3"/>
  <c r="H522" i="3"/>
  <c r="AC522" i="3"/>
  <c r="BB522" i="3"/>
  <c r="BA522" i="3" s="1"/>
  <c r="BC522" i="3"/>
  <c r="BD522" i="3"/>
  <c r="BE522" i="3"/>
  <c r="BF522" i="3"/>
  <c r="BG522" i="3"/>
  <c r="BH522" i="3"/>
  <c r="BI522" i="3"/>
  <c r="BJ522" i="3"/>
  <c r="BK522" i="3"/>
  <c r="BM522" i="3"/>
  <c r="BN522" i="3"/>
  <c r="BO522" i="3"/>
  <c r="BP522" i="3"/>
  <c r="BQ522" i="3"/>
  <c r="BR522" i="3"/>
  <c r="BS522" i="3"/>
  <c r="BT522" i="3"/>
  <c r="H523" i="3"/>
  <c r="AC523" i="3"/>
  <c r="BB523" i="3"/>
  <c r="BA523" i="3" s="1"/>
  <c r="AZ523" i="3" s="1"/>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L524" i="3" s="1"/>
  <c r="BQ524" i="3"/>
  <c r="BR524" i="3"/>
  <c r="BS524" i="3"/>
  <c r="BT524" i="3"/>
  <c r="H525" i="3"/>
  <c r="AC525" i="3"/>
  <c r="BB525" i="3"/>
  <c r="BC525" i="3"/>
  <c r="BD525" i="3"/>
  <c r="BE525" i="3"/>
  <c r="BF525" i="3"/>
  <c r="BG525" i="3"/>
  <c r="BH525" i="3"/>
  <c r="BI525" i="3"/>
  <c r="BJ525" i="3"/>
  <c r="BK525" i="3"/>
  <c r="BM525" i="3"/>
  <c r="BN525" i="3"/>
  <c r="BO525" i="3"/>
  <c r="BP525" i="3"/>
  <c r="BL525" i="3" s="1"/>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A530" i="3" s="1"/>
  <c r="BC530" i="3"/>
  <c r="BD530" i="3"/>
  <c r="BE530" i="3"/>
  <c r="BF530" i="3"/>
  <c r="BG530" i="3"/>
  <c r="BH530" i="3"/>
  <c r="BI530" i="3"/>
  <c r="BJ530" i="3"/>
  <c r="BK530" i="3"/>
  <c r="BM530" i="3"/>
  <c r="BN530" i="3"/>
  <c r="BO530" i="3"/>
  <c r="BL530" i="3" s="1"/>
  <c r="BP530" i="3"/>
  <c r="BQ530" i="3"/>
  <c r="BR530" i="3"/>
  <c r="BS530" i="3"/>
  <c r="BT530" i="3"/>
  <c r="H531" i="3"/>
  <c r="AC531" i="3"/>
  <c r="BB531" i="3"/>
  <c r="BA531" i="3" s="1"/>
  <c r="BC531" i="3"/>
  <c r="BD531" i="3"/>
  <c r="BE531" i="3"/>
  <c r="BF531" i="3"/>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O532" i="3"/>
  <c r="BP532" i="3"/>
  <c r="BL532" i="3" s="1"/>
  <c r="BQ532" i="3"/>
  <c r="BR532" i="3"/>
  <c r="BS532" i="3"/>
  <c r="BT532" i="3"/>
  <c r="H533" i="3"/>
  <c r="AC533" i="3"/>
  <c r="BB533" i="3"/>
  <c r="BC533" i="3"/>
  <c r="BA533" i="3" s="1"/>
  <c r="BD533" i="3"/>
  <c r="BE533" i="3"/>
  <c r="BF533" i="3"/>
  <c r="BG533" i="3"/>
  <c r="BH533" i="3"/>
  <c r="BI533" i="3"/>
  <c r="BJ533" i="3"/>
  <c r="BK533" i="3"/>
  <c r="BM533" i="3"/>
  <c r="BN533" i="3"/>
  <c r="BO533" i="3"/>
  <c r="BP533" i="3"/>
  <c r="BL533" i="3" s="1"/>
  <c r="AZ533" i="3" s="1"/>
  <c r="BR533" i="3"/>
  <c r="BS533" i="3"/>
  <c r="BT533" i="3"/>
  <c r="H534" i="3"/>
  <c r="G534" i="3" s="1"/>
  <c r="AC534" i="3"/>
  <c r="BB534" i="3"/>
  <c r="BC534" i="3"/>
  <c r="BD534" i="3"/>
  <c r="BE534" i="3"/>
  <c r="BF534" i="3"/>
  <c r="BG534" i="3"/>
  <c r="BH534" i="3"/>
  <c r="BI534" i="3"/>
  <c r="BJ534" i="3"/>
  <c r="BK534" i="3"/>
  <c r="BM534" i="3"/>
  <c r="BL534" i="3" s="1"/>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N5" i="3" s="1"/>
  <c r="BO537" i="3"/>
  <c r="BP537" i="3"/>
  <c r="BR537" i="3"/>
  <c r="BS537" i="3"/>
  <c r="BT537" i="3"/>
  <c r="H538" i="3"/>
  <c r="AC538" i="3"/>
  <c r="BB538" i="3"/>
  <c r="BA538" i="3" s="1"/>
  <c r="AZ538" i="3" s="1"/>
  <c r="BC538" i="3"/>
  <c r="BD538" i="3"/>
  <c r="BE538" i="3"/>
  <c r="BF538" i="3"/>
  <c r="BG538" i="3"/>
  <c r="BH538" i="3"/>
  <c r="BI538" i="3"/>
  <c r="BJ538" i="3"/>
  <c r="BJ5" i="3" s="1"/>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A540" i="3" s="1"/>
  <c r="AZ540" i="3" s="1"/>
  <c r="BD540" i="3"/>
  <c r="BE540" i="3"/>
  <c r="BF540" i="3"/>
  <c r="BG540" i="3"/>
  <c r="BH540" i="3"/>
  <c r="BI540" i="3"/>
  <c r="BJ540" i="3"/>
  <c r="BK540" i="3"/>
  <c r="BM540" i="3"/>
  <c r="BN540" i="3"/>
  <c r="BO540" i="3"/>
  <c r="BP540" i="3"/>
  <c r="BQ540" i="3"/>
  <c r="BR540" i="3"/>
  <c r="BS540" i="3"/>
  <c r="BT540" i="3"/>
  <c r="H541" i="3"/>
  <c r="AC541" i="3"/>
  <c r="BB541" i="3"/>
  <c r="BC541" i="3"/>
  <c r="BA541" i="3" s="1"/>
  <c r="BD541" i="3"/>
  <c r="BE541" i="3"/>
  <c r="BF541" i="3"/>
  <c r="BG541" i="3"/>
  <c r="BH541" i="3"/>
  <c r="BI541" i="3"/>
  <c r="BJ541" i="3"/>
  <c r="BK541" i="3"/>
  <c r="BM541" i="3"/>
  <c r="BN541" i="3"/>
  <c r="BO541" i="3"/>
  <c r="BP541" i="3"/>
  <c r="BL541" i="3" s="1"/>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E5" i="3" s="1"/>
  <c r="BF544" i="3"/>
  <c r="BG544" i="3"/>
  <c r="BH544" i="3"/>
  <c r="BI544" i="3"/>
  <c r="BJ544" i="3"/>
  <c r="BK544" i="3"/>
  <c r="BM544" i="3"/>
  <c r="BN544" i="3"/>
  <c r="BL544" i="3" s="1"/>
  <c r="AZ544" i="3" s="1"/>
  <c r="BO544" i="3"/>
  <c r="BP544" i="3"/>
  <c r="BQ544" i="3"/>
  <c r="BR544" i="3"/>
  <c r="BS544" i="3"/>
  <c r="BT544" i="3"/>
  <c r="H545" i="3"/>
  <c r="AC545" i="3"/>
  <c r="G545" i="3" s="1"/>
  <c r="BB545" i="3"/>
  <c r="BC545" i="3"/>
  <c r="BD545" i="3"/>
  <c r="BE545" i="3"/>
  <c r="BA545" i="3" s="1"/>
  <c r="BF545" i="3"/>
  <c r="BG545" i="3"/>
  <c r="BH545" i="3"/>
  <c r="BI545" i="3"/>
  <c r="BJ545" i="3"/>
  <c r="BK545" i="3"/>
  <c r="BM545" i="3"/>
  <c r="BN545" i="3"/>
  <c r="BO545" i="3"/>
  <c r="BP545" i="3"/>
  <c r="BR545" i="3"/>
  <c r="BS545" i="3"/>
  <c r="BT545" i="3"/>
  <c r="H546" i="3"/>
  <c r="AC546" i="3"/>
  <c r="BB546" i="3"/>
  <c r="BA546" i="3" s="1"/>
  <c r="AZ546" i="3" s="1"/>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BT5" i="3" s="1"/>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W30" i="36" s="1"/>
  <c r="H30" i="36"/>
  <c r="F30" i="36"/>
  <c r="AA30" i="36" s="1"/>
  <c r="C26" i="35"/>
  <c r="C79" i="35" s="1"/>
  <c r="J31" i="35"/>
  <c r="W31" i="35" s="1"/>
  <c r="H31" i="35"/>
  <c r="AB31" i="35" s="1"/>
  <c r="F31" i="35"/>
  <c r="AA31" i="35" s="1"/>
  <c r="D87" i="35"/>
  <c r="E87" i="35"/>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J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c r="F86" i="40" s="1"/>
  <c r="G86" i="40" s="1"/>
  <c r="D84" i="40"/>
  <c r="E84" i="40" s="1"/>
  <c r="F84" i="40" s="1"/>
  <c r="G84" i="40" s="1"/>
  <c r="B81" i="40"/>
  <c r="B79" i="40"/>
  <c r="F13" i="40" s="1"/>
  <c r="AA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F34" i="40"/>
  <c r="Q33" i="40"/>
  <c r="Z33" i="40" s="1"/>
  <c r="Q32" i="40"/>
  <c r="Z32" i="40"/>
  <c r="Q31" i="40"/>
  <c r="Z31" i="40" s="1"/>
  <c r="Q30" i="40"/>
  <c r="Z30" i="40" s="1"/>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c r="F90" i="39" s="1"/>
  <c r="G90" i="39" s="1"/>
  <c r="D88" i="39"/>
  <c r="E88" i="39" s="1"/>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F105" i="37" s="1"/>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F26" i="37" s="1"/>
  <c r="AA26" i="37" s="1"/>
  <c r="D79" i="37"/>
  <c r="E79" i="37" s="1"/>
  <c r="D75" i="37"/>
  <c r="E75" i="37" s="1"/>
  <c r="D73" i="37"/>
  <c r="E73" i="37" s="1"/>
  <c r="F73" i="37" s="1"/>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H29" i="36"/>
  <c r="D81" i="36"/>
  <c r="E81" i="36" s="1"/>
  <c r="F81" i="36" s="1"/>
  <c r="G81" i="36" s="1"/>
  <c r="H81" i="36" s="1"/>
  <c r="I81" i="36" s="1"/>
  <c r="J81" i="36" s="1"/>
  <c r="K81" i="36" s="1"/>
  <c r="L81" i="36" s="1"/>
  <c r="M81" i="36" s="1"/>
  <c r="F79" i="36"/>
  <c r="E79" i="36"/>
  <c r="D79" i="36"/>
  <c r="C79" i="36"/>
  <c r="B93" i="36"/>
  <c r="H33" i="36" s="1"/>
  <c r="B91" i="36"/>
  <c r="F32" i="36" s="1"/>
  <c r="B95" i="36"/>
  <c r="F34" i="36" s="1"/>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c r="G64" i="36" s="1"/>
  <c r="J16" i="36"/>
  <c r="W16" i="36" s="1"/>
  <c r="D62" i="36"/>
  <c r="E62" i="36" s="1"/>
  <c r="F62" i="36" s="1"/>
  <c r="G62" i="36" s="1"/>
  <c r="B59" i="36"/>
  <c r="B57" i="36"/>
  <c r="H12" i="36" s="1"/>
  <c r="U12" i="36" s="1"/>
  <c r="B55" i="36"/>
  <c r="C51" i="36"/>
  <c r="H9" i="36" s="1"/>
  <c r="AB9" i="36" s="1"/>
  <c r="P37" i="36"/>
  <c r="P36" i="36"/>
  <c r="V35" i="36"/>
  <c r="T35" i="36"/>
  <c r="R35" i="36"/>
  <c r="P35" i="36"/>
  <c r="Q34" i="36"/>
  <c r="Z34" i="36"/>
  <c r="Q33" i="36"/>
  <c r="Z33" i="36" s="1"/>
  <c r="Q32" i="36"/>
  <c r="Z32" i="36" s="1"/>
  <c r="Q31" i="36"/>
  <c r="Z31" i="36" s="1"/>
  <c r="Q30" i="36"/>
  <c r="Z30" i="36" s="1"/>
  <c r="Q29" i="36"/>
  <c r="Z29" i="36" s="1"/>
  <c r="Q28" i="36"/>
  <c r="Z28" i="36" s="1"/>
  <c r="J28" i="36"/>
  <c r="Q27" i="36"/>
  <c r="Z27" i="36"/>
  <c r="Q26" i="36"/>
  <c r="Z26" i="36" s="1"/>
  <c r="H26" i="36"/>
  <c r="AB26" i="36"/>
  <c r="Q25" i="36"/>
  <c r="Z25" i="36" s="1"/>
  <c r="Q24" i="36"/>
  <c r="Z24" i="36"/>
  <c r="H24" i="36"/>
  <c r="AB24" i="36" s="1"/>
  <c r="Q23" i="36"/>
  <c r="Z23" i="36"/>
  <c r="Q22" i="36"/>
  <c r="Z22" i="36" s="1"/>
  <c r="J22" i="36"/>
  <c r="AC22" i="36" s="1"/>
  <c r="Q20" i="36"/>
  <c r="Z20" i="36"/>
  <c r="Q16" i="36"/>
  <c r="Z16" i="36" s="1"/>
  <c r="Q14" i="36"/>
  <c r="Z14" i="36"/>
  <c r="Q13" i="36"/>
  <c r="Z13" i="36" s="1"/>
  <c r="Q12" i="36"/>
  <c r="Z12" i="36" s="1"/>
  <c r="Q11" i="36"/>
  <c r="Z11" i="36"/>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c r="J22" i="35"/>
  <c r="AC22" i="35" s="1"/>
  <c r="B101" i="35"/>
  <c r="H36" i="35" s="1"/>
  <c r="AB36" i="35"/>
  <c r="B99" i="35"/>
  <c r="B97" i="35"/>
  <c r="H34" i="35" s="1"/>
  <c r="B77" i="35"/>
  <c r="B75" i="35"/>
  <c r="J24" i="35" s="1"/>
  <c r="AC24" i="35" s="1"/>
  <c r="B73" i="35"/>
  <c r="H23" i="35" s="1"/>
  <c r="U23" i="35" s="1"/>
  <c r="B57" i="35"/>
  <c r="B61" i="35"/>
  <c r="F13" i="35" s="1"/>
  <c r="B59" i="35"/>
  <c r="H12" i="35" s="1"/>
  <c r="U12" i="35" s="1"/>
  <c r="B131" i="34"/>
  <c r="B129" i="34"/>
  <c r="B127" i="34"/>
  <c r="H45" i="34" s="1"/>
  <c r="U45" i="34" s="1"/>
  <c r="B99" i="34"/>
  <c r="B97" i="34"/>
  <c r="B95" i="34"/>
  <c r="J30" i="34" s="1"/>
  <c r="AC30" i="34" s="1"/>
  <c r="B93" i="34"/>
  <c r="H29" i="34" s="1"/>
  <c r="B75" i="34"/>
  <c r="B73" i="34"/>
  <c r="B71" i="34"/>
  <c r="F12" i="34" s="1"/>
  <c r="S12" i="34" s="1"/>
  <c r="B130" i="33"/>
  <c r="F46" i="33" s="1"/>
  <c r="B128" i="33"/>
  <c r="B126" i="33"/>
  <c r="B98" i="33"/>
  <c r="H31" i="33" s="1"/>
  <c r="U31" i="33" s="1"/>
  <c r="B96" i="33"/>
  <c r="J30" i="33" s="1"/>
  <c r="B94" i="33"/>
  <c r="B74" i="33"/>
  <c r="B72" i="33"/>
  <c r="B70" i="33"/>
  <c r="J12" i="33" s="1"/>
  <c r="D96" i="35"/>
  <c r="E96" i="35"/>
  <c r="F96" i="35"/>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C53" i="35"/>
  <c r="J9" i="35"/>
  <c r="P39" i="35"/>
  <c r="P38" i="35"/>
  <c r="V37" i="35"/>
  <c r="T37" i="35"/>
  <c r="R37" i="35"/>
  <c r="P37" i="35"/>
  <c r="Q36" i="35"/>
  <c r="Z36" i="35"/>
  <c r="Q35" i="35"/>
  <c r="Z35" i="35" s="1"/>
  <c r="Q34" i="35"/>
  <c r="Z34" i="35"/>
  <c r="Q33" i="35"/>
  <c r="Z33" i="35" s="1"/>
  <c r="Q32" i="35"/>
  <c r="Z32" i="35"/>
  <c r="H32" i="35"/>
  <c r="AB32" i="35" s="1"/>
  <c r="F32" i="35"/>
  <c r="AA32" i="35" s="1"/>
  <c r="Q31" i="35"/>
  <c r="Z31" i="35"/>
  <c r="Q30" i="35"/>
  <c r="Z30" i="35"/>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c r="G120" i="34" s="1"/>
  <c r="H120" i="34"/>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W27" i="34" s="1"/>
  <c r="D88" i="34"/>
  <c r="E88" i="34" s="1"/>
  <c r="F88" i="34" s="1"/>
  <c r="G88" i="34" s="1"/>
  <c r="H88" i="34" s="1"/>
  <c r="I88" i="34" s="1"/>
  <c r="J88" i="34" s="1"/>
  <c r="K88" i="34" s="1"/>
  <c r="L88" i="34" s="1"/>
  <c r="M88" i="34" s="1"/>
  <c r="D86" i="34"/>
  <c r="E86" i="34" s="1"/>
  <c r="D82" i="34"/>
  <c r="E82" i="34"/>
  <c r="F82" i="34"/>
  <c r="G82" i="34" s="1"/>
  <c r="D80" i="34"/>
  <c r="E80" i="34" s="1"/>
  <c r="F80" i="34" s="1"/>
  <c r="G80" i="34" s="1"/>
  <c r="D78" i="34"/>
  <c r="E78" i="34"/>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Q33" i="34"/>
  <c r="Z33" i="34" s="1"/>
  <c r="Q32" i="34"/>
  <c r="Z32" i="34" s="1"/>
  <c r="Q31" i="34"/>
  <c r="Z31" i="34" s="1"/>
  <c r="Q30" i="34"/>
  <c r="Z30" i="34" s="1"/>
  <c r="Q29" i="34"/>
  <c r="Z29" i="34" s="1"/>
  <c r="Q28" i="34"/>
  <c r="Z28" i="34" s="1"/>
  <c r="Q27" i="34"/>
  <c r="Z27" i="34"/>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09" i="33"/>
  <c r="E109" i="33"/>
  <c r="D109" i="33"/>
  <c r="C109" i="33"/>
  <c r="D91" i="33"/>
  <c r="E91" i="33"/>
  <c r="B88" i="33"/>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F87" i="33" s="1"/>
  <c r="D85" i="33"/>
  <c r="E85" i="33" s="1"/>
  <c r="D81" i="33"/>
  <c r="E81" i="33" s="1"/>
  <c r="D79" i="33"/>
  <c r="E79" i="33" s="1"/>
  <c r="D77" i="33"/>
  <c r="E77" i="33"/>
  <c r="F77" i="33" s="1"/>
  <c r="G77" i="33" s="1"/>
  <c r="D69" i="33"/>
  <c r="E69" i="33"/>
  <c r="F69" i="33"/>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c r="H38" i="33"/>
  <c r="AB38" i="33" s="1"/>
  <c r="F38" i="33"/>
  <c r="AA38" i="33"/>
  <c r="Q37" i="33"/>
  <c r="Z37" i="33" s="1"/>
  <c r="Q36" i="33"/>
  <c r="Z36" i="33" s="1"/>
  <c r="Q35" i="33"/>
  <c r="Z35" i="33" s="1"/>
  <c r="H35" i="33"/>
  <c r="Q34" i="33"/>
  <c r="Z34" i="33" s="1"/>
  <c r="Q33" i="33"/>
  <c r="Z33" i="33"/>
  <c r="J33" i="33"/>
  <c r="AC33" i="33" s="1"/>
  <c r="H33" i="33"/>
  <c r="AB33" i="33" s="1"/>
  <c r="F33" i="33"/>
  <c r="AA33" i="33" s="1"/>
  <c r="Q32" i="33"/>
  <c r="Z32" i="33" s="1"/>
  <c r="Q31" i="33"/>
  <c r="Z31" i="33" s="1"/>
  <c r="Q30" i="33"/>
  <c r="Z30" i="33"/>
  <c r="Q29" i="33"/>
  <c r="Z29" i="33" s="1"/>
  <c r="Q28" i="33"/>
  <c r="Z28" i="33" s="1"/>
  <c r="Q27" i="33"/>
  <c r="Z27" i="33" s="1"/>
  <c r="Q26" i="33"/>
  <c r="Z26" i="33" s="1"/>
  <c r="Q25" i="33"/>
  <c r="Z25" i="33" s="1"/>
  <c r="Q23" i="33"/>
  <c r="Z23" i="33"/>
  <c r="Q19" i="33"/>
  <c r="Z19" i="33" s="1"/>
  <c r="Q17" i="33"/>
  <c r="Z17" i="33" s="1"/>
  <c r="Q15" i="33"/>
  <c r="Z15" i="33" s="1"/>
  <c r="F15" i="33"/>
  <c r="AA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s="1"/>
  <c r="G16" i="20"/>
  <c r="B84" i="43" s="1"/>
  <c r="G15" i="20"/>
  <c r="B83" i="43" s="1"/>
  <c r="C24" i="20"/>
  <c r="C21" i="20"/>
  <c r="B99" i="43" s="1"/>
  <c r="B76" i="43"/>
  <c r="C20" i="20"/>
  <c r="C18" i="20"/>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AA42" i="21" s="1"/>
  <c r="D119" i="21"/>
  <c r="E119" i="21" s="1"/>
  <c r="F40" i="21"/>
  <c r="AA40" i="21" s="1"/>
  <c r="D117" i="21"/>
  <c r="E117" i="21" s="1"/>
  <c r="F117" i="21" s="1"/>
  <c r="G117" i="21" s="1"/>
  <c r="D115" i="21"/>
  <c r="E115" i="21"/>
  <c r="F115" i="21"/>
  <c r="G115" i="21" s="1"/>
  <c r="H115" i="21" s="1"/>
  <c r="I115" i="21" s="1"/>
  <c r="J115" i="21" s="1"/>
  <c r="K115" i="21" s="1"/>
  <c r="L115" i="21" s="1"/>
  <c r="M115" i="21" s="1"/>
  <c r="D113" i="21"/>
  <c r="E113" i="21"/>
  <c r="F113" i="21" s="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c r="G101" i="2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J46" i="21" s="1"/>
  <c r="B128" i="21"/>
  <c r="J45" i="21"/>
  <c r="W45" i="21" s="1"/>
  <c r="B126" i="21"/>
  <c r="J44" i="21" s="1"/>
  <c r="W44" i="21" s="1"/>
  <c r="B98" i="21"/>
  <c r="H31" i="21"/>
  <c r="B96" i="21"/>
  <c r="B94" i="21"/>
  <c r="J29" i="21" s="1"/>
  <c r="AC29" i="21"/>
  <c r="B92" i="21"/>
  <c r="B90" i="21"/>
  <c r="J27" i="21" s="1"/>
  <c r="W27" i="21" s="1"/>
  <c r="B74" i="21"/>
  <c r="F14" i="21" s="1"/>
  <c r="B72" i="21"/>
  <c r="H13" i="21" s="1"/>
  <c r="B70" i="21"/>
  <c r="F12" i="21" s="1"/>
  <c r="S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A585" i="3" s="1"/>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A587" i="3" s="1"/>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s="1"/>
  <c r="H36" i="21"/>
  <c r="U36" i="21"/>
  <c r="F35" i="21"/>
  <c r="AA35" i="21" s="1"/>
  <c r="J10" i="21"/>
  <c r="AC10" i="21" s="1"/>
  <c r="H26" i="21"/>
  <c r="AB26" i="21"/>
  <c r="AB19" i="21"/>
  <c r="J19" i="21"/>
  <c r="W19" i="21"/>
  <c r="J12" i="21"/>
  <c r="AC12" i="21" s="1"/>
  <c r="H12" i="21"/>
  <c r="AB12" i="21" s="1"/>
  <c r="J26" i="21"/>
  <c r="W26" i="21"/>
  <c r="F26" i="21"/>
  <c r="S26" i="21" s="1"/>
  <c r="AB41" i="21"/>
  <c r="F45" i="39"/>
  <c r="S45" i="39" s="1"/>
  <c r="F36" i="39"/>
  <c r="S36" i="39" s="1"/>
  <c r="H36" i="39"/>
  <c r="AB36" i="39" s="1"/>
  <c r="J35" i="39"/>
  <c r="AC35" i="39" s="1"/>
  <c r="F35" i="39"/>
  <c r="AA35" i="39" s="1"/>
  <c r="J36" i="39"/>
  <c r="AC36" i="39" s="1"/>
  <c r="U9" i="39"/>
  <c r="W40" i="39"/>
  <c r="U30" i="37"/>
  <c r="W31" i="37"/>
  <c r="E103" i="37"/>
  <c r="F103" i="37"/>
  <c r="G103" i="37" s="1"/>
  <c r="H103" i="37" s="1"/>
  <c r="I103" i="37" s="1"/>
  <c r="J103" i="37" s="1"/>
  <c r="K103" i="37" s="1"/>
  <c r="L103" i="37" s="1"/>
  <c r="M103" i="37" s="1"/>
  <c r="F39" i="37"/>
  <c r="S39" i="37" s="1"/>
  <c r="U14" i="37"/>
  <c r="F29" i="36"/>
  <c r="AA29" i="36" s="1"/>
  <c r="F16" i="36"/>
  <c r="AA16" i="36" s="1"/>
  <c r="U9" i="36"/>
  <c r="J33" i="36"/>
  <c r="AC33" i="36" s="1"/>
  <c r="H22" i="35"/>
  <c r="AB22" i="35" s="1"/>
  <c r="W28" i="35"/>
  <c r="U31" i="35"/>
  <c r="W22" i="35"/>
  <c r="S31" i="35"/>
  <c r="F36" i="34"/>
  <c r="J35" i="34"/>
  <c r="H39" i="33"/>
  <c r="AB39" i="33"/>
  <c r="U33" i="33"/>
  <c r="S40" i="33"/>
  <c r="W33" i="33"/>
  <c r="W39" i="33"/>
  <c r="H39" i="37"/>
  <c r="AB39" i="37" s="1"/>
  <c r="S27" i="35"/>
  <c r="F11" i="40"/>
  <c r="AA11" i="40" s="1"/>
  <c r="H11" i="40"/>
  <c r="AB11" i="40" s="1"/>
  <c r="W8" i="40"/>
  <c r="AA9" i="40"/>
  <c r="AC9" i="40"/>
  <c r="U9" i="40"/>
  <c r="W31" i="40"/>
  <c r="F42" i="39"/>
  <c r="AA42" i="39" s="1"/>
  <c r="F41" i="39"/>
  <c r="S41" i="39" s="1"/>
  <c r="H40" i="39"/>
  <c r="AB40" i="39" s="1"/>
  <c r="H39" i="39"/>
  <c r="U39" i="39" s="1"/>
  <c r="S38" i="39"/>
  <c r="H34" i="39"/>
  <c r="U34" i="39" s="1"/>
  <c r="E108" i="39"/>
  <c r="F108" i="39" s="1"/>
  <c r="G108" i="39" s="1"/>
  <c r="H108" i="39" s="1"/>
  <c r="I108" i="39" s="1"/>
  <c r="J108" i="39" s="1"/>
  <c r="K108" i="39" s="1"/>
  <c r="L108" i="39" s="1"/>
  <c r="M108" i="39" s="1"/>
  <c r="H31" i="39"/>
  <c r="AB31" i="39" s="1"/>
  <c r="F31" i="39"/>
  <c r="AA31" i="39"/>
  <c r="E100" i="39"/>
  <c r="H19" i="39"/>
  <c r="AB19" i="39" s="1"/>
  <c r="F19" i="39"/>
  <c r="AA19" i="39" s="1"/>
  <c r="H17" i="39"/>
  <c r="AB17" i="39" s="1"/>
  <c r="F17" i="39"/>
  <c r="AA17" i="39" s="1"/>
  <c r="J23" i="40"/>
  <c r="AC23" i="40" s="1"/>
  <c r="F21" i="40"/>
  <c r="AA21" i="40"/>
  <c r="J21" i="40"/>
  <c r="W21" i="40" s="1"/>
  <c r="H42" i="39"/>
  <c r="AB42" i="39" s="1"/>
  <c r="J34" i="39"/>
  <c r="AC34" i="39" s="1"/>
  <c r="J31" i="39"/>
  <c r="F100" i="39"/>
  <c r="H27" i="39"/>
  <c r="U27" i="39" s="1"/>
  <c r="J19" i="39"/>
  <c r="AC19" i="39" s="1"/>
  <c r="J17" i="39"/>
  <c r="J27" i="39"/>
  <c r="AC27" i="39"/>
  <c r="F27" i="39"/>
  <c r="F11" i="21"/>
  <c r="S11" i="21" s="1"/>
  <c r="S40" i="21"/>
  <c r="U34" i="21"/>
  <c r="C25" i="39"/>
  <c r="C27" i="39"/>
  <c r="C21" i="39"/>
  <c r="H11" i="39"/>
  <c r="AB11" i="39" s="1"/>
  <c r="S40" i="39"/>
  <c r="C15" i="39"/>
  <c r="H32" i="33"/>
  <c r="AB32" i="33" s="1"/>
  <c r="H11" i="21"/>
  <c r="U11" i="21" s="1"/>
  <c r="J11" i="21"/>
  <c r="W11" i="21" s="1"/>
  <c r="H37" i="40"/>
  <c r="U37" i="40" s="1"/>
  <c r="H36" i="40"/>
  <c r="AB36" i="40"/>
  <c r="F35" i="40"/>
  <c r="AA35" i="40" s="1"/>
  <c r="H23" i="40"/>
  <c r="AB23" i="40"/>
  <c r="H17" i="40"/>
  <c r="U17" i="40" s="1"/>
  <c r="J15" i="40"/>
  <c r="W15" i="40"/>
  <c r="J11" i="40"/>
  <c r="AB8" i="39"/>
  <c r="AB12" i="35"/>
  <c r="AB12" i="36"/>
  <c r="W32" i="40"/>
  <c r="F37" i="39"/>
  <c r="AA37" i="39"/>
  <c r="J34" i="36"/>
  <c r="W34" i="36" s="1"/>
  <c r="U30" i="36"/>
  <c r="J30" i="35"/>
  <c r="W30" i="35" s="1"/>
  <c r="H30" i="35"/>
  <c r="AB30" i="35" s="1"/>
  <c r="F22" i="35"/>
  <c r="AA22" i="35" s="1"/>
  <c r="H10" i="35"/>
  <c r="U10" i="35" s="1"/>
  <c r="AC16" i="36"/>
  <c r="F33" i="36"/>
  <c r="AA33" i="36" s="1"/>
  <c r="H16" i="36"/>
  <c r="AB16" i="36"/>
  <c r="G85" i="36"/>
  <c r="H85" i="36"/>
  <c r="I85" i="36" s="1"/>
  <c r="J85" i="36" s="1"/>
  <c r="K85" i="36"/>
  <c r="L85" i="36" s="1"/>
  <c r="M85" i="36" s="1"/>
  <c r="J29" i="36"/>
  <c r="AC29" i="36" s="1"/>
  <c r="F12" i="36"/>
  <c r="AA12" i="36" s="1"/>
  <c r="S34" i="36"/>
  <c r="F14" i="35"/>
  <c r="F23" i="35"/>
  <c r="AA23" i="35"/>
  <c r="J32" i="35"/>
  <c r="AC32" i="35" s="1"/>
  <c r="J16" i="35"/>
  <c r="AC16" i="35" s="1"/>
  <c r="H16" i="35"/>
  <c r="U16" i="35" s="1"/>
  <c r="F16" i="35"/>
  <c r="S16" i="35" s="1"/>
  <c r="H14" i="35"/>
  <c r="AB14" i="35" s="1"/>
  <c r="J29" i="35"/>
  <c r="H33" i="35"/>
  <c r="AB33" i="35"/>
  <c r="J20" i="35"/>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F27" i="34"/>
  <c r="AA27" i="34" s="1"/>
  <c r="F25" i="34"/>
  <c r="S25" i="34" s="1"/>
  <c r="F19" i="34"/>
  <c r="AA19" i="34" s="1"/>
  <c r="H17" i="34"/>
  <c r="U17" i="34" s="1"/>
  <c r="F15" i="34"/>
  <c r="AA15" i="34" s="1"/>
  <c r="J15" i="34"/>
  <c r="AC15" i="34" s="1"/>
  <c r="H15" i="34"/>
  <c r="AB15" i="34" s="1"/>
  <c r="J28" i="34"/>
  <c r="W28" i="34" s="1"/>
  <c r="F41" i="33"/>
  <c r="AA41" i="33" s="1"/>
  <c r="S38" i="33"/>
  <c r="E113" i="33"/>
  <c r="F113" i="33" s="1"/>
  <c r="G113" i="33" s="1"/>
  <c r="H113" i="33" s="1"/>
  <c r="F32" i="33"/>
  <c r="AA32" i="33" s="1"/>
  <c r="J19" i="33"/>
  <c r="AC19" i="33"/>
  <c r="J15" i="33"/>
  <c r="AC15" i="33" s="1"/>
  <c r="F11" i="33"/>
  <c r="AA11" i="33" s="1"/>
  <c r="U40" i="33"/>
  <c r="F37" i="40"/>
  <c r="AA37" i="40" s="1"/>
  <c r="F36" i="40"/>
  <c r="AA36" i="40" s="1"/>
  <c r="H28" i="40"/>
  <c r="U28" i="40" s="1"/>
  <c r="F23" i="40"/>
  <c r="AA23" i="40" s="1"/>
  <c r="F17" i="40"/>
  <c r="AA17" i="40" s="1"/>
  <c r="J17" i="40"/>
  <c r="W17" i="40" s="1"/>
  <c r="F15" i="40"/>
  <c r="S15" i="40"/>
  <c r="H15" i="40"/>
  <c r="AB15" i="40" s="1"/>
  <c r="S12" i="36"/>
  <c r="AB30" i="36"/>
  <c r="U33" i="35"/>
  <c r="F29" i="35"/>
  <c r="S29" i="35" s="1"/>
  <c r="H29" i="35"/>
  <c r="AB29" i="35" s="1"/>
  <c r="H33" i="37"/>
  <c r="AB33" i="37" s="1"/>
  <c r="F33" i="37"/>
  <c r="AA33" i="37" s="1"/>
  <c r="U34" i="37"/>
  <c r="S34" i="37"/>
  <c r="AA34" i="37"/>
  <c r="J43" i="34"/>
  <c r="AC43" i="34" s="1"/>
  <c r="AB42" i="34"/>
  <c r="J40" i="34"/>
  <c r="H38" i="34"/>
  <c r="AB38" i="34" s="1"/>
  <c r="J36" i="34"/>
  <c r="W36" i="34" s="1"/>
  <c r="H37" i="34"/>
  <c r="U37" i="34" s="1"/>
  <c r="H25" i="34"/>
  <c r="AB25" i="34" s="1"/>
  <c r="J25" i="34"/>
  <c r="AC25" i="34" s="1"/>
  <c r="J19" i="34"/>
  <c r="AC19" i="34" s="1"/>
  <c r="F17" i="34"/>
  <c r="AA17" i="34" s="1"/>
  <c r="J17" i="34"/>
  <c r="AC17" i="34" s="1"/>
  <c r="S41" i="33"/>
  <c r="I113" i="33"/>
  <c r="J113" i="33"/>
  <c r="K113" i="33" s="1"/>
  <c r="L113" i="33" s="1"/>
  <c r="M113" i="33"/>
  <c r="H37" i="33"/>
  <c r="AB37" i="33" s="1"/>
  <c r="H15" i="33"/>
  <c r="AB15" i="33" s="1"/>
  <c r="H11" i="33"/>
  <c r="AB11" i="33" s="1"/>
  <c r="F28" i="40"/>
  <c r="AA28" i="40" s="1"/>
  <c r="AA29" i="35"/>
  <c r="AA42" i="34"/>
  <c r="S42" i="34"/>
  <c r="AC38" i="34"/>
  <c r="AA38" i="34"/>
  <c r="J37" i="34"/>
  <c r="AC37" i="34" s="1"/>
  <c r="J11" i="33"/>
  <c r="W11" i="33" s="1"/>
  <c r="U23" i="40"/>
  <c r="J42" i="21"/>
  <c r="AC42" i="21"/>
  <c r="H42" i="21"/>
  <c r="U42" i="21" s="1"/>
  <c r="J44" i="34"/>
  <c r="F44" i="34"/>
  <c r="AA44" i="34" s="1"/>
  <c r="J10" i="35"/>
  <c r="AC10" i="35" s="1"/>
  <c r="J14" i="21"/>
  <c r="W14" i="21" s="1"/>
  <c r="S14" i="21"/>
  <c r="H14" i="21"/>
  <c r="U14" i="21" s="1"/>
  <c r="H28" i="21"/>
  <c r="AB28" i="21"/>
  <c r="F28" i="21"/>
  <c r="AA28" i="21" s="1"/>
  <c r="J28" i="21"/>
  <c r="W28" i="21" s="1"/>
  <c r="H30" i="21"/>
  <c r="U30" i="21" s="1"/>
  <c r="F30" i="21"/>
  <c r="S30" i="21"/>
  <c r="J30" i="21"/>
  <c r="AC30" i="21" s="1"/>
  <c r="AC44" i="21"/>
  <c r="H44" i="21"/>
  <c r="U44" i="21" s="1"/>
  <c r="H46" i="21"/>
  <c r="U46" i="21" s="1"/>
  <c r="W46" i="21"/>
  <c r="F46" i="21"/>
  <c r="AA46" i="21" s="1"/>
  <c r="F119" i="21"/>
  <c r="G119" i="21"/>
  <c r="H119" i="21" s="1"/>
  <c r="I119" i="21" s="1"/>
  <c r="J119" i="21" s="1"/>
  <c r="K119" i="21" s="1"/>
  <c r="L119" i="21" s="1"/>
  <c r="M119" i="21" s="1"/>
  <c r="H26" i="33"/>
  <c r="AB26" i="33" s="1"/>
  <c r="U26" i="33"/>
  <c r="H28" i="33"/>
  <c r="U28" i="33" s="1"/>
  <c r="F28" i="33"/>
  <c r="AA28" i="33" s="1"/>
  <c r="J28" i="33"/>
  <c r="W28" i="33" s="1"/>
  <c r="F33" i="35"/>
  <c r="AA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c r="F31" i="21"/>
  <c r="S31" i="21" s="1"/>
  <c r="F45" i="21"/>
  <c r="AA45" i="21"/>
  <c r="F27" i="33"/>
  <c r="AA27" i="33" s="1"/>
  <c r="H13" i="33"/>
  <c r="U13" i="33" s="1"/>
  <c r="J29" i="33"/>
  <c r="AC29" i="33"/>
  <c r="H29" i="33"/>
  <c r="F29" i="33"/>
  <c r="S29" i="33"/>
  <c r="J31" i="33"/>
  <c r="W31" i="33" s="1"/>
  <c r="F31" i="33"/>
  <c r="AA31" i="33" s="1"/>
  <c r="H45" i="33"/>
  <c r="J45" i="33"/>
  <c r="W45" i="33"/>
  <c r="F45" i="33"/>
  <c r="AA45" i="33" s="1"/>
  <c r="J14" i="34"/>
  <c r="W14" i="34" s="1"/>
  <c r="F14" i="34"/>
  <c r="S14" i="34" s="1"/>
  <c r="H14" i="34"/>
  <c r="H30" i="34"/>
  <c r="U30" i="34" s="1"/>
  <c r="H32" i="34"/>
  <c r="F32" i="34"/>
  <c r="S32" i="34" s="1"/>
  <c r="J32" i="34"/>
  <c r="W32" i="34" s="1"/>
  <c r="H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H36" i="37"/>
  <c r="AB36" i="37"/>
  <c r="F107" i="37"/>
  <c r="J37" i="37"/>
  <c r="AC37" i="37" s="1"/>
  <c r="H37" i="37"/>
  <c r="U37" i="37" s="1"/>
  <c r="H40" i="37"/>
  <c r="U40" i="37" s="1"/>
  <c r="J40" i="37"/>
  <c r="AC40" i="37" s="1"/>
  <c r="F40" i="37"/>
  <c r="AA40" i="37"/>
  <c r="AC12" i="40"/>
  <c r="W12" i="40"/>
  <c r="H14" i="33"/>
  <c r="U14" i="33"/>
  <c r="F14" i="33"/>
  <c r="J14" i="33"/>
  <c r="H30" i="33"/>
  <c r="AB30" i="33" s="1"/>
  <c r="F30" i="33"/>
  <c r="S30" i="33" s="1"/>
  <c r="H44" i="33"/>
  <c r="J44" i="33"/>
  <c r="AC44" i="33" s="1"/>
  <c r="F44" i="33"/>
  <c r="AA44" i="33" s="1"/>
  <c r="S44" i="33"/>
  <c r="J46" i="33"/>
  <c r="AC46" i="33" s="1"/>
  <c r="AA46" i="33"/>
  <c r="H46" i="33"/>
  <c r="H13" i="34"/>
  <c r="U13" i="34" s="1"/>
  <c r="J13" i="34"/>
  <c r="W13" i="34" s="1"/>
  <c r="F13" i="34"/>
  <c r="AA13" i="34" s="1"/>
  <c r="J29" i="34"/>
  <c r="W29" i="34" s="1"/>
  <c r="F29" i="34"/>
  <c r="S29" i="34" s="1"/>
  <c r="AB29" i="34"/>
  <c r="J31" i="34"/>
  <c r="H31" i="34"/>
  <c r="U31" i="34" s="1"/>
  <c r="F31" i="34"/>
  <c r="S31" i="34" s="1"/>
  <c r="J45" i="34"/>
  <c r="W45" i="34" s="1"/>
  <c r="H47" i="34"/>
  <c r="U47" i="34" s="1"/>
  <c r="F47" i="34"/>
  <c r="S47" i="34"/>
  <c r="J47" i="34"/>
  <c r="AC47" i="34" s="1"/>
  <c r="S13" i="35"/>
  <c r="J13" i="35"/>
  <c r="AC13" i="35" s="1"/>
  <c r="J25" i="35"/>
  <c r="W25" i="35" s="1"/>
  <c r="F25" i="35"/>
  <c r="S25" i="35" s="1"/>
  <c r="H25" i="35"/>
  <c r="AB25" i="35" s="1"/>
  <c r="J35" i="35"/>
  <c r="AC35" i="35"/>
  <c r="F35" i="35"/>
  <c r="AA35" i="35" s="1"/>
  <c r="H35" i="35"/>
  <c r="AB35" i="35"/>
  <c r="J25" i="36"/>
  <c r="W25" i="36" s="1"/>
  <c r="F25" i="36"/>
  <c r="S25" i="36" s="1"/>
  <c r="H25" i="36"/>
  <c r="AB25" i="36" s="1"/>
  <c r="H13" i="37"/>
  <c r="AB13" i="37" s="1"/>
  <c r="F13" i="37"/>
  <c r="S13" i="37" s="1"/>
  <c r="J13" i="37"/>
  <c r="W13" i="37" s="1"/>
  <c r="F28" i="37"/>
  <c r="AA28" i="37"/>
  <c r="J28" i="37"/>
  <c r="AC28" i="37" s="1"/>
  <c r="H28" i="37"/>
  <c r="U28" i="37"/>
  <c r="H38" i="37"/>
  <c r="AB38" i="37" s="1"/>
  <c r="J38" i="37"/>
  <c r="AC38" i="37"/>
  <c r="F38" i="37"/>
  <c r="F43" i="39"/>
  <c r="AA43" i="39" s="1"/>
  <c r="H43" i="39"/>
  <c r="U43" i="39" s="1"/>
  <c r="J14" i="39"/>
  <c r="AC14" i="39" s="1"/>
  <c r="H14" i="39"/>
  <c r="AB14" i="39" s="1"/>
  <c r="F12" i="40"/>
  <c r="S12" i="40" s="1"/>
  <c r="H12" i="40"/>
  <c r="AB12" i="40" s="1"/>
  <c r="H30" i="40"/>
  <c r="AB30" i="40" s="1"/>
  <c r="F33" i="40"/>
  <c r="AA33" i="40"/>
  <c r="H33" i="40"/>
  <c r="U33" i="40" s="1"/>
  <c r="J35" i="40"/>
  <c r="AC35" i="40" s="1"/>
  <c r="J37" i="40"/>
  <c r="AC37" i="40" s="1"/>
  <c r="F14" i="37"/>
  <c r="S14" i="37" s="1"/>
  <c r="F27" i="37"/>
  <c r="AA27" i="37"/>
  <c r="F13" i="39"/>
  <c r="J13" i="39"/>
  <c r="W13" i="39" s="1"/>
  <c r="H13" i="39"/>
  <c r="H14" i="40"/>
  <c r="AB14" i="40" s="1"/>
  <c r="J14" i="40"/>
  <c r="W14" i="40"/>
  <c r="F14" i="40"/>
  <c r="J14" i="37"/>
  <c r="AC14" i="37" s="1"/>
  <c r="J27" i="37"/>
  <c r="AA13" i="35"/>
  <c r="J36" i="37"/>
  <c r="AC36" i="37" s="1"/>
  <c r="G105" i="37"/>
  <c r="J10" i="36"/>
  <c r="AC10" i="36" s="1"/>
  <c r="AB30" i="21"/>
  <c r="AA14" i="37"/>
  <c r="AC13" i="36"/>
  <c r="W13" i="36"/>
  <c r="AA14" i="34"/>
  <c r="S45" i="33"/>
  <c r="AB31" i="33"/>
  <c r="W29" i="33"/>
  <c r="S44" i="34"/>
  <c r="F17" i="21"/>
  <c r="AA17" i="21"/>
  <c r="H17" i="21"/>
  <c r="AB17" i="21" s="1"/>
  <c r="F15" i="21"/>
  <c r="S15" i="21"/>
  <c r="J41" i="39"/>
  <c r="W41" i="39" s="1"/>
  <c r="W36" i="39"/>
  <c r="W35" i="39"/>
  <c r="U36" i="39"/>
  <c r="S35" i="39"/>
  <c r="G544" i="3"/>
  <c r="G540" i="3"/>
  <c r="G532" i="3"/>
  <c r="G531" i="3"/>
  <c r="G523" i="3"/>
  <c r="G518" i="3"/>
  <c r="G514" i="3"/>
  <c r="G504" i="3"/>
  <c r="G584" i="3"/>
  <c r="G580" i="3"/>
  <c r="G576" i="3"/>
  <c r="G572" i="3"/>
  <c r="G568" i="3"/>
  <c r="G564" i="3"/>
  <c r="G560" i="3"/>
  <c r="G554" i="3"/>
  <c r="G550" i="3"/>
  <c r="BL584" i="3"/>
  <c r="BL580" i="3"/>
  <c r="BL572" i="3"/>
  <c r="BL568" i="3"/>
  <c r="BL564" i="3"/>
  <c r="BL560" i="3"/>
  <c r="BL554" i="3"/>
  <c r="BL546" i="3"/>
  <c r="BL538" i="3"/>
  <c r="BL516" i="3"/>
  <c r="BL512" i="3"/>
  <c r="BL582" i="3"/>
  <c r="AZ582" i="3" s="1"/>
  <c r="BL574" i="3"/>
  <c r="BL570" i="3"/>
  <c r="BL566" i="3"/>
  <c r="BL562" i="3"/>
  <c r="BL556" i="3"/>
  <c r="BL552" i="3"/>
  <c r="BL540" i="3"/>
  <c r="BL536" i="3"/>
  <c r="G533" i="3"/>
  <c r="G529" i="3"/>
  <c r="BL528" i="3"/>
  <c r="G525" i="3"/>
  <c r="BL514" i="3"/>
  <c r="BL510" i="3"/>
  <c r="BA584" i="3"/>
  <c r="AZ584" i="3" s="1"/>
  <c r="BA582" i="3"/>
  <c r="BA580" i="3"/>
  <c r="AZ580" i="3"/>
  <c r="BA576" i="3"/>
  <c r="BA572" i="3"/>
  <c r="AZ572" i="3" s="1"/>
  <c r="BA568" i="3"/>
  <c r="AZ568" i="3" s="1"/>
  <c r="BA566" i="3"/>
  <c r="BA564" i="3"/>
  <c r="AZ564" i="3" s="1"/>
  <c r="BA562" i="3"/>
  <c r="AZ562" i="3"/>
  <c r="BA560" i="3"/>
  <c r="AZ560" i="3" s="1"/>
  <c r="BA558" i="3"/>
  <c r="BA556" i="3"/>
  <c r="BA554" i="3"/>
  <c r="AZ554" i="3" s="1"/>
  <c r="BA552" i="3"/>
  <c r="AZ552" i="3" s="1"/>
  <c r="BA544" i="3"/>
  <c r="BA536" i="3"/>
  <c r="BA534" i="3"/>
  <c r="BA526" i="3"/>
  <c r="BA516" i="3"/>
  <c r="AZ516" i="3"/>
  <c r="BA508" i="3"/>
  <c r="BA504" i="3"/>
  <c r="BA496" i="3"/>
  <c r="BA494" i="3"/>
  <c r="BA583" i="3"/>
  <c r="BA581" i="3"/>
  <c r="BA577" i="3"/>
  <c r="BA575" i="3"/>
  <c r="BA573" i="3"/>
  <c r="BA569" i="3"/>
  <c r="AZ569" i="3" s="1"/>
  <c r="BA567" i="3"/>
  <c r="BA565" i="3"/>
  <c r="BA563" i="3"/>
  <c r="BA561" i="3"/>
  <c r="AZ561" i="3" s="1"/>
  <c r="BA559" i="3"/>
  <c r="BA555" i="3"/>
  <c r="BA553" i="3"/>
  <c r="BA549" i="3"/>
  <c r="AZ549" i="3" s="1"/>
  <c r="BA547" i="3"/>
  <c r="BA539" i="3"/>
  <c r="BA537" i="3"/>
  <c r="BA529" i="3"/>
  <c r="AZ529" i="3" s="1"/>
  <c r="BA525" i="3"/>
  <c r="BA513" i="3"/>
  <c r="BA511" i="3"/>
  <c r="AZ511" i="3" s="1"/>
  <c r="BA497" i="3"/>
  <c r="BA495" i="3"/>
  <c r="G583" i="3"/>
  <c r="G581" i="3"/>
  <c r="G579" i="3"/>
  <c r="G575" i="3"/>
  <c r="G573" i="3"/>
  <c r="G571" i="3"/>
  <c r="G569" i="3"/>
  <c r="G567" i="3"/>
  <c r="G565" i="3"/>
  <c r="G563" i="3"/>
  <c r="G561" i="3"/>
  <c r="BL558" i="3"/>
  <c r="BA557" i="3"/>
  <c r="AC557" i="3"/>
  <c r="G557" i="3"/>
  <c r="BQ557" i="3"/>
  <c r="BL557" i="3"/>
  <c r="AZ557" i="3" s="1"/>
  <c r="BQ583" i="3"/>
  <c r="BL583" i="3"/>
  <c r="AZ583" i="3" s="1"/>
  <c r="BQ581" i="3"/>
  <c r="BQ579" i="3"/>
  <c r="BL579" i="3"/>
  <c r="BQ577" i="3"/>
  <c r="BL577" i="3" s="1"/>
  <c r="AZ577" i="3"/>
  <c r="BQ575" i="3"/>
  <c r="BQ573" i="3"/>
  <c r="BL573" i="3" s="1"/>
  <c r="BQ571" i="3"/>
  <c r="BL571" i="3"/>
  <c r="BQ569" i="3"/>
  <c r="BL569" i="3" s="1"/>
  <c r="BQ567" i="3"/>
  <c r="BL567" i="3" s="1"/>
  <c r="AZ567" i="3"/>
  <c r="BQ565" i="3"/>
  <c r="BL565" i="3"/>
  <c r="BQ563" i="3"/>
  <c r="BL563" i="3"/>
  <c r="AZ563" i="3" s="1"/>
  <c r="BQ561" i="3"/>
  <c r="BL561" i="3" s="1"/>
  <c r="BQ559" i="3"/>
  <c r="BL559" i="3"/>
  <c r="G559" i="3"/>
  <c r="G555" i="3"/>
  <c r="G553" i="3"/>
  <c r="G549" i="3"/>
  <c r="G547" i="3"/>
  <c r="G543" i="3"/>
  <c r="G541" i="3"/>
  <c r="G539" i="3"/>
  <c r="BQ555" i="3"/>
  <c r="BL555" i="3" s="1"/>
  <c r="AZ555" i="3"/>
  <c r="BQ553" i="3"/>
  <c r="BL553" i="3"/>
  <c r="AZ553" i="3" s="1"/>
  <c r="BQ551" i="3"/>
  <c r="BL551" i="3"/>
  <c r="BQ549" i="3"/>
  <c r="BQ547" i="3"/>
  <c r="BL547" i="3"/>
  <c r="AZ547" i="3"/>
  <c r="BQ545" i="3"/>
  <c r="BQ543" i="3"/>
  <c r="BL543" i="3"/>
  <c r="BQ541" i="3"/>
  <c r="BQ539" i="3"/>
  <c r="BL539" i="3"/>
  <c r="BQ537" i="3"/>
  <c r="BQ535" i="3"/>
  <c r="BQ533" i="3"/>
  <c r="BQ531" i="3"/>
  <c r="BQ529" i="3"/>
  <c r="BL529" i="3" s="1"/>
  <c r="BQ527" i="3"/>
  <c r="BL527" i="3"/>
  <c r="BQ525" i="3"/>
  <c r="BQ523" i="3"/>
  <c r="BL523" i="3"/>
  <c r="AC521" i="3"/>
  <c r="BQ521" i="3"/>
  <c r="BL520" i="3"/>
  <c r="G519" i="3"/>
  <c r="G517" i="3"/>
  <c r="G515" i="3"/>
  <c r="G511" i="3"/>
  <c r="BQ519" i="3"/>
  <c r="BL519" i="3"/>
  <c r="BQ517" i="3"/>
  <c r="BQ515" i="3"/>
  <c r="BL515" i="3"/>
  <c r="BQ513" i="3"/>
  <c r="BQ511" i="3"/>
  <c r="BL511" i="3"/>
  <c r="AC509" i="3"/>
  <c r="AC5" i="3" s="1"/>
  <c r="BQ509" i="3"/>
  <c r="G507" i="3"/>
  <c r="G505" i="3"/>
  <c r="G503" i="3"/>
  <c r="G499" i="3"/>
  <c r="G497" i="3"/>
  <c r="G495" i="3"/>
  <c r="BQ507" i="3"/>
  <c r="BL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c r="J25" i="21"/>
  <c r="AC25" i="21" s="1"/>
  <c r="E125" i="33"/>
  <c r="F125" i="33"/>
  <c r="H43" i="33"/>
  <c r="AB43" i="33" s="1"/>
  <c r="H17" i="37"/>
  <c r="U17" i="37" s="1"/>
  <c r="AB27" i="37"/>
  <c r="U32" i="33"/>
  <c r="AA36" i="39"/>
  <c r="F39" i="33"/>
  <c r="AA39" i="33" s="1"/>
  <c r="E123" i="33"/>
  <c r="F123" i="33" s="1"/>
  <c r="F42" i="33"/>
  <c r="S42" i="33" s="1"/>
  <c r="H28" i="34"/>
  <c r="AB28" i="34" s="1"/>
  <c r="F14" i="36"/>
  <c r="AA14" i="36" s="1"/>
  <c r="F22" i="36"/>
  <c r="S22" i="36"/>
  <c r="F26" i="36"/>
  <c r="AA26" i="36" s="1"/>
  <c r="H27" i="34"/>
  <c r="AB27" i="34" s="1"/>
  <c r="H35" i="34"/>
  <c r="U35" i="34" s="1"/>
  <c r="F41" i="34"/>
  <c r="S41" i="34" s="1"/>
  <c r="H41" i="34"/>
  <c r="U41" i="34" s="1"/>
  <c r="J41" i="34"/>
  <c r="AC41" i="34"/>
  <c r="F10" i="35"/>
  <c r="S10" i="35" s="1"/>
  <c r="F24" i="35"/>
  <c r="AA24" i="35" s="1"/>
  <c r="H24" i="35"/>
  <c r="AB24" i="35" s="1"/>
  <c r="H23" i="37"/>
  <c r="AB23" i="37" s="1"/>
  <c r="J32" i="37"/>
  <c r="AC32" i="37" s="1"/>
  <c r="F36" i="37"/>
  <c r="AA36" i="37" s="1"/>
  <c r="F37" i="37"/>
  <c r="AA37" i="37" s="1"/>
  <c r="F31" i="40"/>
  <c r="AA31" i="40" s="1"/>
  <c r="H31" i="40"/>
  <c r="U31" i="40"/>
  <c r="F32" i="40"/>
  <c r="S32" i="40" s="1"/>
  <c r="H32" i="40"/>
  <c r="AB32" i="40" s="1"/>
  <c r="J36" i="40"/>
  <c r="H19" i="37"/>
  <c r="AB19" i="37" s="1"/>
  <c r="G123" i="33"/>
  <c r="H123" i="33" s="1"/>
  <c r="I123" i="33" s="1"/>
  <c r="J123" i="33" s="1"/>
  <c r="K123" i="33" s="1"/>
  <c r="L123" i="33" s="1"/>
  <c r="M123" i="33" s="1"/>
  <c r="H42" i="33"/>
  <c r="AB42" i="33"/>
  <c r="G125" i="33"/>
  <c r="J43" i="33"/>
  <c r="S28" i="31"/>
  <c r="S27" i="31"/>
  <c r="S26" i="31"/>
  <c r="U35" i="35"/>
  <c r="AA12" i="35"/>
  <c r="W23" i="35"/>
  <c r="W14" i="37"/>
  <c r="AB28" i="37"/>
  <c r="U39" i="37"/>
  <c r="AC36" i="34"/>
  <c r="AC45" i="33"/>
  <c r="U19" i="21"/>
  <c r="U26" i="21"/>
  <c r="AC46" i="21"/>
  <c r="U12" i="21"/>
  <c r="AB38" i="21"/>
  <c r="F43" i="33"/>
  <c r="AA43" i="33" s="1"/>
  <c r="W40" i="37"/>
  <c r="G107" i="37"/>
  <c r="H107" i="37" s="1"/>
  <c r="I107" i="37" s="1"/>
  <c r="J107" i="37" s="1"/>
  <c r="K107" i="37" s="1"/>
  <c r="L107" i="37" s="1"/>
  <c r="M107" i="37" s="1"/>
  <c r="H37" i="21"/>
  <c r="U37" i="21" s="1"/>
  <c r="S42" i="21"/>
  <c r="H19" i="34"/>
  <c r="AB19" i="34" s="1"/>
  <c r="F36" i="35"/>
  <c r="S36" i="35"/>
  <c r="J9" i="37"/>
  <c r="W9" i="37" s="1"/>
  <c r="H9" i="37"/>
  <c r="U9" i="37" s="1"/>
  <c r="F9" i="37"/>
  <c r="S9" i="37" s="1"/>
  <c r="J12" i="37"/>
  <c r="H12" i="37"/>
  <c r="AB12" i="37" s="1"/>
  <c r="F12" i="37"/>
  <c r="S12" i="37" s="1"/>
  <c r="E71" i="37"/>
  <c r="F15" i="37"/>
  <c r="E94" i="37"/>
  <c r="F31" i="37"/>
  <c r="S31" i="37" s="1"/>
  <c r="F12" i="39"/>
  <c r="S12" i="39" s="1"/>
  <c r="J42" i="39"/>
  <c r="AC42" i="39" s="1"/>
  <c r="H21" i="40"/>
  <c r="U21" i="40" s="1"/>
  <c r="F94" i="37"/>
  <c r="G94" i="37" s="1"/>
  <c r="H94" i="37" s="1"/>
  <c r="I94" i="37" s="1"/>
  <c r="J94" i="37" s="1"/>
  <c r="K94" i="37" s="1"/>
  <c r="L94" i="37" s="1"/>
  <c r="M94" i="37" s="1"/>
  <c r="H31" i="37"/>
  <c r="U31" i="37" s="1"/>
  <c r="F71" i="37"/>
  <c r="G71" i="37" s="1"/>
  <c r="J15" i="37"/>
  <c r="W15" i="37" s="1"/>
  <c r="AT6" i="3"/>
  <c r="AA25" i="21"/>
  <c r="H19" i="40"/>
  <c r="U19" i="40" s="1"/>
  <c r="F88" i="40"/>
  <c r="G88" i="40"/>
  <c r="F19" i="40"/>
  <c r="S19" i="40" s="1"/>
  <c r="W23" i="39"/>
  <c r="AC43" i="39"/>
  <c r="W43" i="39"/>
  <c r="AB44" i="39"/>
  <c r="U44" i="39"/>
  <c r="G100" i="39"/>
  <c r="H37" i="39"/>
  <c r="AB37" i="39" s="1"/>
  <c r="AC37" i="39"/>
  <c r="W37" i="39"/>
  <c r="H25" i="39"/>
  <c r="J25" i="39"/>
  <c r="W25" i="39" s="1"/>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J11" i="39"/>
  <c r="W11" i="39" s="1"/>
  <c r="F11" i="39"/>
  <c r="AA11" i="39" s="1"/>
  <c r="G4" i="4"/>
  <c r="I4" i="4"/>
  <c r="A2" i="9"/>
  <c r="F61" i="43"/>
  <c r="H64" i="43" s="1"/>
  <c r="G64" i="43" s="1"/>
  <c r="AZ32" i="3"/>
  <c r="BL549" i="3"/>
  <c r="G546" i="3"/>
  <c r="G524" i="3"/>
  <c r="G303" i="3"/>
  <c r="BL304" i="3"/>
  <c r="G305" i="3"/>
  <c r="BL306" i="3"/>
  <c r="BA308" i="3"/>
  <c r="AZ308" i="3"/>
  <c r="BA309" i="3"/>
  <c r="BL309" i="3"/>
  <c r="G310" i="3"/>
  <c r="BA311" i="3"/>
  <c r="G319" i="3"/>
  <c r="BL320" i="3"/>
  <c r="G321" i="3"/>
  <c r="BL322" i="3"/>
  <c r="AZ322" i="3" s="1"/>
  <c r="BA324" i="3"/>
  <c r="BA325" i="3"/>
  <c r="BL325" i="3"/>
  <c r="G326" i="3"/>
  <c r="BA327" i="3"/>
  <c r="G335" i="3"/>
  <c r="BL336" i="3"/>
  <c r="G337" i="3"/>
  <c r="BL338" i="3"/>
  <c r="BA340" i="3"/>
  <c r="BA341" i="3"/>
  <c r="AZ341" i="3" s="1"/>
  <c r="BL341" i="3"/>
  <c r="BA343" i="3"/>
  <c r="BA345" i="3"/>
  <c r="AZ345" i="3" s="1"/>
  <c r="BL355" i="3"/>
  <c r="G356" i="3"/>
  <c r="BL357" i="3"/>
  <c r="BA359" i="3"/>
  <c r="AZ359" i="3" s="1"/>
  <c r="BA360" i="3"/>
  <c r="AZ360" i="3" s="1"/>
  <c r="BL360" i="3"/>
  <c r="G361" i="3"/>
  <c r="BA362" i="3"/>
  <c r="AZ362" i="3" s="1"/>
  <c r="G370" i="3"/>
  <c r="BL371" i="3"/>
  <c r="G372" i="3"/>
  <c r="BL373" i="3"/>
  <c r="BA375" i="3"/>
  <c r="AZ375" i="3" s="1"/>
  <c r="BA376" i="3"/>
  <c r="BL376" i="3"/>
  <c r="AZ376" i="3" s="1"/>
  <c r="G377" i="3"/>
  <c r="BA378" i="3"/>
  <c r="BL378" i="3"/>
  <c r="G379" i="3"/>
  <c r="BA380" i="3"/>
  <c r="AZ380" i="3" s="1"/>
  <c r="G388" i="3"/>
  <c r="BL389" i="3"/>
  <c r="G390" i="3"/>
  <c r="BL391" i="3"/>
  <c r="BA393" i="3"/>
  <c r="BA394" i="3"/>
  <c r="BL394" i="3"/>
  <c r="AZ394" i="3" s="1"/>
  <c r="G113" i="3"/>
  <c r="BA115" i="3"/>
  <c r="AZ115" i="3" s="1"/>
  <c r="BL116" i="3"/>
  <c r="G117" i="3"/>
  <c r="BA119" i="3"/>
  <c r="BL120" i="3"/>
  <c r="G121" i="3"/>
  <c r="BA123" i="3"/>
  <c r="BL124" i="3"/>
  <c r="AZ124" i="3" s="1"/>
  <c r="G125" i="3"/>
  <c r="BA127" i="3"/>
  <c r="AZ127" i="3" s="1"/>
  <c r="BL128" i="3"/>
  <c r="AZ128" i="3" s="1"/>
  <c r="G129" i="3"/>
  <c r="BA131" i="3"/>
  <c r="BL132" i="3"/>
  <c r="G133" i="3"/>
  <c r="BA135" i="3"/>
  <c r="AZ135" i="3" s="1"/>
  <c r="BL136" i="3"/>
  <c r="G137" i="3"/>
  <c r="BA139" i="3"/>
  <c r="AZ139" i="3" s="1"/>
  <c r="BL140" i="3"/>
  <c r="AZ140" i="3"/>
  <c r="G141" i="3"/>
  <c r="BA143" i="3"/>
  <c r="BL144" i="3"/>
  <c r="G145" i="3"/>
  <c r="BA147" i="3"/>
  <c r="AZ147" i="3" s="1"/>
  <c r="BL148" i="3"/>
  <c r="AZ148" i="3" s="1"/>
  <c r="G149" i="3"/>
  <c r="BA151" i="3"/>
  <c r="BL152" i="3"/>
  <c r="G153" i="3"/>
  <c r="BA155" i="3"/>
  <c r="BL156" i="3"/>
  <c r="G157" i="3"/>
  <c r="BA159" i="3"/>
  <c r="AZ159" i="3" s="1"/>
  <c r="BL160" i="3"/>
  <c r="G161" i="3"/>
  <c r="BA163" i="3"/>
  <c r="BL164" i="3"/>
  <c r="G165" i="3"/>
  <c r="BA167" i="3"/>
  <c r="BL168" i="3"/>
  <c r="G169" i="3"/>
  <c r="BA171" i="3"/>
  <c r="BL172" i="3"/>
  <c r="AZ172" i="3"/>
  <c r="G173" i="3"/>
  <c r="BA175" i="3"/>
  <c r="AZ175" i="3" s="1"/>
  <c r="BL176" i="3"/>
  <c r="G177" i="3"/>
  <c r="BA179" i="3"/>
  <c r="AZ179" i="3" s="1"/>
  <c r="BL180" i="3"/>
  <c r="G181" i="3"/>
  <c r="BA183" i="3"/>
  <c r="BL184" i="3"/>
  <c r="G185" i="3"/>
  <c r="BA187" i="3"/>
  <c r="BL188" i="3"/>
  <c r="G189" i="3"/>
  <c r="BA191" i="3"/>
  <c r="BL192" i="3"/>
  <c r="G193" i="3"/>
  <c r="BA195" i="3"/>
  <c r="AZ195" i="3" s="1"/>
  <c r="BL196" i="3"/>
  <c r="AZ196" i="3" s="1"/>
  <c r="G197" i="3"/>
  <c r="BA199" i="3"/>
  <c r="AZ199" i="3" s="1"/>
  <c r="BL200" i="3"/>
  <c r="G201" i="3"/>
  <c r="BA203" i="3"/>
  <c r="BL204" i="3"/>
  <c r="AZ144" i="3"/>
  <c r="AZ176" i="3"/>
  <c r="G530" i="3"/>
  <c r="G522" i="3"/>
  <c r="G516" i="3"/>
  <c r="G512" i="3"/>
  <c r="G506" i="3"/>
  <c r="G498" i="3"/>
  <c r="G494" i="3"/>
  <c r="G16" i="3"/>
  <c r="G15" i="3"/>
  <c r="BA304" i="3"/>
  <c r="AZ304" i="3" s="1"/>
  <c r="BA305" i="3"/>
  <c r="BL305" i="3"/>
  <c r="AZ305" i="3" s="1"/>
  <c r="G306" i="3"/>
  <c r="G309" i="3"/>
  <c r="BL310" i="3"/>
  <c r="BA312" i="3"/>
  <c r="BA313" i="3"/>
  <c r="BL313" i="3"/>
  <c r="G314" i="3"/>
  <c r="G317" i="3"/>
  <c r="BL318" i="3"/>
  <c r="AZ318" i="3" s="1"/>
  <c r="BA320" i="3"/>
  <c r="BA321" i="3"/>
  <c r="BL321" i="3"/>
  <c r="AZ321" i="3" s="1"/>
  <c r="G322" i="3"/>
  <c r="G325" i="3"/>
  <c r="BL326" i="3"/>
  <c r="BA328" i="3"/>
  <c r="BA329" i="3"/>
  <c r="BL329" i="3"/>
  <c r="AZ329" i="3" s="1"/>
  <c r="G330" i="3"/>
  <c r="G333" i="3"/>
  <c r="BL334" i="3"/>
  <c r="BA336" i="3"/>
  <c r="BA337" i="3"/>
  <c r="AZ337" i="3"/>
  <c r="BL337" i="3"/>
  <c r="G338" i="3"/>
  <c r="G341" i="3"/>
  <c r="BA342" i="3"/>
  <c r="AZ342" i="3" s="1"/>
  <c r="BL342" i="3"/>
  <c r="BA344" i="3"/>
  <c r="BL344" i="3"/>
  <c r="AZ344" i="3" s="1"/>
  <c r="BA346" i="3"/>
  <c r="AZ346" i="3" s="1"/>
  <c r="BA347" i="3"/>
  <c r="BL347" i="3"/>
  <c r="G350" i="3"/>
  <c r="BA351" i="3"/>
  <c r="AZ351" i="3" s="1"/>
  <c r="BL351" i="3"/>
  <c r="G352" i="3"/>
  <c r="G354" i="3"/>
  <c r="BA355" i="3"/>
  <c r="AZ355" i="3" s="1"/>
  <c r="BA356" i="3"/>
  <c r="BL356" i="3"/>
  <c r="AZ356" i="3" s="1"/>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AZ389" i="3"/>
  <c r="BA390" i="3"/>
  <c r="AZ390" i="3" s="1"/>
  <c r="BL390" i="3"/>
  <c r="G391" i="3"/>
  <c r="G394" i="3"/>
  <c r="AZ150" i="3"/>
  <c r="AZ170" i="3"/>
  <c r="BA16" i="3"/>
  <c r="BL303" i="3"/>
  <c r="G304" i="3"/>
  <c r="BA306" i="3"/>
  <c r="AZ306" i="3"/>
  <c r="BL307" i="3"/>
  <c r="G308" i="3"/>
  <c r="BA310" i="3"/>
  <c r="AZ310" i="3"/>
  <c r="BL311" i="3"/>
  <c r="G312" i="3"/>
  <c r="BA314" i="3"/>
  <c r="BL315" i="3"/>
  <c r="G316" i="3"/>
  <c r="BA318" i="3"/>
  <c r="BL319" i="3"/>
  <c r="AZ319" i="3" s="1"/>
  <c r="G320" i="3"/>
  <c r="BA322" i="3"/>
  <c r="BL323" i="3"/>
  <c r="G324" i="3"/>
  <c r="BA326" i="3"/>
  <c r="BL327" i="3"/>
  <c r="G328" i="3"/>
  <c r="BA330" i="3"/>
  <c r="AZ330" i="3" s="1"/>
  <c r="BL331" i="3"/>
  <c r="G332" i="3"/>
  <c r="BA334" i="3"/>
  <c r="BL335" i="3"/>
  <c r="G336" i="3"/>
  <c r="BA338" i="3"/>
  <c r="AZ338" i="3" s="1"/>
  <c r="BL339" i="3"/>
  <c r="AZ339" i="3" s="1"/>
  <c r="G340" i="3"/>
  <c r="BL343" i="3"/>
  <c r="G344" i="3"/>
  <c r="G348" i="3"/>
  <c r="G355" i="3"/>
  <c r="AZ214" i="3"/>
  <c r="G342" i="3"/>
  <c r="BL345" i="3"/>
  <c r="G346" i="3"/>
  <c r="BL349" i="3"/>
  <c r="AZ349" i="3"/>
  <c r="BL352" i="3"/>
  <c r="AZ352" i="3" s="1"/>
  <c r="G353" i="3"/>
  <c r="BA357" i="3"/>
  <c r="AZ357" i="3"/>
  <c r="BL358" i="3"/>
  <c r="G359" i="3"/>
  <c r="BA361" i="3"/>
  <c r="AZ361" i="3" s="1"/>
  <c r="BL362" i="3"/>
  <c r="G363" i="3"/>
  <c r="BA365" i="3"/>
  <c r="BL366" i="3"/>
  <c r="G367" i="3"/>
  <c r="BA369" i="3"/>
  <c r="AZ369" i="3" s="1"/>
  <c r="BL370" i="3"/>
  <c r="AZ370" i="3" s="1"/>
  <c r="G371" i="3"/>
  <c r="BA373" i="3"/>
  <c r="BL374" i="3"/>
  <c r="G375" i="3"/>
  <c r="BA377" i="3"/>
  <c r="AZ377" i="3" s="1"/>
  <c r="BA379" i="3"/>
  <c r="AZ379" i="3"/>
  <c r="BL380" i="3"/>
  <c r="G381" i="3"/>
  <c r="BA383" i="3"/>
  <c r="BL384" i="3"/>
  <c r="G385" i="3"/>
  <c r="BA387" i="3"/>
  <c r="AZ387" i="3"/>
  <c r="BL388" i="3"/>
  <c r="G389" i="3"/>
  <c r="BA391" i="3"/>
  <c r="AZ391" i="3"/>
  <c r="BL392" i="3"/>
  <c r="G393" i="3"/>
  <c r="AZ275" i="3"/>
  <c r="BO5" i="3"/>
  <c r="BH5" i="3"/>
  <c r="BF5" i="3"/>
  <c r="AZ325" i="3"/>
  <c r="G548" i="3"/>
  <c r="G538" i="3"/>
  <c r="G520" i="3"/>
  <c r="G502" i="3"/>
  <c r="BS5" i="3"/>
  <c r="BP5" i="3"/>
  <c r="G29" i="6" s="1"/>
  <c r="AZ343" i="3"/>
  <c r="BK5" i="3"/>
  <c r="BI5" i="3"/>
  <c r="G17" i="3"/>
  <c r="BA17" i="3"/>
  <c r="AZ364" i="3"/>
  <c r="BA15" i="3"/>
  <c r="AZ15" i="3"/>
  <c r="BR5" i="3"/>
  <c r="AZ384" i="3"/>
  <c r="AZ388" i="3"/>
  <c r="BL493" i="3"/>
  <c r="AZ382" i="3"/>
  <c r="U36" i="40"/>
  <c r="F83" i="43"/>
  <c r="H85" i="43" s="1"/>
  <c r="F50" i="43"/>
  <c r="H54" i="43" s="1"/>
  <c r="F72" i="43"/>
  <c r="H75" i="43" s="1"/>
  <c r="U17" i="39"/>
  <c r="U43" i="21"/>
  <c r="U35" i="21"/>
  <c r="AC35" i="21"/>
  <c r="G10" i="1"/>
  <c r="W37" i="37"/>
  <c r="W44" i="34"/>
  <c r="AC44" i="34"/>
  <c r="U13" i="37"/>
  <c r="U12" i="40"/>
  <c r="J37" i="33"/>
  <c r="W37" i="33"/>
  <c r="F106" i="33"/>
  <c r="G106" i="33" s="1"/>
  <c r="H106" i="33" s="1"/>
  <c r="I106" i="33" s="1"/>
  <c r="J106" i="33" s="1"/>
  <c r="K106" i="33" s="1"/>
  <c r="L106" i="33" s="1"/>
  <c r="M106" i="33" s="1"/>
  <c r="J34" i="33"/>
  <c r="W34" i="33" s="1"/>
  <c r="F33" i="34"/>
  <c r="S33" i="34" s="1"/>
  <c r="H20" i="36"/>
  <c r="AB20" i="36" s="1"/>
  <c r="U20" i="36"/>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J27" i="40"/>
  <c r="AC27" i="40" s="1"/>
  <c r="F27" i="40"/>
  <c r="S27" i="40" s="1"/>
  <c r="J30" i="40"/>
  <c r="F30" i="40"/>
  <c r="S30" i="40" s="1"/>
  <c r="AC21" i="40"/>
  <c r="S31" i="39"/>
  <c r="S11" i="40"/>
  <c r="E98" i="40"/>
  <c r="F98" i="40" s="1"/>
  <c r="G98" i="40" s="1"/>
  <c r="H98" i="40" s="1"/>
  <c r="I98" i="40" s="1"/>
  <c r="J98" i="40" s="1"/>
  <c r="K98" i="40" s="1"/>
  <c r="L98" i="40" s="1"/>
  <c r="M98" i="40" s="1"/>
  <c r="F10" i="33"/>
  <c r="S10" i="33" s="1"/>
  <c r="F34" i="33"/>
  <c r="H34" i="33"/>
  <c r="U34" i="33" s="1"/>
  <c r="F35" i="33"/>
  <c r="AA35" i="33" s="1"/>
  <c r="F39" i="34"/>
  <c r="S39" i="34" s="1"/>
  <c r="J39" i="34"/>
  <c r="F40" i="34"/>
  <c r="S40" i="34" s="1"/>
  <c r="F43" i="34"/>
  <c r="AA43" i="34" s="1"/>
  <c r="H44" i="34"/>
  <c r="AB44" i="34" s="1"/>
  <c r="AC38" i="39"/>
  <c r="F39" i="39"/>
  <c r="S39" i="39" s="1"/>
  <c r="J39" i="39"/>
  <c r="AC39" i="39" s="1"/>
  <c r="E96" i="39"/>
  <c r="F96" i="39" s="1"/>
  <c r="G96" i="39" s="1"/>
  <c r="C40" i="11"/>
  <c r="AZ259" i="3"/>
  <c r="AZ61" i="3"/>
  <c r="AZ86" i="3"/>
  <c r="F23" i="39"/>
  <c r="AA23" i="39" s="1"/>
  <c r="H27" i="36"/>
  <c r="U27" i="36" s="1"/>
  <c r="F27" i="36"/>
  <c r="AA27" i="36" s="1"/>
  <c r="H33" i="34"/>
  <c r="U33" i="34" s="1"/>
  <c r="F32" i="37"/>
  <c r="S32" i="37" s="1"/>
  <c r="AA32" i="37"/>
  <c r="F20" i="36"/>
  <c r="AA20" i="36" s="1"/>
  <c r="J33" i="34"/>
  <c r="AC33" i="34" s="1"/>
  <c r="H23" i="39"/>
  <c r="U23" i="39" s="1"/>
  <c r="D48" i="9"/>
  <c r="M52" i="9" s="1"/>
  <c r="K9" i="1"/>
  <c r="M9" i="1" s="1"/>
  <c r="AB34" i="36"/>
  <c r="U34" i="36"/>
  <c r="AB33" i="36"/>
  <c r="U33" i="36"/>
  <c r="AC12" i="39"/>
  <c r="W12" i="39"/>
  <c r="AZ433" i="3"/>
  <c r="W12" i="33"/>
  <c r="AC12" i="33"/>
  <c r="AA32" i="36"/>
  <c r="S32" i="36"/>
  <c r="AZ437" i="3"/>
  <c r="BL14" i="3"/>
  <c r="U30" i="33"/>
  <c r="AC13" i="34"/>
  <c r="AA47" i="34"/>
  <c r="W28" i="37"/>
  <c r="S19" i="39"/>
  <c r="F12" i="33"/>
  <c r="H12" i="39"/>
  <c r="U12" i="39" s="1"/>
  <c r="AB12" i="39"/>
  <c r="F39" i="40"/>
  <c r="S39" i="40" s="1"/>
  <c r="BA14" i="3"/>
  <c r="AZ254" i="3"/>
  <c r="AZ157" i="3"/>
  <c r="AZ35" i="3"/>
  <c r="B12" i="1"/>
  <c r="E12" i="1" s="1"/>
  <c r="B10" i="1"/>
  <c r="E10" i="1" s="1"/>
  <c r="K12" i="1"/>
  <c r="M12" i="1" s="1"/>
  <c r="S13" i="1"/>
  <c r="AR13" i="1" s="1"/>
  <c r="R13" i="1"/>
  <c r="J51" i="67"/>
  <c r="C42" i="1"/>
  <c r="AC34" i="33"/>
  <c r="AB37" i="40"/>
  <c r="S35" i="40"/>
  <c r="S23" i="40"/>
  <c r="AC17" i="40"/>
  <c r="AC15" i="40"/>
  <c r="AA19" i="40"/>
  <c r="S28" i="40"/>
  <c r="U37" i="39"/>
  <c r="S43" i="39"/>
  <c r="S37" i="39"/>
  <c r="U35" i="39"/>
  <c r="F32" i="39"/>
  <c r="S32" i="39" s="1"/>
  <c r="F106" i="39"/>
  <c r="G106" i="39" s="1"/>
  <c r="H106" i="39" s="1"/>
  <c r="I106" i="39" s="1"/>
  <c r="J106" i="39" s="1"/>
  <c r="K106" i="39" s="1"/>
  <c r="L106" i="39" s="1"/>
  <c r="M106" i="39" s="1"/>
  <c r="AB27" i="39"/>
  <c r="J21" i="39"/>
  <c r="W21" i="39" s="1"/>
  <c r="F21" i="39"/>
  <c r="G94" i="39"/>
  <c r="H21" i="39"/>
  <c r="AB21" i="39" s="1"/>
  <c r="W19" i="39"/>
  <c r="U19" i="39"/>
  <c r="S17" i="39"/>
  <c r="S9" i="39"/>
  <c r="U14" i="39"/>
  <c r="AC13" i="39"/>
  <c r="U13" i="36"/>
  <c r="U26" i="36"/>
  <c r="S33" i="36"/>
  <c r="AA34" i="36"/>
  <c r="AC26" i="36"/>
  <c r="AA22" i="36"/>
  <c r="U22" i="36"/>
  <c r="S16" i="36"/>
  <c r="AA25" i="36"/>
  <c r="U24" i="36"/>
  <c r="U16" i="36"/>
  <c r="S14" i="36"/>
  <c r="S23" i="35"/>
  <c r="W24" i="35"/>
  <c r="U29" i="35"/>
  <c r="U28" i="35"/>
  <c r="AB27" i="35"/>
  <c r="U36" i="35"/>
  <c r="U32" i="35"/>
  <c r="AC30" i="35"/>
  <c r="S32" i="35"/>
  <c r="AA36" i="35"/>
  <c r="S28" i="35"/>
  <c r="AB16" i="35"/>
  <c r="U22" i="35"/>
  <c r="S20" i="35"/>
  <c r="S22" i="35"/>
  <c r="U14" i="35"/>
  <c r="AA11" i="35"/>
  <c r="AC9" i="35"/>
  <c r="W9" i="35"/>
  <c r="AC12" i="35"/>
  <c r="W13" i="35"/>
  <c r="F9" i="35"/>
  <c r="S9" i="35" s="1"/>
  <c r="H9" i="35"/>
  <c r="U9" i="35" s="1"/>
  <c r="S26" i="37"/>
  <c r="AC29" i="37"/>
  <c r="U29" i="37"/>
  <c r="AB31" i="37"/>
  <c r="W30" i="37"/>
  <c r="S36" i="37"/>
  <c r="W38" i="37"/>
  <c r="AC35" i="37"/>
  <c r="W39" i="37"/>
  <c r="S30" i="37"/>
  <c r="S37" i="37"/>
  <c r="AC15" i="37"/>
  <c r="J17" i="37"/>
  <c r="G73" i="37"/>
  <c r="F17" i="37"/>
  <c r="AA17" i="37" s="1"/>
  <c r="AB17" i="37"/>
  <c r="F75" i="37"/>
  <c r="F19" i="37"/>
  <c r="S19" i="37" s="1"/>
  <c r="F79" i="37"/>
  <c r="F23" i="37"/>
  <c r="U15" i="37"/>
  <c r="AC13" i="37"/>
  <c r="AA13" i="37"/>
  <c r="H10" i="37"/>
  <c r="AB10" i="37" s="1"/>
  <c r="F63" i="37"/>
  <c r="F11" i="37"/>
  <c r="S11" i="37" s="1"/>
  <c r="AB8" i="34"/>
  <c r="U43" i="34"/>
  <c r="W41" i="34"/>
  <c r="AC42" i="34"/>
  <c r="U39" i="34"/>
  <c r="U28" i="34"/>
  <c r="AA29" i="34"/>
  <c r="U15" i="34"/>
  <c r="S13" i="34"/>
  <c r="H10" i="34"/>
  <c r="AB10" i="34" s="1"/>
  <c r="F11" i="34"/>
  <c r="S11" i="34" s="1"/>
  <c r="F70" i="34"/>
  <c r="W42" i="33"/>
  <c r="S32" i="33"/>
  <c r="AA29" i="33"/>
  <c r="W38" i="33"/>
  <c r="H41" i="33"/>
  <c r="AB41" i="33" s="1"/>
  <c r="F121" i="33"/>
  <c r="G121" i="33" s="1"/>
  <c r="H121" i="33" s="1"/>
  <c r="I121" i="33" s="1"/>
  <c r="J121" i="33" s="1"/>
  <c r="K121" i="33" s="1"/>
  <c r="L121" i="33" s="1"/>
  <c r="M121" i="33" s="1"/>
  <c r="U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F91" i="33"/>
  <c r="G91" i="33" s="1"/>
  <c r="H91" i="33" s="1"/>
  <c r="I91" i="33" s="1"/>
  <c r="J91" i="33" s="1"/>
  <c r="K91" i="33" s="1"/>
  <c r="L91" i="33" s="1"/>
  <c r="M91" i="33" s="1"/>
  <c r="H27" i="33"/>
  <c r="AB27" i="33" s="1"/>
  <c r="H25" i="33"/>
  <c r="F25" i="33"/>
  <c r="J23" i="33"/>
  <c r="AC23" i="33" s="1"/>
  <c r="F85" i="33"/>
  <c r="H23" i="33"/>
  <c r="F81" i="33"/>
  <c r="F19" i="33"/>
  <c r="S19" i="33" s="1"/>
  <c r="W19" i="33"/>
  <c r="J17" i="33"/>
  <c r="W17" i="33" s="1"/>
  <c r="F79" i="33"/>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G85" i="21" s="1"/>
  <c r="AA14" i="21"/>
  <c r="F34" i="67"/>
  <c r="F62" i="67" s="1"/>
  <c r="M20" i="67"/>
  <c r="F34" i="15"/>
  <c r="F62" i="15" s="1"/>
  <c r="G13" i="3"/>
  <c r="BL17" i="3"/>
  <c r="AZ17" i="3" s="1"/>
  <c r="BL13" i="3"/>
  <c r="J56" i="9"/>
  <c r="J57" i="9" s="1"/>
  <c r="J59" i="9" s="1"/>
  <c r="J61" i="9" s="1"/>
  <c r="U29" i="34"/>
  <c r="E5" i="6"/>
  <c r="E32" i="6"/>
  <c r="G1" i="68"/>
  <c r="K1" i="12"/>
  <c r="E19" i="69"/>
  <c r="E19" i="68"/>
  <c r="E19" i="11"/>
  <c r="E1" i="73"/>
  <c r="G22" i="11"/>
  <c r="C6" i="43"/>
  <c r="B19" i="53"/>
  <c r="B37" i="72" s="1"/>
  <c r="C7" i="39"/>
  <c r="C67" i="39" s="1"/>
  <c r="C7" i="35"/>
  <c r="C48" i="35" s="1"/>
  <c r="D48" i="35" s="1"/>
  <c r="C7" i="33"/>
  <c r="C7" i="21"/>
  <c r="C7" i="40"/>
  <c r="C63" i="40" s="1"/>
  <c r="M47" i="9"/>
  <c r="G23" i="43"/>
  <c r="C52" i="37"/>
  <c r="D52" i="37" s="1"/>
  <c r="A4" i="51"/>
  <c r="B6" i="72" s="1"/>
  <c r="L20" i="6"/>
  <c r="B6" i="1"/>
  <c r="E6" i="1" s="1"/>
  <c r="K11" i="1"/>
  <c r="M11" i="1" s="1"/>
  <c r="O11" i="1" s="1"/>
  <c r="B9" i="1"/>
  <c r="E9" i="1" s="1"/>
  <c r="K7" i="1"/>
  <c r="M7" i="1" s="1"/>
  <c r="O7" i="1" s="1"/>
  <c r="P7" i="1" s="1"/>
  <c r="G1" i="15"/>
  <c r="G1" i="69"/>
  <c r="G1" i="67"/>
  <c r="W23" i="40"/>
  <c r="AB31" i="40"/>
  <c r="AB28" i="40"/>
  <c r="W28" i="40"/>
  <c r="W34" i="40"/>
  <c r="W19" i="40"/>
  <c r="W27" i="40"/>
  <c r="S36" i="40"/>
  <c r="W37" i="40"/>
  <c r="AC14" i="40"/>
  <c r="S13" i="40"/>
  <c r="S33" i="40"/>
  <c r="AA15" i="40"/>
  <c r="U11" i="40"/>
  <c r="U15" i="40"/>
  <c r="U8" i="40"/>
  <c r="S8" i="40"/>
  <c r="AA39" i="39"/>
  <c r="AC41" i="39"/>
  <c r="U42" i="39"/>
  <c r="U41" i="39"/>
  <c r="AC25" i="39"/>
  <c r="U13" i="39"/>
  <c r="AB13" i="39"/>
  <c r="AA13" i="39"/>
  <c r="S13" i="39"/>
  <c r="S14" i="39"/>
  <c r="AA14" i="39"/>
  <c r="AB43" i="39"/>
  <c r="U11" i="39"/>
  <c r="AA27" i="39"/>
  <c r="S27" i="39"/>
  <c r="W17" i="39"/>
  <c r="AC17" i="39"/>
  <c r="W31" i="39"/>
  <c r="AC31" i="39"/>
  <c r="AA45" i="39"/>
  <c r="AB39" i="39"/>
  <c r="W34" i="39"/>
  <c r="U38" i="39"/>
  <c r="S8" i="39"/>
  <c r="U32" i="36"/>
  <c r="U25" i="36"/>
  <c r="AB28" i="36"/>
  <c r="AA13" i="36"/>
  <c r="W9" i="36"/>
  <c r="W22" i="36"/>
  <c r="S9" i="36"/>
  <c r="AB20" i="35"/>
  <c r="AC25" i="35"/>
  <c r="U25" i="35"/>
  <c r="S24" i="35"/>
  <c r="U24" i="35"/>
  <c r="S35" i="35"/>
  <c r="W35" i="35"/>
  <c r="AA16" i="35"/>
  <c r="AA35" i="37"/>
  <c r="S27" i="37"/>
  <c r="S28" i="37"/>
  <c r="W32" i="37"/>
  <c r="U36" i="37"/>
  <c r="S40" i="37"/>
  <c r="U38" i="37"/>
  <c r="AB37" i="37"/>
  <c r="AC34" i="37"/>
  <c r="AB35" i="37"/>
  <c r="AA31" i="37"/>
  <c r="U19" i="37"/>
  <c r="AA29" i="37"/>
  <c r="U8" i="37"/>
  <c r="AB40" i="34"/>
  <c r="AA31" i="34"/>
  <c r="AB47" i="34"/>
  <c r="AB36" i="34"/>
  <c r="AC14" i="34"/>
  <c r="AC32" i="34"/>
  <c r="AC29" i="34"/>
  <c r="AB30" i="34"/>
  <c r="AC40" i="34"/>
  <c r="W40" i="34"/>
  <c r="AA36" i="34"/>
  <c r="S36" i="34"/>
  <c r="AA8" i="34"/>
  <c r="S8" i="34"/>
  <c r="U32" i="34"/>
  <c r="AB32" i="34"/>
  <c r="U14" i="34"/>
  <c r="AB14" i="34"/>
  <c r="AC35" i="34"/>
  <c r="W35" i="34"/>
  <c r="AB28" i="33"/>
  <c r="AC37" i="33"/>
  <c r="W46" i="33"/>
  <c r="U39" i="33"/>
  <c r="U38" i="33"/>
  <c r="S33" i="33"/>
  <c r="AB34" i="33"/>
  <c r="U44" i="33"/>
  <c r="AB44" i="33"/>
  <c r="AC14" i="33"/>
  <c r="W14" i="33"/>
  <c r="AC30" i="33"/>
  <c r="W30" i="33"/>
  <c r="S31" i="33"/>
  <c r="U15" i="33"/>
  <c r="S11" i="33"/>
  <c r="U37" i="33"/>
  <c r="AC28" i="33"/>
  <c r="S28" i="33"/>
  <c r="W9" i="33"/>
  <c r="W8" i="33"/>
  <c r="AB42" i="21"/>
  <c r="U28" i="21"/>
  <c r="S45" i="21"/>
  <c r="I101" i="21"/>
  <c r="J101" i="21" s="1"/>
  <c r="K101" i="21" s="1"/>
  <c r="L101" i="21" s="1"/>
  <c r="M101" i="21" s="1"/>
  <c r="F33" i="21"/>
  <c r="AA33" i="21" s="1"/>
  <c r="J33" i="21"/>
  <c r="AC33" i="21" s="1"/>
  <c r="H33" i="21"/>
  <c r="AB33" i="21" s="1"/>
  <c r="F37" i="21"/>
  <c r="AA37" i="21" s="1"/>
  <c r="AA26" i="21"/>
  <c r="AB14" i="21"/>
  <c r="U40" i="21"/>
  <c r="AB31" i="21"/>
  <c r="U31" i="21"/>
  <c r="U13" i="21"/>
  <c r="AB13" i="21"/>
  <c r="S35" i="21"/>
  <c r="J37" i="21"/>
  <c r="W37" i="21" s="1"/>
  <c r="H15" i="21"/>
  <c r="U15" i="21" s="1"/>
  <c r="J17" i="21"/>
  <c r="AC17" i="21" s="1"/>
  <c r="AC19" i="21"/>
  <c r="W39" i="21"/>
  <c r="AC14" i="21"/>
  <c r="W30" i="21"/>
  <c r="S46" i="21"/>
  <c r="H45" i="21"/>
  <c r="U45" i="21" s="1"/>
  <c r="F29" i="21"/>
  <c r="S29" i="21" s="1"/>
  <c r="F13" i="21"/>
  <c r="S13" i="21" s="1"/>
  <c r="AA13" i="21"/>
  <c r="AC38" i="21"/>
  <c r="H32" i="21"/>
  <c r="AB32" i="21" s="1"/>
  <c r="H9" i="21"/>
  <c r="AB9" i="21" s="1"/>
  <c r="J9" i="21"/>
  <c r="AC9" i="21" s="1"/>
  <c r="J32" i="21"/>
  <c r="W32" i="21" s="1"/>
  <c r="F32" i="21"/>
  <c r="AA31" i="21"/>
  <c r="U17" i="21"/>
  <c r="W29" i="21"/>
  <c r="S19" i="21"/>
  <c r="S9" i="21"/>
  <c r="AA9" i="21"/>
  <c r="K141" i="21"/>
  <c r="K144" i="21"/>
  <c r="K143" i="21"/>
  <c r="U27" i="21"/>
  <c r="AB44" i="21"/>
  <c r="AA30" i="21"/>
  <c r="W13" i="21"/>
  <c r="W42" i="21"/>
  <c r="AC45" i="21"/>
  <c r="F10" i="21"/>
  <c r="AA10" i="21" s="1"/>
  <c r="K145" i="21"/>
  <c r="W31" i="21"/>
  <c r="S27" i="21"/>
  <c r="S17" i="21"/>
  <c r="AA15" i="21"/>
  <c r="AC27" i="21"/>
  <c r="AC26" i="21"/>
  <c r="AB29" i="21"/>
  <c r="S28" i="21"/>
  <c r="AC34" i="21"/>
  <c r="W12" i="21"/>
  <c r="AB36" i="21"/>
  <c r="C19" i="39"/>
  <c r="C15" i="40"/>
  <c r="C17" i="40"/>
  <c r="C23" i="40"/>
  <c r="C21" i="40"/>
  <c r="U30" i="40"/>
  <c r="B56" i="43"/>
  <c r="B67" i="43"/>
  <c r="B51" i="43"/>
  <c r="B54" i="43"/>
  <c r="B58" i="43"/>
  <c r="B62" i="43"/>
  <c r="B65" i="43"/>
  <c r="B69" i="43"/>
  <c r="D23" i="15"/>
  <c r="D22" i="15"/>
  <c r="E4" i="4"/>
  <c r="B5" i="62" s="1"/>
  <c r="B73" i="72" s="1"/>
  <c r="C4" i="4"/>
  <c r="AA39" i="40"/>
  <c r="S12" i="33"/>
  <c r="AA12" i="33"/>
  <c r="J32" i="39"/>
  <c r="W32" i="39" s="1"/>
  <c r="H32" i="39"/>
  <c r="AA32" i="39"/>
  <c r="U21" i="39"/>
  <c r="AA21" i="39"/>
  <c r="S21" i="39"/>
  <c r="J19" i="37"/>
  <c r="AC19" i="37" s="1"/>
  <c r="G75" i="37"/>
  <c r="AA19"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W35" i="33"/>
  <c r="AC35" i="33"/>
  <c r="J36" i="33"/>
  <c r="W36" i="33" s="1"/>
  <c r="H36" i="33"/>
  <c r="U36" i="33" s="1"/>
  <c r="W32" i="33"/>
  <c r="U27" i="33"/>
  <c r="J27" i="33"/>
  <c r="AC27" i="33" s="1"/>
  <c r="S25" i="33"/>
  <c r="AA25" i="33"/>
  <c r="G87" i="33"/>
  <c r="H87" i="33"/>
  <c r="I87" i="33"/>
  <c r="J87" i="33" s="1"/>
  <c r="K87" i="33" s="1"/>
  <c r="L87" i="33" s="1"/>
  <c r="M87" i="33" s="1"/>
  <c r="J25" i="33"/>
  <c r="F23" i="33"/>
  <c r="AA23" i="33" s="1"/>
  <c r="G85" i="33"/>
  <c r="W23" i="33"/>
  <c r="AA19" i="33"/>
  <c r="H19" i="33"/>
  <c r="AB19" i="33" s="1"/>
  <c r="G81" i="33"/>
  <c r="G79" i="33"/>
  <c r="H17" i="33"/>
  <c r="U17" i="33" s="1"/>
  <c r="F17" i="33"/>
  <c r="S17" i="33" s="1"/>
  <c r="S37" i="21"/>
  <c r="J23" i="21"/>
  <c r="AC23" i="21" s="1"/>
  <c r="H23" i="21"/>
  <c r="AP7" i="1"/>
  <c r="AA32" i="21"/>
  <c r="S32" i="21"/>
  <c r="U32" i="21"/>
  <c r="AC32" i="39"/>
  <c r="AC23" i="37"/>
  <c r="J63" i="37"/>
  <c r="K63" i="37" s="1"/>
  <c r="L63" i="37" s="1"/>
  <c r="M63" i="37" s="1"/>
  <c r="J11" i="37"/>
  <c r="AC11" i="37" s="1"/>
  <c r="J11" i="34"/>
  <c r="W11" i="34" s="1"/>
  <c r="W27" i="33"/>
  <c r="W25" i="33"/>
  <c r="AC25" i="33"/>
  <c r="AB17" i="33"/>
  <c r="W23" i="21"/>
  <c r="H109" i="9"/>
  <c r="M49" i="9" s="1"/>
  <c r="H112" i="9"/>
  <c r="D21" i="53"/>
  <c r="B39" i="72" s="1"/>
  <c r="H111" i="9"/>
  <c r="D126" i="9" s="1"/>
  <c r="AD3" i="71"/>
  <c r="J1" i="73"/>
  <c r="H69" i="43"/>
  <c r="G69" i="43" s="1"/>
  <c r="H50" i="43"/>
  <c r="C24" i="12"/>
  <c r="C22" i="7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AO13" i="1"/>
  <c r="F9" i="67"/>
  <c r="D34" i="9"/>
  <c r="M29" i="15"/>
  <c r="F3" i="73"/>
  <c r="B12" i="76"/>
  <c r="B10" i="76"/>
  <c r="F13" i="15"/>
  <c r="E2" i="68"/>
  <c r="F16" i="15"/>
  <c r="F7" i="73"/>
  <c r="F42" i="67"/>
  <c r="D35" i="9"/>
  <c r="F20" i="31"/>
  <c r="F6" i="73"/>
  <c r="M6" i="15"/>
  <c r="F37" i="15"/>
  <c r="B9" i="76"/>
  <c r="F4" i="73"/>
  <c r="F13" i="67"/>
  <c r="F26" i="67"/>
  <c r="F5" i="73"/>
  <c r="E11" i="76"/>
  <c r="F36" i="67"/>
  <c r="M22" i="15"/>
  <c r="B13" i="76"/>
  <c r="L48" i="15"/>
  <c r="F26" i="15"/>
  <c r="E7" i="76"/>
  <c r="B11" i="76"/>
  <c r="B7" i="76"/>
  <c r="F43" i="15"/>
  <c r="F40" i="15"/>
  <c r="M28" i="15"/>
  <c r="B8" i="76"/>
  <c r="F7" i="15"/>
  <c r="E8" i="76"/>
  <c r="E13" i="76"/>
  <c r="M8" i="67"/>
  <c r="E9" i="76"/>
  <c r="E10" i="76"/>
  <c r="E12" i="76"/>
  <c r="M22" i="67"/>
  <c r="F16" i="67"/>
  <c r="L47" i="15"/>
  <c r="F86" i="34" l="1"/>
  <c r="G86" i="34" s="1"/>
  <c r="H23" i="34"/>
  <c r="U23" i="34" s="1"/>
  <c r="F23" i="34"/>
  <c r="J23" i="34"/>
  <c r="W23" i="34" s="1"/>
  <c r="AC45" i="34"/>
  <c r="AB45" i="34"/>
  <c r="U23" i="21"/>
  <c r="AB23" i="21"/>
  <c r="U27" i="40"/>
  <c r="AB27" i="40"/>
  <c r="AZ541" i="3"/>
  <c r="AZ532" i="3"/>
  <c r="AZ530" i="3"/>
  <c r="AZ509" i="3"/>
  <c r="AC30" i="40"/>
  <c r="W30" i="40"/>
  <c r="AC17" i="33"/>
  <c r="AB32" i="39"/>
  <c r="U32" i="39"/>
  <c r="AB45" i="21"/>
  <c r="W17" i="37"/>
  <c r="AC17" i="37"/>
  <c r="AC39" i="34"/>
  <c r="W39" i="34"/>
  <c r="S34" i="33"/>
  <c r="AA34" i="33"/>
  <c r="AB23" i="33"/>
  <c r="U23" i="33"/>
  <c r="AB25" i="33"/>
  <c r="U25" i="33"/>
  <c r="S23" i="37"/>
  <c r="AA23" i="37"/>
  <c r="AZ525" i="3"/>
  <c r="AZ534" i="3"/>
  <c r="AA28" i="34"/>
  <c r="S28" i="34"/>
  <c r="BL586" i="3"/>
  <c r="BA586" i="3"/>
  <c r="BL585" i="3"/>
  <c r="AZ585" i="3" s="1"/>
  <c r="J24" i="36"/>
  <c r="F24" i="36"/>
  <c r="J38" i="40"/>
  <c r="F38" i="40"/>
  <c r="H38" i="40"/>
  <c r="S41" i="21"/>
  <c r="AA41" i="21"/>
  <c r="BA548" i="3"/>
  <c r="BA543" i="3"/>
  <c r="AZ543" i="3" s="1"/>
  <c r="BL542" i="3"/>
  <c r="BA542" i="3"/>
  <c r="BL535" i="3"/>
  <c r="BA535" i="3"/>
  <c r="BL531" i="3"/>
  <c r="AZ531" i="3" s="1"/>
  <c r="BA528" i="3"/>
  <c r="AZ528" i="3" s="1"/>
  <c r="BA527" i="3"/>
  <c r="AZ527" i="3" s="1"/>
  <c r="BL526" i="3"/>
  <c r="AZ526" i="3" s="1"/>
  <c r="BA520" i="3"/>
  <c r="AZ520" i="3" s="1"/>
  <c r="BA515" i="3"/>
  <c r="BA512" i="3"/>
  <c r="AZ512" i="3" s="1"/>
  <c r="BA506" i="3"/>
  <c r="BL504" i="3"/>
  <c r="AZ504" i="3" s="1"/>
  <c r="BA503" i="3"/>
  <c r="BL498" i="3"/>
  <c r="BA498" i="3"/>
  <c r="BA493" i="3"/>
  <c r="AZ493" i="3" s="1"/>
  <c r="AA30" i="33"/>
  <c r="AC25" i="36"/>
  <c r="U32" i="40"/>
  <c r="S27" i="33"/>
  <c r="M64" i="43"/>
  <c r="N64" i="43" s="1"/>
  <c r="K64" i="43"/>
  <c r="J64" i="43" s="1"/>
  <c r="AB13" i="34"/>
  <c r="BQ5" i="3"/>
  <c r="AZ513" i="3"/>
  <c r="AZ539" i="3"/>
  <c r="AZ496" i="3"/>
  <c r="AZ508" i="3"/>
  <c r="AZ536" i="3"/>
  <c r="AC28" i="21"/>
  <c r="H13" i="40"/>
  <c r="W11" i="40"/>
  <c r="AC11" i="40"/>
  <c r="AA17" i="33"/>
  <c r="M69" i="43"/>
  <c r="N69" i="43" s="1"/>
  <c r="K69" i="43"/>
  <c r="J69" i="43" s="1"/>
  <c r="U19" i="33"/>
  <c r="U9" i="21"/>
  <c r="S17" i="37"/>
  <c r="W43" i="34"/>
  <c r="S31" i="40"/>
  <c r="D120" i="9"/>
  <c r="AA12" i="39"/>
  <c r="S17" i="40"/>
  <c r="AZ14" i="3"/>
  <c r="AA39" i="34"/>
  <c r="G509" i="3"/>
  <c r="BC5" i="3"/>
  <c r="AZ373" i="3"/>
  <c r="AZ372" i="3"/>
  <c r="AZ336" i="3"/>
  <c r="W47" i="34"/>
  <c r="U33" i="37"/>
  <c r="AA41" i="34"/>
  <c r="BL501" i="3"/>
  <c r="AZ566" i="3"/>
  <c r="AB35" i="33"/>
  <c r="U35" i="33"/>
  <c r="J13" i="33"/>
  <c r="F13" i="33"/>
  <c r="S13" i="33" s="1"/>
  <c r="F46" i="34"/>
  <c r="J46" i="34"/>
  <c r="AB34" i="35"/>
  <c r="U34" i="35"/>
  <c r="W27" i="35"/>
  <c r="AC27" i="35"/>
  <c r="AZ311" i="3"/>
  <c r="AB36" i="33"/>
  <c r="W25" i="21"/>
  <c r="AB25" i="21"/>
  <c r="AB46" i="21"/>
  <c r="W33" i="34"/>
  <c r="W36" i="37"/>
  <c r="W29" i="36"/>
  <c r="S23" i="39"/>
  <c r="AB17" i="40"/>
  <c r="S37" i="40"/>
  <c r="S43" i="33"/>
  <c r="S43" i="34"/>
  <c r="U23" i="37"/>
  <c r="AB40" i="37"/>
  <c r="AA25" i="35"/>
  <c r="AB14" i="36"/>
  <c r="S15" i="39"/>
  <c r="U31" i="39"/>
  <c r="AB19" i="40"/>
  <c r="AA32" i="40"/>
  <c r="AA12" i="40"/>
  <c r="BD5" i="3"/>
  <c r="BM5" i="3"/>
  <c r="AZ326" i="3"/>
  <c r="AZ347" i="3"/>
  <c r="AZ320" i="3"/>
  <c r="AZ313" i="3"/>
  <c r="AZ378" i="3"/>
  <c r="AZ309" i="3"/>
  <c r="AB33" i="40"/>
  <c r="W16" i="35"/>
  <c r="AC31" i="33"/>
  <c r="U43" i="33"/>
  <c r="BL503" i="3"/>
  <c r="BL537" i="3"/>
  <c r="AZ537" i="3" s="1"/>
  <c r="J13" i="40"/>
  <c r="AB31" i="34"/>
  <c r="H45" i="39"/>
  <c r="J45" i="39"/>
  <c r="AC41" i="33"/>
  <c r="W41" i="33"/>
  <c r="U31" i="36"/>
  <c r="J44" i="39"/>
  <c r="AC44" i="39" s="1"/>
  <c r="B94" i="43"/>
  <c r="B73" i="43"/>
  <c r="G552" i="3"/>
  <c r="G521" i="3"/>
  <c r="BL545" i="3"/>
  <c r="AZ545" i="3" s="1"/>
  <c r="AZ556" i="3"/>
  <c r="F25" i="37"/>
  <c r="J25" i="37"/>
  <c r="F44" i="39"/>
  <c r="G562" i="3"/>
  <c r="F26" i="33"/>
  <c r="J26" i="33"/>
  <c r="H26" i="37"/>
  <c r="J26" i="37"/>
  <c r="BA579" i="3"/>
  <c r="AZ579" i="3" s="1"/>
  <c r="BL578" i="3"/>
  <c r="BA578" i="3"/>
  <c r="BL576" i="3"/>
  <c r="AZ576" i="3" s="1"/>
  <c r="BA574" i="3"/>
  <c r="AZ574" i="3" s="1"/>
  <c r="BA571" i="3"/>
  <c r="AZ571" i="3" s="1"/>
  <c r="BA570" i="3"/>
  <c r="AZ570" i="3" s="1"/>
  <c r="AZ482" i="3"/>
  <c r="AC30" i="36"/>
  <c r="G582" i="3"/>
  <c r="G570" i="3"/>
  <c r="G558" i="3"/>
  <c r="BA524" i="3"/>
  <c r="AZ524" i="3" s="1"/>
  <c r="BL522" i="3"/>
  <c r="AZ522" i="3" s="1"/>
  <c r="BL518" i="3"/>
  <c r="BA518" i="3"/>
  <c r="AZ518" i="3" s="1"/>
  <c r="BA517" i="3"/>
  <c r="BA514" i="3"/>
  <c r="AZ514" i="3" s="1"/>
  <c r="G510" i="3"/>
  <c r="BA507" i="3"/>
  <c r="AZ507" i="3" s="1"/>
  <c r="BL502" i="3"/>
  <c r="AZ502" i="3" s="1"/>
  <c r="BL500" i="3"/>
  <c r="AZ500" i="3" s="1"/>
  <c r="BA499" i="3"/>
  <c r="G496" i="3"/>
  <c r="K6" i="1"/>
  <c r="C34" i="85"/>
  <c r="D3" i="85"/>
  <c r="C34" i="34"/>
  <c r="AH6" i="1"/>
  <c r="D33" i="43"/>
  <c r="D1" i="43" s="1"/>
  <c r="BL398" i="3"/>
  <c r="G400" i="3"/>
  <c r="BL400" i="3"/>
  <c r="AZ400" i="3" s="1"/>
  <c r="BL401" i="3"/>
  <c r="BL403" i="3"/>
  <c r="AZ403" i="3" s="1"/>
  <c r="G405" i="3"/>
  <c r="G407" i="3"/>
  <c r="BL407" i="3"/>
  <c r="AZ407" i="3" s="1"/>
  <c r="BL408" i="3"/>
  <c r="G410" i="3"/>
  <c r="BL410" i="3"/>
  <c r="AZ410" i="3" s="1"/>
  <c r="G412" i="3"/>
  <c r="G413" i="3"/>
  <c r="BL413" i="3"/>
  <c r="BL414" i="3"/>
  <c r="AZ414" i="3" s="1"/>
  <c r="G415" i="3"/>
  <c r="BA416" i="3"/>
  <c r="AZ416" i="3" s="1"/>
  <c r="BA417" i="3"/>
  <c r="BA422" i="3"/>
  <c r="BL425" i="3"/>
  <c r="BL430" i="3"/>
  <c r="BL434" i="3"/>
  <c r="BA438" i="3"/>
  <c r="G443" i="3"/>
  <c r="G446" i="3"/>
  <c r="BL447" i="3"/>
  <c r="BA449" i="3"/>
  <c r="BA450" i="3"/>
  <c r="AZ450" i="3" s="1"/>
  <c r="BA455" i="3"/>
  <c r="AZ455" i="3" s="1"/>
  <c r="BA458" i="3"/>
  <c r="BL460" i="3"/>
  <c r="AZ460" i="3" s="1"/>
  <c r="G462" i="3"/>
  <c r="BL464" i="3"/>
  <c r="BA469" i="3"/>
  <c r="AZ469" i="3" s="1"/>
  <c r="BA473" i="3"/>
  <c r="AZ473" i="3" s="1"/>
  <c r="BA475" i="3"/>
  <c r="BA476" i="3"/>
  <c r="BL479" i="3"/>
  <c r="BL480" i="3"/>
  <c r="BL482" i="3"/>
  <c r="G484" i="3"/>
  <c r="BL486" i="3"/>
  <c r="G488" i="3"/>
  <c r="G491" i="3"/>
  <c r="BA303" i="3"/>
  <c r="AZ303" i="3" s="1"/>
  <c r="BL314" i="3"/>
  <c r="AZ314" i="3" s="1"/>
  <c r="BL316" i="3"/>
  <c r="BL324" i="3"/>
  <c r="AZ324" i="3" s="1"/>
  <c r="BL333" i="3"/>
  <c r="AZ333" i="3" s="1"/>
  <c r="G349" i="3"/>
  <c r="BL350" i="3"/>
  <c r="BL353" i="3"/>
  <c r="BL363" i="3"/>
  <c r="AZ363" i="3" s="1"/>
  <c r="BL368" i="3"/>
  <c r="G369" i="3"/>
  <c r="BA226" i="3"/>
  <c r="BL239" i="3"/>
  <c r="BA280" i="3"/>
  <c r="AZ280" i="3" s="1"/>
  <c r="G398" i="3"/>
  <c r="BA399" i="3"/>
  <c r="AZ399" i="3" s="1"/>
  <c r="G403" i="3"/>
  <c r="BL404" i="3"/>
  <c r="BA409" i="3"/>
  <c r="AZ409" i="3" s="1"/>
  <c r="BL411" i="3"/>
  <c r="BA412" i="3"/>
  <c r="AZ412" i="3" s="1"/>
  <c r="BA415" i="3"/>
  <c r="BL420" i="3"/>
  <c r="G423" i="3"/>
  <c r="BL423" i="3"/>
  <c r="AZ423" i="3" s="1"/>
  <c r="G425" i="3"/>
  <c r="BL426" i="3"/>
  <c r="BA428" i="3"/>
  <c r="BA430" i="3"/>
  <c r="AZ430" i="3" s="1"/>
  <c r="BA431" i="3"/>
  <c r="AZ431" i="3" s="1"/>
  <c r="BA434" i="3"/>
  <c r="AZ434" i="3" s="1"/>
  <c r="G442" i="3"/>
  <c r="BL443" i="3"/>
  <c r="BA447" i="3"/>
  <c r="AZ447" i="3" s="1"/>
  <c r="BA448" i="3"/>
  <c r="AZ448" i="3" s="1"/>
  <c r="BA452" i="3"/>
  <c r="AZ452" i="3" s="1"/>
  <c r="BL456" i="3"/>
  <c r="G458" i="3"/>
  <c r="BA459" i="3"/>
  <c r="AZ459" i="3" s="1"/>
  <c r="BL462" i="3"/>
  <c r="BL467" i="3"/>
  <c r="G469" i="3"/>
  <c r="BL471" i="3"/>
  <c r="G473" i="3"/>
  <c r="BA479" i="3"/>
  <c r="AZ479" i="3" s="1"/>
  <c r="BA480" i="3"/>
  <c r="BL483" i="3"/>
  <c r="BL484" i="3"/>
  <c r="BL487" i="3"/>
  <c r="BL488" i="3"/>
  <c r="BL490" i="3"/>
  <c r="AZ490" i="3" s="1"/>
  <c r="BL492" i="3"/>
  <c r="BL312" i="3"/>
  <c r="AZ312" i="3" s="1"/>
  <c r="BA316" i="3"/>
  <c r="BA323" i="3"/>
  <c r="AZ323" i="3" s="1"/>
  <c r="BA331" i="3"/>
  <c r="AZ331" i="3" s="1"/>
  <c r="G343" i="3"/>
  <c r="G347" i="3"/>
  <c r="BA350" i="3"/>
  <c r="AZ350" i="3" s="1"/>
  <c r="BA353" i="3"/>
  <c r="AZ353" i="3" s="1"/>
  <c r="BA366" i="3"/>
  <c r="AZ366" i="3" s="1"/>
  <c r="BA224" i="3"/>
  <c r="AZ224" i="3" s="1"/>
  <c r="BA270" i="3"/>
  <c r="AZ285" i="3"/>
  <c r="BL287" i="3"/>
  <c r="AZ293" i="3"/>
  <c r="BA114" i="3"/>
  <c r="AZ114" i="3" s="1"/>
  <c r="G6" i="1"/>
  <c r="I24" i="43"/>
  <c r="AZ411" i="3"/>
  <c r="AZ420" i="3"/>
  <c r="AZ425" i="3"/>
  <c r="AZ427" i="3"/>
  <c r="AZ451" i="3"/>
  <c r="AZ456" i="3"/>
  <c r="AZ488" i="3"/>
  <c r="AZ492" i="3"/>
  <c r="BA358" i="3"/>
  <c r="AZ358" i="3" s="1"/>
  <c r="BL125" i="3"/>
  <c r="BA137" i="3"/>
  <c r="G585" i="3"/>
  <c r="BG5" i="3"/>
  <c r="BA551" i="3"/>
  <c r="AZ551" i="3" s="1"/>
  <c r="BL550" i="3"/>
  <c r="BL16" i="3"/>
  <c r="AZ16" i="3" s="1"/>
  <c r="BA398" i="3"/>
  <c r="BA401" i="3"/>
  <c r="AZ401" i="3" s="1"/>
  <c r="BL405" i="3"/>
  <c r="AZ405" i="3" s="1"/>
  <c r="BA408" i="3"/>
  <c r="BL415" i="3"/>
  <c r="G416" i="3"/>
  <c r="G417" i="3"/>
  <c r="G418" i="3"/>
  <c r="BA424" i="3"/>
  <c r="AZ424" i="3" s="1"/>
  <c r="G429" i="3"/>
  <c r="G430" i="3"/>
  <c r="G431" i="3"/>
  <c r="G433" i="3"/>
  <c r="G436" i="3"/>
  <c r="BA439" i="3"/>
  <c r="BA443" i="3"/>
  <c r="BL444" i="3"/>
  <c r="AZ444" i="3" s="1"/>
  <c r="G448" i="3"/>
  <c r="G452" i="3"/>
  <c r="G454" i="3"/>
  <c r="BL454" i="3"/>
  <c r="BL455" i="3"/>
  <c r="BA457" i="3"/>
  <c r="AZ457" i="3" s="1"/>
  <c r="BA462" i="3"/>
  <c r="AZ462" i="3" s="1"/>
  <c r="BA465" i="3"/>
  <c r="AZ465" i="3" s="1"/>
  <c r="BA466" i="3"/>
  <c r="AZ466" i="3" s="1"/>
  <c r="BA468" i="3"/>
  <c r="AZ468" i="3" s="1"/>
  <c r="BA470" i="3"/>
  <c r="AZ470" i="3" s="1"/>
  <c r="BA472" i="3"/>
  <c r="AZ472" i="3" s="1"/>
  <c r="BL475" i="3"/>
  <c r="BL476" i="3"/>
  <c r="BL478" i="3"/>
  <c r="G480" i="3"/>
  <c r="G481" i="3"/>
  <c r="BA487" i="3"/>
  <c r="BA489" i="3"/>
  <c r="AZ489" i="3" s="1"/>
  <c r="BA491" i="3"/>
  <c r="AZ491" i="3" s="1"/>
  <c r="BA307" i="3"/>
  <c r="AZ307" i="3" s="1"/>
  <c r="BA315" i="3"/>
  <c r="AZ315" i="3" s="1"/>
  <c r="BL317" i="3"/>
  <c r="AZ317" i="3" s="1"/>
  <c r="BL328" i="3"/>
  <c r="AZ328" i="3" s="1"/>
  <c r="BA332" i="3"/>
  <c r="BA335" i="3"/>
  <c r="AZ335" i="3" s="1"/>
  <c r="BA367" i="3"/>
  <c r="BL367" i="3"/>
  <c r="AZ211" i="3"/>
  <c r="AZ122" i="3"/>
  <c r="BA134" i="3"/>
  <c r="BL386" i="3"/>
  <c r="BA392" i="3"/>
  <c r="AZ392" i="3" s="1"/>
  <c r="BA395" i="3"/>
  <c r="AZ395" i="3" s="1"/>
  <c r="BL209" i="3"/>
  <c r="AZ209" i="3" s="1"/>
  <c r="BL213" i="3"/>
  <c r="BL215" i="3"/>
  <c r="BL216" i="3"/>
  <c r="BA218" i="3"/>
  <c r="BA219" i="3"/>
  <c r="BA220" i="3"/>
  <c r="AZ220" i="3" s="1"/>
  <c r="BA223" i="3"/>
  <c r="BA225" i="3"/>
  <c r="BL227" i="3"/>
  <c r="BL229" i="3"/>
  <c r="BA231" i="3"/>
  <c r="BA233" i="3"/>
  <c r="AZ233" i="3" s="1"/>
  <c r="BL236" i="3"/>
  <c r="BL241" i="3"/>
  <c r="BA244" i="3"/>
  <c r="BA246" i="3"/>
  <c r="BA248" i="3"/>
  <c r="AZ248" i="3" s="1"/>
  <c r="BL251" i="3"/>
  <c r="BA253" i="3"/>
  <c r="BA255" i="3"/>
  <c r="BL260" i="3"/>
  <c r="BL263" i="3"/>
  <c r="AZ263" i="3" s="1"/>
  <c r="BL265" i="3"/>
  <c r="BA266" i="3"/>
  <c r="BA267" i="3"/>
  <c r="BA269" i="3"/>
  <c r="AZ269" i="3" s="1"/>
  <c r="BA274" i="3"/>
  <c r="BL274" i="3"/>
  <c r="BA276" i="3"/>
  <c r="BA279" i="3"/>
  <c r="BA281" i="3"/>
  <c r="BA282" i="3"/>
  <c r="AZ282" i="3" s="1"/>
  <c r="BA283" i="3"/>
  <c r="BL286" i="3"/>
  <c r="AZ286" i="3" s="1"/>
  <c r="BA289" i="3"/>
  <c r="AZ289" i="3" s="1"/>
  <c r="BL299" i="3"/>
  <c r="AZ299" i="3" s="1"/>
  <c r="BA116" i="3"/>
  <c r="AZ116" i="3" s="1"/>
  <c r="BL119" i="3"/>
  <c r="AZ119" i="3" s="1"/>
  <c r="BA121" i="3"/>
  <c r="BL123" i="3"/>
  <c r="AZ123" i="3" s="1"/>
  <c r="BL126" i="3"/>
  <c r="BL129" i="3"/>
  <c r="BL130" i="3"/>
  <c r="BL131" i="3"/>
  <c r="AZ131" i="3" s="1"/>
  <c r="BA132" i="3"/>
  <c r="AZ132" i="3" s="1"/>
  <c r="BA136" i="3"/>
  <c r="AZ136" i="3" s="1"/>
  <c r="BA138" i="3"/>
  <c r="AZ138" i="3" s="1"/>
  <c r="BL141" i="3"/>
  <c r="BL143" i="3"/>
  <c r="AZ143" i="3" s="1"/>
  <c r="BA145" i="3"/>
  <c r="BL146" i="3"/>
  <c r="AZ146" i="3" s="1"/>
  <c r="BL149" i="3"/>
  <c r="BA152" i="3"/>
  <c r="AZ152" i="3" s="1"/>
  <c r="BA154" i="3"/>
  <c r="BA165" i="3"/>
  <c r="AZ165" i="3" s="1"/>
  <c r="BL167" i="3"/>
  <c r="AZ167" i="3" s="1"/>
  <c r="G168" i="3"/>
  <c r="BA169" i="3"/>
  <c r="BL332" i="3"/>
  <c r="AZ332" i="3" s="1"/>
  <c r="BL340" i="3"/>
  <c r="AZ340" i="3" s="1"/>
  <c r="BL348" i="3"/>
  <c r="AZ348" i="3" s="1"/>
  <c r="G351" i="3"/>
  <c r="BL354" i="3"/>
  <c r="AZ354" i="3" s="1"/>
  <c r="BL365" i="3"/>
  <c r="AZ365" i="3" s="1"/>
  <c r="BA368" i="3"/>
  <c r="AZ368" i="3" s="1"/>
  <c r="BA374" i="3"/>
  <c r="AZ374" i="3" s="1"/>
  <c r="G378" i="3"/>
  <c r="G382" i="3"/>
  <c r="BL383" i="3"/>
  <c r="AZ383" i="3" s="1"/>
  <c r="BA386" i="3"/>
  <c r="G392" i="3"/>
  <c r="BL396" i="3"/>
  <c r="AZ396" i="3" s="1"/>
  <c r="G208" i="3"/>
  <c r="G209" i="3"/>
  <c r="BL210" i="3"/>
  <c r="AZ210" i="3" s="1"/>
  <c r="BL211" i="3"/>
  <c r="BA213" i="3"/>
  <c r="AZ213" i="3" s="1"/>
  <c r="BA215" i="3"/>
  <c r="AZ215" i="3" s="1"/>
  <c r="BA216" i="3"/>
  <c r="AZ216" i="3" s="1"/>
  <c r="BA217" i="3"/>
  <c r="AZ217" i="3" s="1"/>
  <c r="BA222" i="3"/>
  <c r="AZ222" i="3" s="1"/>
  <c r="BA227" i="3"/>
  <c r="BA228" i="3"/>
  <c r="AZ228" i="3" s="1"/>
  <c r="G233" i="3"/>
  <c r="G235" i="3"/>
  <c r="BL235" i="3"/>
  <c r="AZ235" i="3" s="1"/>
  <c r="G238" i="3"/>
  <c r="BA240" i="3"/>
  <c r="AZ240" i="3" s="1"/>
  <c r="BA241" i="3"/>
  <c r="AZ241" i="3" s="1"/>
  <c r="BA243" i="3"/>
  <c r="BA245" i="3"/>
  <c r="AZ245" i="3" s="1"/>
  <c r="G248" i="3"/>
  <c r="G250" i="3"/>
  <c r="BL250" i="3"/>
  <c r="AZ250" i="3" s="1"/>
  <c r="BA251" i="3"/>
  <c r="AZ251" i="3" s="1"/>
  <c r="BA252" i="3"/>
  <c r="AZ252" i="3" s="1"/>
  <c r="BA257" i="3"/>
  <c r="AZ257" i="3" s="1"/>
  <c r="G262" i="3"/>
  <c r="G263" i="3"/>
  <c r="BA265" i="3"/>
  <c r="G269" i="3"/>
  <c r="BA273" i="3"/>
  <c r="BA278" i="3"/>
  <c r="AZ278" i="3" s="1"/>
  <c r="G285" i="3"/>
  <c r="G286" i="3"/>
  <c r="BA288" i="3"/>
  <c r="BL291" i="3"/>
  <c r="G292" i="3"/>
  <c r="G294" i="3"/>
  <c r="BL294" i="3"/>
  <c r="BL295" i="3"/>
  <c r="G296" i="3"/>
  <c r="BL296" i="3"/>
  <c r="AZ296" i="3" s="1"/>
  <c r="BL297" i="3"/>
  <c r="G298" i="3"/>
  <c r="G299" i="3"/>
  <c r="BL117" i="3"/>
  <c r="G118" i="3"/>
  <c r="BL121" i="3"/>
  <c r="G123" i="3"/>
  <c r="G124" i="3"/>
  <c r="BA125" i="3"/>
  <c r="AZ125" i="3" s="1"/>
  <c r="G128" i="3"/>
  <c r="G131" i="3"/>
  <c r="G140" i="3"/>
  <c r="G143" i="3"/>
  <c r="BA164" i="3"/>
  <c r="AZ164" i="3" s="1"/>
  <c r="BL177" i="3"/>
  <c r="BA178" i="3"/>
  <c r="G182" i="3"/>
  <c r="G183" i="3"/>
  <c r="BA185" i="3"/>
  <c r="G192" i="3"/>
  <c r="BA193" i="3"/>
  <c r="G196" i="3"/>
  <c r="BA197" i="3"/>
  <c r="BA202" i="3"/>
  <c r="BL203" i="3"/>
  <c r="AZ203" i="3" s="1"/>
  <c r="BL207" i="3"/>
  <c r="AZ207" i="3" s="1"/>
  <c r="BL20" i="3"/>
  <c r="BA21" i="3"/>
  <c r="BA22" i="3"/>
  <c r="BA23" i="3"/>
  <c r="AZ23" i="3" s="1"/>
  <c r="BL37" i="3"/>
  <c r="BL38" i="3"/>
  <c r="G40" i="3"/>
  <c r="G41" i="3"/>
  <c r="BA41" i="3"/>
  <c r="BA48" i="3"/>
  <c r="AZ48" i="3" s="1"/>
  <c r="BL51" i="3"/>
  <c r="G52" i="3"/>
  <c r="BL52" i="3"/>
  <c r="BA54" i="3"/>
  <c r="BL58" i="3"/>
  <c r="X37" i="71"/>
  <c r="X35" i="71"/>
  <c r="B38" i="71"/>
  <c r="B39" i="71" s="1"/>
  <c r="B40" i="71" s="1"/>
  <c r="S40" i="71" s="1"/>
  <c r="N67" i="71"/>
  <c r="B66" i="71"/>
  <c r="D71" i="71"/>
  <c r="C70" i="71"/>
  <c r="D70" i="71" s="1"/>
  <c r="D88" i="71"/>
  <c r="C87" i="71"/>
  <c r="C86" i="71" s="1"/>
  <c r="D86" i="71" s="1"/>
  <c r="U21" i="33"/>
  <c r="AB21" i="33"/>
  <c r="G380" i="3"/>
  <c r="BL381" i="3"/>
  <c r="AZ381" i="3" s="1"/>
  <c r="G384" i="3"/>
  <c r="G387" i="3"/>
  <c r="BL393" i="3"/>
  <c r="AZ393" i="3" s="1"/>
  <c r="BL395" i="3"/>
  <c r="BA397" i="3"/>
  <c r="BA208" i="3"/>
  <c r="AZ208" i="3" s="1"/>
  <c r="G214" i="3"/>
  <c r="G217" i="3"/>
  <c r="BL218" i="3"/>
  <c r="BL219" i="3"/>
  <c r="G224" i="3"/>
  <c r="BL225" i="3"/>
  <c r="G228" i="3"/>
  <c r="BL231" i="3"/>
  <c r="BA232" i="3"/>
  <c r="AZ232" i="3" s="1"/>
  <c r="BL234" i="3"/>
  <c r="BA237" i="3"/>
  <c r="AZ237" i="3" s="1"/>
  <c r="BL244" i="3"/>
  <c r="AZ244" i="3" s="1"/>
  <c r="G247" i="3"/>
  <c r="BA247" i="3"/>
  <c r="AZ247" i="3" s="1"/>
  <c r="BL249" i="3"/>
  <c r="G259" i="3"/>
  <c r="BA262" i="3"/>
  <c r="G266" i="3"/>
  <c r="BL266" i="3"/>
  <c r="BL267" i="3"/>
  <c r="BA268" i="3"/>
  <c r="G272" i="3"/>
  <c r="G283" i="3"/>
  <c r="BA284" i="3"/>
  <c r="BL288" i="3"/>
  <c r="G289" i="3"/>
  <c r="BA291" i="3"/>
  <c r="BA295" i="3"/>
  <c r="AZ295" i="3" s="1"/>
  <c r="BA297" i="3"/>
  <c r="AZ297" i="3" s="1"/>
  <c r="BL300" i="3"/>
  <c r="G302" i="3"/>
  <c r="BL302" i="3"/>
  <c r="AZ302" i="3" s="1"/>
  <c r="G116" i="3"/>
  <c r="BA117" i="3"/>
  <c r="AZ117" i="3" s="1"/>
  <c r="G120" i="3"/>
  <c r="BA130" i="3"/>
  <c r="AZ130" i="3" s="1"/>
  <c r="G132" i="3"/>
  <c r="BA133" i="3"/>
  <c r="AZ133" i="3" s="1"/>
  <c r="G136" i="3"/>
  <c r="BA142" i="3"/>
  <c r="AZ142" i="3" s="1"/>
  <c r="G144" i="3"/>
  <c r="BL145" i="3"/>
  <c r="G150" i="3"/>
  <c r="BL154" i="3"/>
  <c r="BA156" i="3"/>
  <c r="AZ156" i="3" s="1"/>
  <c r="BL158" i="3"/>
  <c r="G159" i="3"/>
  <c r="BA161" i="3"/>
  <c r="AZ161" i="3" s="1"/>
  <c r="BA162" i="3"/>
  <c r="AZ162" i="3" s="1"/>
  <c r="BL171" i="3"/>
  <c r="AZ171" i="3" s="1"/>
  <c r="BL173" i="3"/>
  <c r="G175" i="3"/>
  <c r="BA177" i="3"/>
  <c r="AZ177" i="3" s="1"/>
  <c r="BL186" i="3"/>
  <c r="AZ186" i="3" s="1"/>
  <c r="BA188" i="3"/>
  <c r="AZ188" i="3" s="1"/>
  <c r="BL18" i="3"/>
  <c r="BA25" i="3"/>
  <c r="BL26" i="3"/>
  <c r="G28" i="3"/>
  <c r="BL29" i="3"/>
  <c r="BL30" i="3"/>
  <c r="BL33" i="3"/>
  <c r="BL34" i="3"/>
  <c r="BL42" i="3"/>
  <c r="BA43" i="3"/>
  <c r="BL45" i="3"/>
  <c r="AZ45" i="3" s="1"/>
  <c r="BL55" i="3"/>
  <c r="BA57" i="3"/>
  <c r="AZ57" i="3" s="1"/>
  <c r="U21" i="37"/>
  <c r="BA160" i="3"/>
  <c r="AZ160" i="3" s="1"/>
  <c r="BL163" i="3"/>
  <c r="AZ163" i="3" s="1"/>
  <c r="BL166" i="3"/>
  <c r="BA168" i="3"/>
  <c r="AZ168" i="3" s="1"/>
  <c r="BL174" i="3"/>
  <c r="BL178" i="3"/>
  <c r="BA181" i="3"/>
  <c r="AZ181" i="3" s="1"/>
  <c r="BL185" i="3"/>
  <c r="BL187" i="3"/>
  <c r="AZ187" i="3" s="1"/>
  <c r="BL190" i="3"/>
  <c r="BA192" i="3"/>
  <c r="AZ192" i="3" s="1"/>
  <c r="BL194" i="3"/>
  <c r="AZ194" i="3" s="1"/>
  <c r="BL198" i="3"/>
  <c r="AZ198" i="3" s="1"/>
  <c r="BA200" i="3"/>
  <c r="AZ200" i="3" s="1"/>
  <c r="G202" i="3"/>
  <c r="BA204" i="3"/>
  <c r="AZ204" i="3" s="1"/>
  <c r="BA206" i="3"/>
  <c r="BA207" i="3"/>
  <c r="BA18" i="3"/>
  <c r="AZ18" i="3" s="1"/>
  <c r="BA20" i="3"/>
  <c r="AZ20" i="3" s="1"/>
  <c r="G26" i="3"/>
  <c r="BA26" i="3"/>
  <c r="BA27" i="3"/>
  <c r="BA29" i="3"/>
  <c r="BA30" i="3"/>
  <c r="BA36" i="3"/>
  <c r="BA40" i="3"/>
  <c r="AZ40" i="3" s="1"/>
  <c r="BL43" i="3"/>
  <c r="BL44" i="3"/>
  <c r="G48" i="3"/>
  <c r="G51" i="3"/>
  <c r="BA51" i="3"/>
  <c r="AZ51" i="3" s="1"/>
  <c r="BL59" i="3"/>
  <c r="BL60" i="3"/>
  <c r="BL64" i="3"/>
  <c r="BL68" i="3"/>
  <c r="BL74" i="3"/>
  <c r="BL76" i="3"/>
  <c r="BL77" i="3"/>
  <c r="BA80" i="3"/>
  <c r="BL82" i="3"/>
  <c r="BA92" i="3"/>
  <c r="BA94" i="3"/>
  <c r="AZ94" i="3" s="1"/>
  <c r="BL96" i="3"/>
  <c r="BL97" i="3"/>
  <c r="BA102" i="3"/>
  <c r="BA103" i="3"/>
  <c r="AZ103" i="3" s="1"/>
  <c r="BL108" i="3"/>
  <c r="BL110" i="3"/>
  <c r="AZ110" i="3" s="1"/>
  <c r="AC21" i="21"/>
  <c r="F40" i="69"/>
  <c r="C40" i="69"/>
  <c r="W18" i="36"/>
  <c r="P27" i="6"/>
  <c r="V28" i="71"/>
  <c r="E27" i="71"/>
  <c r="E26" i="71" s="1"/>
  <c r="AB32" i="71"/>
  <c r="C51" i="71"/>
  <c r="D50" i="71"/>
  <c r="C59" i="71"/>
  <c r="D58" i="71"/>
  <c r="BA149" i="3"/>
  <c r="AZ149" i="3" s="1"/>
  <c r="BL151" i="3"/>
  <c r="AZ151" i="3" s="1"/>
  <c r="BL155" i="3"/>
  <c r="AZ155" i="3" s="1"/>
  <c r="G156" i="3"/>
  <c r="G158" i="3"/>
  <c r="BA158" i="3"/>
  <c r="AZ158" i="3" s="1"/>
  <c r="BL161" i="3"/>
  <c r="G162" i="3"/>
  <c r="G163" i="3"/>
  <c r="BA166" i="3"/>
  <c r="AZ166" i="3" s="1"/>
  <c r="BL169" i="3"/>
  <c r="G172" i="3"/>
  <c r="BA173" i="3"/>
  <c r="AZ173" i="3" s="1"/>
  <c r="BA174" i="3"/>
  <c r="AZ174" i="3" s="1"/>
  <c r="G176" i="3"/>
  <c r="BA180" i="3"/>
  <c r="AZ180" i="3" s="1"/>
  <c r="BL183" i="3"/>
  <c r="AZ183" i="3" s="1"/>
  <c r="G187" i="3"/>
  <c r="BA189" i="3"/>
  <c r="AZ189" i="3" s="1"/>
  <c r="BL191" i="3"/>
  <c r="AZ191" i="3" s="1"/>
  <c r="BL193" i="3"/>
  <c r="G198" i="3"/>
  <c r="G200" i="3"/>
  <c r="BL201" i="3"/>
  <c r="AZ201" i="3" s="1"/>
  <c r="BA205" i="3"/>
  <c r="AZ205" i="3" s="1"/>
  <c r="G20" i="3"/>
  <c r="G22" i="3"/>
  <c r="G23" i="3"/>
  <c r="BL24" i="3"/>
  <c r="BL25" i="3"/>
  <c r="BA28" i="3"/>
  <c r="AZ28" i="3" s="1"/>
  <c r="G33" i="3"/>
  <c r="BA33" i="3"/>
  <c r="BL41" i="3"/>
  <c r="G42" i="3"/>
  <c r="BA44" i="3"/>
  <c r="BA46" i="3"/>
  <c r="BA47" i="3"/>
  <c r="AZ47" i="3" s="1"/>
  <c r="BA49" i="3"/>
  <c r="BA50" i="3"/>
  <c r="AZ50" i="3" s="1"/>
  <c r="G53" i="3"/>
  <c r="BL53" i="3"/>
  <c r="AZ53" i="3" s="1"/>
  <c r="BL54" i="3"/>
  <c r="G55" i="3"/>
  <c r="BL56" i="3"/>
  <c r="BL57" i="3"/>
  <c r="G58" i="3"/>
  <c r="BA60" i="3"/>
  <c r="BA62" i="3"/>
  <c r="BA64" i="3"/>
  <c r="AZ64" i="3" s="1"/>
  <c r="BA65" i="3"/>
  <c r="AZ65" i="3" s="1"/>
  <c r="BL67" i="3"/>
  <c r="AZ67" i="3" s="1"/>
  <c r="G68" i="3"/>
  <c r="BL81" i="3"/>
  <c r="BA101" i="3"/>
  <c r="F3" i="35"/>
  <c r="F40" i="68"/>
  <c r="C40" i="68"/>
  <c r="B100" i="43"/>
  <c r="B68" i="43"/>
  <c r="B77" i="43"/>
  <c r="D75" i="71"/>
  <c r="C74" i="71"/>
  <c r="D74" i="71" s="1"/>
  <c r="P67" i="71"/>
  <c r="E66" i="71"/>
  <c r="C39" i="71"/>
  <c r="D38" i="71"/>
  <c r="X29" i="71"/>
  <c r="X30" i="71"/>
  <c r="X31" i="71"/>
  <c r="X32" i="71"/>
  <c r="AA25" i="71"/>
  <c r="BA59" i="3"/>
  <c r="AZ59" i="3" s="1"/>
  <c r="BL69" i="3"/>
  <c r="AZ69" i="3" s="1"/>
  <c r="BL73" i="3"/>
  <c r="AZ91" i="3"/>
  <c r="W21" i="33"/>
  <c r="AC21" i="33"/>
  <c r="C25" i="40"/>
  <c r="B88" i="43"/>
  <c r="AA38" i="71"/>
  <c r="AA36" i="71"/>
  <c r="AB26" i="71"/>
  <c r="G70" i="3"/>
  <c r="BA72" i="3"/>
  <c r="AZ72" i="3" s="1"/>
  <c r="BA73" i="3"/>
  <c r="BA74" i="3"/>
  <c r="AZ74" i="3" s="1"/>
  <c r="G78" i="3"/>
  <c r="G79" i="3"/>
  <c r="BL83" i="3"/>
  <c r="BA84" i="3"/>
  <c r="BA87" i="3"/>
  <c r="BA89" i="3"/>
  <c r="G98" i="3"/>
  <c r="G99" i="3"/>
  <c r="G100" i="3"/>
  <c r="BL100" i="3"/>
  <c r="AZ100" i="3" s="1"/>
  <c r="BL101" i="3"/>
  <c r="G105" i="3"/>
  <c r="BL105" i="3"/>
  <c r="AZ105" i="3" s="1"/>
  <c r="BL106" i="3"/>
  <c r="G107" i="3"/>
  <c r="G108" i="3"/>
  <c r="G109" i="3"/>
  <c r="G111" i="3"/>
  <c r="BA111" i="3"/>
  <c r="B13" i="1"/>
  <c r="E13" i="1" s="1"/>
  <c r="S18" i="36"/>
  <c r="E40" i="71"/>
  <c r="U40" i="71" s="1"/>
  <c r="X25" i="71"/>
  <c r="Y27" i="71"/>
  <c r="Z27" i="71" s="1"/>
  <c r="Y30" i="71"/>
  <c r="Z30" i="71" s="1"/>
  <c r="Y32" i="71"/>
  <c r="Z32" i="71" s="1"/>
  <c r="AA35" i="71"/>
  <c r="AA22" i="71"/>
  <c r="AB13" i="71"/>
  <c r="C78" i="71"/>
  <c r="D78" i="71" s="1"/>
  <c r="D63" i="71"/>
  <c r="AA30" i="71"/>
  <c r="AA31" i="71"/>
  <c r="AB34" i="71"/>
  <c r="E47" i="71"/>
  <c r="E48" i="71" s="1"/>
  <c r="U48" i="71" s="1"/>
  <c r="B55" i="71"/>
  <c r="B56" i="71" s="1"/>
  <c r="S56" i="71" s="1"/>
  <c r="G75" i="3"/>
  <c r="BA77" i="3"/>
  <c r="BA79" i="3"/>
  <c r="AZ79" i="3" s="1"/>
  <c r="BA82" i="3"/>
  <c r="AZ82" i="3" s="1"/>
  <c r="BL84" i="3"/>
  <c r="G85" i="3"/>
  <c r="G86" i="3"/>
  <c r="G88" i="3"/>
  <c r="BL88" i="3"/>
  <c r="AZ88" i="3" s="1"/>
  <c r="BL90" i="3"/>
  <c r="G92" i="3"/>
  <c r="G94" i="3"/>
  <c r="BL94" i="3"/>
  <c r="BA97" i="3"/>
  <c r="AZ97" i="3" s="1"/>
  <c r="BL102" i="3"/>
  <c r="BA104" i="3"/>
  <c r="BA106" i="3"/>
  <c r="AZ106" i="3" s="1"/>
  <c r="BA108" i="3"/>
  <c r="G112" i="3"/>
  <c r="D59" i="85"/>
  <c r="E59" i="85" s="1"/>
  <c r="F59" i="85" s="1"/>
  <c r="G59" i="85" s="1"/>
  <c r="H59" i="85" s="1"/>
  <c r="I59" i="85" s="1"/>
  <c r="J59" i="85" s="1"/>
  <c r="K59" i="85" s="1"/>
  <c r="L59" i="85" s="1"/>
  <c r="M59" i="85" s="1"/>
  <c r="N59" i="85" s="1"/>
  <c r="O59" i="85" s="1"/>
  <c r="J7" i="85"/>
  <c r="H7" i="85"/>
  <c r="F7" i="85"/>
  <c r="AB28" i="71"/>
  <c r="AB33" i="71"/>
  <c r="N68" i="71"/>
  <c r="AB31" i="71"/>
  <c r="X36" i="71"/>
  <c r="AB37" i="71"/>
  <c r="Y37" i="71"/>
  <c r="Z37" i="71" s="1"/>
  <c r="B75" i="71"/>
  <c r="B74" i="71" s="1"/>
  <c r="AB25" i="71"/>
  <c r="K56" i="9"/>
  <c r="U25" i="34"/>
  <c r="W25" i="34"/>
  <c r="AA25" i="34"/>
  <c r="S27" i="34"/>
  <c r="AC27" i="34"/>
  <c r="U27" i="34"/>
  <c r="U38" i="34"/>
  <c r="S37" i="34"/>
  <c r="AA32" i="34"/>
  <c r="W30" i="34"/>
  <c r="F30" i="34"/>
  <c r="AB23" i="34"/>
  <c r="S21" i="34"/>
  <c r="S19" i="34"/>
  <c r="W19" i="34"/>
  <c r="U19" i="34"/>
  <c r="W17" i="34"/>
  <c r="S17" i="34"/>
  <c r="AB17" i="34"/>
  <c r="W15" i="34"/>
  <c r="S15" i="34"/>
  <c r="H67" i="43"/>
  <c r="G67" i="43" s="1"/>
  <c r="D93" i="9"/>
  <c r="B41" i="1"/>
  <c r="C21" i="68"/>
  <c r="C5" i="68"/>
  <c r="G26" i="12"/>
  <c r="G22" i="68"/>
  <c r="G22" i="69"/>
  <c r="F28" i="6"/>
  <c r="BA13" i="3"/>
  <c r="G28" i="6"/>
  <c r="BB5" i="3"/>
  <c r="E14" i="6" s="1"/>
  <c r="A4" i="52"/>
  <c r="B41" i="72" s="1"/>
  <c r="A118" i="9"/>
  <c r="D22" i="71"/>
  <c r="C21" i="71"/>
  <c r="AA15" i="37"/>
  <c r="S15" i="37"/>
  <c r="W36" i="40"/>
  <c r="AC36" i="40"/>
  <c r="D19" i="53"/>
  <c r="B38" i="72" s="1"/>
  <c r="D16" i="53"/>
  <c r="B34" i="72" s="1"/>
  <c r="S23" i="33"/>
  <c r="W19" i="37"/>
  <c r="W9" i="21"/>
  <c r="AB15" i="21"/>
  <c r="U41" i="33"/>
  <c r="AA29" i="21"/>
  <c r="AC20" i="36"/>
  <c r="S20" i="36"/>
  <c r="AB35" i="34"/>
  <c r="U44" i="34"/>
  <c r="U32" i="37"/>
  <c r="AA27" i="40"/>
  <c r="F29" i="6"/>
  <c r="E29" i="6" s="1"/>
  <c r="K15" i="1" s="1"/>
  <c r="AZ327" i="3"/>
  <c r="S11" i="39"/>
  <c r="AB21" i="40"/>
  <c r="U11" i="33"/>
  <c r="AA13" i="33"/>
  <c r="AZ565" i="3"/>
  <c r="AZ498" i="3"/>
  <c r="AZ506" i="3"/>
  <c r="AZ542" i="3"/>
  <c r="S11" i="36"/>
  <c r="AA14" i="40"/>
  <c r="S14" i="40"/>
  <c r="U46" i="34"/>
  <c r="AB46" i="34"/>
  <c r="U29" i="33"/>
  <c r="AB29" i="33"/>
  <c r="AA23" i="21"/>
  <c r="S36" i="33"/>
  <c r="AB33" i="34"/>
  <c r="AA40" i="34"/>
  <c r="AB41" i="34"/>
  <c r="AA33" i="34"/>
  <c r="AC11" i="39"/>
  <c r="AZ334" i="3"/>
  <c r="W44" i="33"/>
  <c r="U14" i="40"/>
  <c r="AZ559" i="3"/>
  <c r="AZ587" i="3"/>
  <c r="AC27" i="37"/>
  <c r="W27" i="37"/>
  <c r="S14" i="33"/>
  <c r="AA14" i="33"/>
  <c r="S33" i="35"/>
  <c r="BL581" i="3"/>
  <c r="AZ581" i="3" s="1"/>
  <c r="BL575" i="3"/>
  <c r="AZ575" i="3" s="1"/>
  <c r="W17" i="21"/>
  <c r="AC15" i="21"/>
  <c r="U35" i="40"/>
  <c r="S35" i="33"/>
  <c r="AA30" i="40"/>
  <c r="AC43" i="33"/>
  <c r="W43" i="33"/>
  <c r="S26" i="36"/>
  <c r="AA42" i="33"/>
  <c r="AZ501" i="3"/>
  <c r="AZ494" i="3"/>
  <c r="AZ510" i="3"/>
  <c r="AZ558" i="3"/>
  <c r="AC31" i="34"/>
  <c r="W31" i="34"/>
  <c r="AB46" i="33"/>
  <c r="U46" i="33"/>
  <c r="W20" i="35"/>
  <c r="AC20" i="35"/>
  <c r="AB25" i="39"/>
  <c r="U25" i="39"/>
  <c r="W12" i="37"/>
  <c r="AC12" i="37"/>
  <c r="AZ503" i="3"/>
  <c r="AZ515" i="3"/>
  <c r="AZ573" i="3"/>
  <c r="S38" i="37"/>
  <c r="AA38" i="37"/>
  <c r="U45" i="33"/>
  <c r="AB45" i="33"/>
  <c r="AA14" i="35"/>
  <c r="S14" i="35"/>
  <c r="AC40" i="40"/>
  <c r="W40" i="40"/>
  <c r="BL521" i="3"/>
  <c r="AZ521" i="3" s="1"/>
  <c r="BL517" i="3"/>
  <c r="AZ517" i="3" s="1"/>
  <c r="BL505" i="3"/>
  <c r="AZ505" i="3" s="1"/>
  <c r="BL499" i="3"/>
  <c r="AZ499" i="3" s="1"/>
  <c r="BL495" i="3"/>
  <c r="AZ495" i="3" s="1"/>
  <c r="H12" i="33"/>
  <c r="AC9" i="34"/>
  <c r="W9" i="34"/>
  <c r="AC28" i="36"/>
  <c r="W28" i="36"/>
  <c r="AA34" i="39"/>
  <c r="S34" i="39"/>
  <c r="G526" i="3"/>
  <c r="W14" i="36"/>
  <c r="AB34" i="39"/>
  <c r="H5" i="3"/>
  <c r="W44" i="39"/>
  <c r="H13" i="35"/>
  <c r="F45" i="34"/>
  <c r="AC11" i="35"/>
  <c r="F44" i="21"/>
  <c r="W40" i="33"/>
  <c r="W8" i="34"/>
  <c r="B97" i="43"/>
  <c r="B75" i="43"/>
  <c r="H9" i="33"/>
  <c r="F9" i="34"/>
  <c r="AA9" i="34" s="1"/>
  <c r="H12" i="34"/>
  <c r="AC31" i="35"/>
  <c r="AA12" i="34"/>
  <c r="S34" i="21"/>
  <c r="B101" i="43"/>
  <c r="B79" i="43"/>
  <c r="H9" i="34"/>
  <c r="J12" i="34"/>
  <c r="J12" i="36"/>
  <c r="H23" i="36"/>
  <c r="F23" i="36"/>
  <c r="J23" i="36"/>
  <c r="AA34" i="40"/>
  <c r="S34" i="40"/>
  <c r="J39" i="40"/>
  <c r="H39" i="40"/>
  <c r="BA550" i="3"/>
  <c r="AZ550" i="3" s="1"/>
  <c r="AB34" i="40"/>
  <c r="U34" i="40"/>
  <c r="H40" i="40"/>
  <c r="F40" i="40"/>
  <c r="AZ398" i="3"/>
  <c r="AZ443" i="3"/>
  <c r="J36" i="35"/>
  <c r="G551" i="3"/>
  <c r="BL548" i="3"/>
  <c r="AZ548" i="3" s="1"/>
  <c r="AZ422" i="3"/>
  <c r="AZ458" i="3"/>
  <c r="J34" i="35"/>
  <c r="F34" i="35"/>
  <c r="AZ413" i="3"/>
  <c r="AZ404" i="3"/>
  <c r="G419" i="3"/>
  <c r="BL428" i="3"/>
  <c r="AZ428" i="3" s="1"/>
  <c r="BL432" i="3"/>
  <c r="BL435" i="3"/>
  <c r="G437" i="3"/>
  <c r="BA440" i="3"/>
  <c r="AZ440" i="3" s="1"/>
  <c r="BL442" i="3"/>
  <c r="BL445" i="3"/>
  <c r="BL461" i="3"/>
  <c r="AZ461" i="3" s="1"/>
  <c r="AZ467" i="3"/>
  <c r="AZ475" i="3"/>
  <c r="AZ476" i="3"/>
  <c r="AZ478" i="3"/>
  <c r="AZ487" i="3"/>
  <c r="BL417" i="3"/>
  <c r="AZ417" i="3" s="1"/>
  <c r="G427" i="3"/>
  <c r="AZ432" i="3"/>
  <c r="BL436" i="3"/>
  <c r="BL438" i="3"/>
  <c r="AZ438" i="3" s="1"/>
  <c r="G440" i="3"/>
  <c r="BA442" i="3"/>
  <c r="AZ442" i="3" s="1"/>
  <c r="AZ445" i="3"/>
  <c r="G447" i="3"/>
  <c r="BL449" i="3"/>
  <c r="AZ449" i="3" s="1"/>
  <c r="AZ397" i="3"/>
  <c r="AZ221" i="3"/>
  <c r="AZ230" i="3"/>
  <c r="AZ262" i="3"/>
  <c r="BL421" i="3"/>
  <c r="AZ421" i="3" s="1"/>
  <c r="BA426" i="3"/>
  <c r="AZ426" i="3" s="1"/>
  <c r="BA435" i="3"/>
  <c r="BA436" i="3"/>
  <c r="AZ436" i="3" s="1"/>
  <c r="BL439" i="3"/>
  <c r="AZ439" i="3" s="1"/>
  <c r="BL441" i="3"/>
  <c r="AZ441" i="3" s="1"/>
  <c r="BL446" i="3"/>
  <c r="AZ446" i="3" s="1"/>
  <c r="G451" i="3"/>
  <c r="BA454" i="3"/>
  <c r="AZ464" i="3"/>
  <c r="AZ471" i="3"/>
  <c r="AZ477" i="3"/>
  <c r="AZ483" i="3"/>
  <c r="AZ484" i="3"/>
  <c r="AZ486" i="3"/>
  <c r="AZ316" i="3"/>
  <c r="AZ255" i="3"/>
  <c r="A15" i="62"/>
  <c r="B61" i="72" s="1"/>
  <c r="BA429" i="3"/>
  <c r="AZ429" i="3" s="1"/>
  <c r="BL453" i="3"/>
  <c r="AZ453" i="3" s="1"/>
  <c r="AZ260" i="3"/>
  <c r="BL221" i="3"/>
  <c r="BA229" i="3"/>
  <c r="AZ229" i="3" s="1"/>
  <c r="BA234" i="3"/>
  <c r="AZ234" i="3" s="1"/>
  <c r="BL238" i="3"/>
  <c r="AZ238" i="3" s="1"/>
  <c r="G242" i="3"/>
  <c r="BA249" i="3"/>
  <c r="AZ249" i="3" s="1"/>
  <c r="BL253" i="3"/>
  <c r="BL258" i="3"/>
  <c r="BA264" i="3"/>
  <c r="AZ264" i="3" s="1"/>
  <c r="BL273" i="3"/>
  <c r="AZ273" i="3" s="1"/>
  <c r="G274" i="3"/>
  <c r="BL279" i="3"/>
  <c r="AZ279" i="3" s="1"/>
  <c r="G280" i="3"/>
  <c r="BL281" i="3"/>
  <c r="AZ281" i="3" s="1"/>
  <c r="G282" i="3"/>
  <c r="BL283" i="3"/>
  <c r="AZ283" i="3" s="1"/>
  <c r="BA287" i="3"/>
  <c r="BL292" i="3"/>
  <c r="AZ292" i="3" s="1"/>
  <c r="G293" i="3"/>
  <c r="G301" i="3"/>
  <c r="G114" i="3"/>
  <c r="BA118" i="3"/>
  <c r="G252" i="3"/>
  <c r="AZ258" i="3"/>
  <c r="AZ134" i="3"/>
  <c r="AZ137" i="3"/>
  <c r="AZ22" i="3"/>
  <c r="AZ226" i="3"/>
  <c r="AZ236" i="3"/>
  <c r="AZ270" i="3"/>
  <c r="AZ294" i="3"/>
  <c r="BA300" i="3"/>
  <c r="AZ300" i="3" s="1"/>
  <c r="BA301" i="3"/>
  <c r="AZ301" i="3" s="1"/>
  <c r="BA113" i="3"/>
  <c r="AZ113" i="3" s="1"/>
  <c r="BL118" i="3"/>
  <c r="G119" i="3"/>
  <c r="BA120" i="3"/>
  <c r="AZ120" i="3" s="1"/>
  <c r="AZ145" i="3"/>
  <c r="BL223" i="3"/>
  <c r="AZ223" i="3" s="1"/>
  <c r="BA239" i="3"/>
  <c r="BL243" i="3"/>
  <c r="AZ243" i="3" s="1"/>
  <c r="BL246" i="3"/>
  <c r="AZ246" i="3" s="1"/>
  <c r="BA256" i="3"/>
  <c r="AZ256" i="3" s="1"/>
  <c r="BA261" i="3"/>
  <c r="AZ261" i="3" s="1"/>
  <c r="BL268" i="3"/>
  <c r="AZ268" i="3" s="1"/>
  <c r="BA271" i="3"/>
  <c r="AZ271" i="3" s="1"/>
  <c r="AZ276" i="3"/>
  <c r="BA277" i="3"/>
  <c r="AZ277" i="3" s="1"/>
  <c r="BL284" i="3"/>
  <c r="AZ284" i="3" s="1"/>
  <c r="BA290" i="3"/>
  <c r="AZ290" i="3" s="1"/>
  <c r="BA298" i="3"/>
  <c r="AZ298" i="3" s="1"/>
  <c r="AZ126" i="3"/>
  <c r="AZ129" i="3"/>
  <c r="AZ141" i="3"/>
  <c r="BL182" i="3"/>
  <c r="AZ182" i="3" s="1"/>
  <c r="BL66" i="3"/>
  <c r="AZ68" i="3"/>
  <c r="AZ44" i="3"/>
  <c r="AZ60" i="3"/>
  <c r="AZ92" i="3"/>
  <c r="AZ108" i="3"/>
  <c r="BL197" i="3"/>
  <c r="AZ197" i="3" s="1"/>
  <c r="AZ38" i="3"/>
  <c r="AZ56" i="3"/>
  <c r="AZ90" i="3"/>
  <c r="BA184" i="3"/>
  <c r="AZ184" i="3" s="1"/>
  <c r="BA190" i="3"/>
  <c r="AZ190" i="3" s="1"/>
  <c r="G194" i="3"/>
  <c r="BL202" i="3"/>
  <c r="AZ202" i="3" s="1"/>
  <c r="BL206" i="3"/>
  <c r="AZ206" i="3" s="1"/>
  <c r="BA19" i="3"/>
  <c r="AZ19" i="3" s="1"/>
  <c r="BL21" i="3"/>
  <c r="AZ21" i="3" s="1"/>
  <c r="BA24" i="3"/>
  <c r="AZ24" i="3" s="1"/>
  <c r="BL27" i="3"/>
  <c r="G30" i="3"/>
  <c r="BL31" i="3"/>
  <c r="AZ31" i="3" s="1"/>
  <c r="BA34" i="3"/>
  <c r="AZ34" i="3" s="1"/>
  <c r="AZ36" i="3"/>
  <c r="BA37" i="3"/>
  <c r="AZ37" i="3" s="1"/>
  <c r="BA39" i="3"/>
  <c r="AZ39" i="3" s="1"/>
  <c r="BA42" i="3"/>
  <c r="AZ42" i="3" s="1"/>
  <c r="G45" i="3"/>
  <c r="BL46" i="3"/>
  <c r="AZ46" i="3" s="1"/>
  <c r="BL49" i="3"/>
  <c r="AZ49" i="3" s="1"/>
  <c r="BA52" i="3"/>
  <c r="AZ52" i="3" s="1"/>
  <c r="AZ54" i="3"/>
  <c r="BA55" i="3"/>
  <c r="AZ55" i="3" s="1"/>
  <c r="BA58" i="3"/>
  <c r="AZ58" i="3" s="1"/>
  <c r="G61" i="3"/>
  <c r="BL62" i="3"/>
  <c r="AZ62" i="3" s="1"/>
  <c r="BL71" i="3"/>
  <c r="AZ73" i="3"/>
  <c r="BA63" i="3"/>
  <c r="AZ63" i="3" s="1"/>
  <c r="BA81" i="3"/>
  <c r="BA85" i="3"/>
  <c r="AZ85" i="3" s="1"/>
  <c r="BL89" i="3"/>
  <c r="AZ89" i="3" s="1"/>
  <c r="BA107" i="3"/>
  <c r="AZ107" i="3" s="1"/>
  <c r="BA112" i="3"/>
  <c r="AZ112" i="3" s="1"/>
  <c r="D44" i="71"/>
  <c r="T44" i="71"/>
  <c r="G67" i="3"/>
  <c r="G72" i="3"/>
  <c r="BA76" i="3"/>
  <c r="AZ76" i="3" s="1"/>
  <c r="BL80" i="3"/>
  <c r="AZ80" i="3" s="1"/>
  <c r="G84" i="3"/>
  <c r="BL87" i="3"/>
  <c r="AZ87" i="3" s="1"/>
  <c r="BA93" i="3"/>
  <c r="AZ93" i="3" s="1"/>
  <c r="BA96" i="3"/>
  <c r="AZ96" i="3" s="1"/>
  <c r="BA99" i="3"/>
  <c r="AZ99" i="3" s="1"/>
  <c r="BL104" i="3"/>
  <c r="AZ104" i="3" s="1"/>
  <c r="BL111" i="3"/>
  <c r="AZ111" i="3" s="1"/>
  <c r="AC21" i="34"/>
  <c r="C35" i="71"/>
  <c r="D34" i="71"/>
  <c r="BA66" i="3"/>
  <c r="AZ66" i="3" s="1"/>
  <c r="BA71" i="3"/>
  <c r="AZ71" i="3" s="1"/>
  <c r="BL75" i="3"/>
  <c r="AZ75" i="3" s="1"/>
  <c r="BL78" i="3"/>
  <c r="AZ78" i="3" s="1"/>
  <c r="BA83" i="3"/>
  <c r="AZ83" i="3" s="1"/>
  <c r="G91" i="3"/>
  <c r="BL95" i="3"/>
  <c r="BL98" i="3"/>
  <c r="AZ98" i="3" s="1"/>
  <c r="BL109" i="3"/>
  <c r="AZ109" i="3" s="1"/>
  <c r="U21" i="34"/>
  <c r="AB18" i="35"/>
  <c r="U18" i="35"/>
  <c r="C52" i="71"/>
  <c r="D51" i="71"/>
  <c r="C55" i="71"/>
  <c r="D54" i="71"/>
  <c r="C60" i="71"/>
  <c r="D59" i="71"/>
  <c r="AZ95" i="3"/>
  <c r="U25" i="40"/>
  <c r="T64" i="71"/>
  <c r="AA28" i="71"/>
  <c r="AA3" i="71"/>
  <c r="C27" i="71"/>
  <c r="T68" i="71"/>
  <c r="X27" i="71"/>
  <c r="Y26" i="71"/>
  <c r="Z26" i="71" s="1"/>
  <c r="Y33" i="71"/>
  <c r="Z33" i="71" s="1"/>
  <c r="Y29" i="71"/>
  <c r="Z29" i="71" s="1"/>
  <c r="B32" i="71"/>
  <c r="S32" i="71" s="1"/>
  <c r="AB29" i="71"/>
  <c r="AB30" i="71"/>
  <c r="Y31" i="71"/>
  <c r="Z31" i="71" s="1"/>
  <c r="Y35" i="71"/>
  <c r="Z35" i="71" s="1"/>
  <c r="AB36" i="71"/>
  <c r="F38" i="71"/>
  <c r="F39" i="71" s="1"/>
  <c r="F40" i="71" s="1"/>
  <c r="V40" i="71" s="1"/>
  <c r="E51" i="71"/>
  <c r="E52" i="71" s="1"/>
  <c r="U52" i="71" s="1"/>
  <c r="V68" i="71"/>
  <c r="F67" i="71"/>
  <c r="X24" i="71"/>
  <c r="AA24" i="71"/>
  <c r="X22" i="71"/>
  <c r="X21" i="71"/>
  <c r="AA21" i="71"/>
  <c r="Y11" i="71"/>
  <c r="Z11" i="71" s="1"/>
  <c r="AB14" i="71"/>
  <c r="S21" i="21"/>
  <c r="U18" i="36"/>
  <c r="AA25" i="40"/>
  <c r="AA27" i="71"/>
  <c r="AB27" i="71"/>
  <c r="T28" i="71"/>
  <c r="C67" i="71"/>
  <c r="Y28" i="71"/>
  <c r="Z28" i="71" s="1"/>
  <c r="AA34" i="71"/>
  <c r="C30" i="71"/>
  <c r="E31" i="71"/>
  <c r="E32" i="71" s="1"/>
  <c r="U32" i="71" s="1"/>
  <c r="AB24" i="71"/>
  <c r="Y24" i="71"/>
  <c r="Z24" i="71" s="1"/>
  <c r="Y21" i="71"/>
  <c r="Z21" i="71" s="1"/>
  <c r="Y22" i="71"/>
  <c r="Z22" i="71" s="1"/>
  <c r="Y25" i="71"/>
  <c r="Z25" i="71" s="1"/>
  <c r="AB23" i="71"/>
  <c r="AA23" i="71"/>
  <c r="AA18" i="71"/>
  <c r="X18" i="71"/>
  <c r="AA15" i="71"/>
  <c r="AA11" i="71"/>
  <c r="AA13" i="71"/>
  <c r="AA14" i="71"/>
  <c r="AA17" i="71"/>
  <c r="AA12" i="71"/>
  <c r="B28" i="71"/>
  <c r="X26" i="71"/>
  <c r="Y10" i="71"/>
  <c r="Z10" i="71" s="1"/>
  <c r="Y9" i="71"/>
  <c r="Z9" i="71" s="1"/>
  <c r="Y39" i="71"/>
  <c r="Z39" i="71" s="1"/>
  <c r="E23" i="71"/>
  <c r="E22" i="71" s="1"/>
  <c r="E21" i="71" s="1"/>
  <c r="E20" i="71" s="1"/>
  <c r="V24" i="71"/>
  <c r="Y18" i="71"/>
  <c r="Z18" i="71" s="1"/>
  <c r="Y13" i="71"/>
  <c r="Z13" i="71" s="1"/>
  <c r="X28" i="71"/>
  <c r="F30" i="71"/>
  <c r="F31" i="71" s="1"/>
  <c r="F32" i="71" s="1"/>
  <c r="V32" i="71" s="1"/>
  <c r="E34" i="71"/>
  <c r="E35" i="71" s="1"/>
  <c r="E36" i="71" s="1"/>
  <c r="U36" i="71" s="1"/>
  <c r="AA33" i="71"/>
  <c r="X33" i="71"/>
  <c r="X34" i="71"/>
  <c r="AB35" i="71"/>
  <c r="Y38" i="71"/>
  <c r="Z38" i="71" s="1"/>
  <c r="AA10" i="71"/>
  <c r="AA39" i="71"/>
  <c r="AA9" i="71"/>
  <c r="Y23" i="71"/>
  <c r="Z23" i="71" s="1"/>
  <c r="AB21" i="71"/>
  <c r="Y17" i="71"/>
  <c r="Z17" i="71" s="1"/>
  <c r="AB18" i="71"/>
  <c r="X11" i="71"/>
  <c r="X17" i="71"/>
  <c r="X10" i="71"/>
  <c r="AB9" i="71"/>
  <c r="N56" i="9"/>
  <c r="AB15" i="71"/>
  <c r="AB17" i="71"/>
  <c r="AB12" i="71"/>
  <c r="Y12" i="71"/>
  <c r="Z12" i="71" s="1"/>
  <c r="X15" i="71"/>
  <c r="AB11" i="71"/>
  <c r="Y14" i="71"/>
  <c r="Z14" i="71" s="1"/>
  <c r="X13" i="71"/>
  <c r="X9" i="71"/>
  <c r="AB10" i="71"/>
  <c r="X12"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F30" i="6"/>
  <c r="G30" i="6"/>
  <c r="G31" i="6" s="1"/>
  <c r="E28" i="6"/>
  <c r="L19" i="6"/>
  <c r="L27" i="6" s="1"/>
  <c r="M6" i="1"/>
  <c r="O6" i="1" s="1"/>
  <c r="T13" i="1"/>
  <c r="C58" i="21"/>
  <c r="D58" i="21" s="1"/>
  <c r="C58" i="33"/>
  <c r="C59" i="34"/>
  <c r="D59" i="34" s="1"/>
  <c r="E59" i="34" s="1"/>
  <c r="F59" i="34" s="1"/>
  <c r="G59" i="34" s="1"/>
  <c r="H59" i="34" s="1"/>
  <c r="I59" i="34" s="1"/>
  <c r="J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G62" i="43" s="1"/>
  <c r="H58" i="43"/>
  <c r="H51" i="43"/>
  <c r="H56" i="43"/>
  <c r="H65" i="43"/>
  <c r="G65" i="43" s="1"/>
  <c r="D72" i="43"/>
  <c r="D76" i="43"/>
  <c r="D80" i="43"/>
  <c r="P61" i="15"/>
  <c r="C94" i="9"/>
  <c r="C92" i="9"/>
  <c r="C77" i="9"/>
  <c r="C74" i="9" s="1"/>
  <c r="C21" i="69"/>
  <c r="J84" i="43"/>
  <c r="J85" i="43"/>
  <c r="J86" i="43"/>
  <c r="J87" i="43"/>
  <c r="J88" i="43"/>
  <c r="J89" i="43"/>
  <c r="J90" i="43"/>
  <c r="D83" i="43"/>
  <c r="E83" i="43" s="1"/>
  <c r="B81" i="43" s="1"/>
  <c r="D64" i="43"/>
  <c r="D62" i="43"/>
  <c r="D69" i="43"/>
  <c r="D73" i="43"/>
  <c r="D75" i="43"/>
  <c r="D79" i="43"/>
  <c r="D22" i="67"/>
  <c r="AQ13" i="1"/>
  <c r="Q16" i="1"/>
  <c r="E15" i="6"/>
  <c r="E64" i="39" s="1"/>
  <c r="H16" i="1"/>
  <c r="P11" i="1"/>
  <c r="K14"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G63" i="43" s="1"/>
  <c r="H61" i="43"/>
  <c r="G61" i="43" s="1"/>
  <c r="H53" i="43"/>
  <c r="H79" i="43"/>
  <c r="D17" i="53"/>
  <c r="B36" i="72" s="1"/>
  <c r="D124" i="9"/>
  <c r="H74" i="43"/>
  <c r="H57" i="43"/>
  <c r="H66" i="43"/>
  <c r="G66" i="43" s="1"/>
  <c r="H68" i="43"/>
  <c r="G68" i="43" s="1"/>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B20" i="31"/>
  <c r="B21" i="31" s="1"/>
  <c r="I1" i="73"/>
  <c r="B39" i="1" s="1"/>
  <c r="M7" i="15"/>
  <c r="F50" i="15"/>
  <c r="F71" i="15"/>
  <c r="L59" i="15"/>
  <c r="N59" i="15"/>
  <c r="L58" i="15"/>
  <c r="M59" i="15"/>
  <c r="C27" i="67"/>
  <c r="C27" i="15"/>
  <c r="F65" i="15"/>
  <c r="B13" i="70"/>
  <c r="F64" i="67"/>
  <c r="F68" i="15"/>
  <c r="C36" i="68"/>
  <c r="D9" i="68"/>
  <c r="D3" i="73"/>
  <c r="M23" i="67"/>
  <c r="F8" i="67"/>
  <c r="M26" i="15"/>
  <c r="F6" i="15"/>
  <c r="D4" i="73"/>
  <c r="F8" i="15"/>
  <c r="J15" i="15"/>
  <c r="L48" i="67"/>
  <c r="J15" i="67"/>
  <c r="F38" i="67"/>
  <c r="C76" i="67"/>
  <c r="F7" i="67"/>
  <c r="M6" i="67"/>
  <c r="M29" i="67"/>
  <c r="C16" i="15"/>
  <c r="M28" i="67"/>
  <c r="M24" i="67"/>
  <c r="M26" i="67"/>
  <c r="D9" i="69"/>
  <c r="F9" i="15"/>
  <c r="C76" i="15"/>
  <c r="L47" i="67"/>
  <c r="M9" i="15"/>
  <c r="F38" i="15"/>
  <c r="F36" i="15"/>
  <c r="M23" i="15"/>
  <c r="F27" i="69"/>
  <c r="M8" i="15"/>
  <c r="D5" i="73"/>
  <c r="F40" i="67"/>
  <c r="M24" i="15"/>
  <c r="F42" i="15"/>
  <c r="F37" i="67"/>
  <c r="C36" i="69"/>
  <c r="F43" i="67"/>
  <c r="D6" i="73"/>
  <c r="D7" i="73"/>
  <c r="M9" i="67"/>
  <c r="AC23" i="34" l="1"/>
  <c r="AA23" i="34"/>
  <c r="S23" i="34"/>
  <c r="F71" i="67"/>
  <c r="Q71" i="15"/>
  <c r="F66" i="15"/>
  <c r="C6" i="15"/>
  <c r="C32" i="15" s="1"/>
  <c r="F51" i="15"/>
  <c r="F64" i="15"/>
  <c r="G5" i="3"/>
  <c r="B3" i="3" s="1"/>
  <c r="A3" i="3" s="1"/>
  <c r="I4" i="6" s="1"/>
  <c r="W7" i="85"/>
  <c r="AC7" i="85"/>
  <c r="AZ178" i="3"/>
  <c r="AZ267" i="3"/>
  <c r="AZ219" i="3"/>
  <c r="AP6" i="1"/>
  <c r="AC26" i="33"/>
  <c r="W26" i="33"/>
  <c r="W45" i="39"/>
  <c r="AC45" i="39"/>
  <c r="W46" i="34"/>
  <c r="AC46" i="34"/>
  <c r="AB13" i="40"/>
  <c r="U13" i="40"/>
  <c r="AA24" i="36"/>
  <c r="S24" i="36"/>
  <c r="AZ27" i="3"/>
  <c r="AZ239" i="3"/>
  <c r="AZ253" i="3"/>
  <c r="AZ435" i="3"/>
  <c r="M67" i="43"/>
  <c r="N67" i="43" s="1"/>
  <c r="K67" i="43"/>
  <c r="AZ84" i="3"/>
  <c r="AZ101" i="3"/>
  <c r="AZ29" i="3"/>
  <c r="AZ43" i="3"/>
  <c r="AZ30" i="3"/>
  <c r="AZ25" i="3"/>
  <c r="AZ41" i="3"/>
  <c r="AZ185" i="3"/>
  <c r="AZ265" i="3"/>
  <c r="AZ274" i="3"/>
  <c r="AZ266" i="3"/>
  <c r="AZ225" i="3"/>
  <c r="AZ218" i="3"/>
  <c r="AZ480" i="3"/>
  <c r="AZ415" i="3"/>
  <c r="F34" i="34"/>
  <c r="H34" i="34"/>
  <c r="J34" i="34"/>
  <c r="S26" i="33"/>
  <c r="AA26" i="33"/>
  <c r="AA44" i="39"/>
  <c r="S44" i="39"/>
  <c r="U45" i="39"/>
  <c r="AB45" i="39"/>
  <c r="S46" i="34"/>
  <c r="AA46" i="34"/>
  <c r="D121" i="9"/>
  <c r="D7" i="52" s="1"/>
  <c r="D6" i="52"/>
  <c r="AB38" i="40"/>
  <c r="U38" i="40"/>
  <c r="AC24" i="36"/>
  <c r="W24" i="36"/>
  <c r="M68" i="43"/>
  <c r="N68" i="43" s="1"/>
  <c r="K68" i="43"/>
  <c r="J68" i="43" s="1"/>
  <c r="D68" i="43" s="1"/>
  <c r="M61" i="43"/>
  <c r="K61" i="43"/>
  <c r="J61" i="43" s="1"/>
  <c r="S7" i="85"/>
  <c r="AA7" i="85"/>
  <c r="C40" i="71"/>
  <c r="D39" i="71"/>
  <c r="N66" i="71"/>
  <c r="N65" i="71"/>
  <c r="AZ121" i="3"/>
  <c r="AZ231" i="3"/>
  <c r="AC26" i="37"/>
  <c r="W26" i="37"/>
  <c r="AC25" i="37"/>
  <c r="W25" i="37"/>
  <c r="AZ535" i="3"/>
  <c r="AA38" i="40"/>
  <c r="S38" i="40"/>
  <c r="J6" i="15"/>
  <c r="J18" i="15" s="1"/>
  <c r="M66" i="43"/>
  <c r="N66" i="43" s="1"/>
  <c r="K66" i="43"/>
  <c r="M63" i="43"/>
  <c r="N63" i="43" s="1"/>
  <c r="K63" i="43"/>
  <c r="M65" i="43"/>
  <c r="N65" i="43" s="1"/>
  <c r="K65" i="43"/>
  <c r="M62" i="43"/>
  <c r="N62" i="43" s="1"/>
  <c r="K62" i="43"/>
  <c r="J62" i="43" s="1"/>
  <c r="D87" i="71"/>
  <c r="AZ81" i="3"/>
  <c r="AZ287" i="3"/>
  <c r="AZ454" i="3"/>
  <c r="U7" i="85"/>
  <c r="AB7" i="85"/>
  <c r="AZ77" i="3"/>
  <c r="P65" i="71"/>
  <c r="P66" i="71"/>
  <c r="AZ33" i="3"/>
  <c r="AZ102" i="3"/>
  <c r="AZ26" i="3"/>
  <c r="AZ291" i="3"/>
  <c r="AZ193" i="3"/>
  <c r="AZ288" i="3"/>
  <c r="AZ227" i="3"/>
  <c r="AZ386" i="3"/>
  <c r="AZ169" i="3"/>
  <c r="AZ154" i="3"/>
  <c r="AZ367" i="3"/>
  <c r="AZ408" i="3"/>
  <c r="H34" i="85"/>
  <c r="F34" i="85"/>
  <c r="J34" i="85"/>
  <c r="AZ578" i="3"/>
  <c r="AB26" i="37"/>
  <c r="U26" i="37"/>
  <c r="AA25" i="37"/>
  <c r="S25" i="37"/>
  <c r="W13" i="40"/>
  <c r="AC13" i="40"/>
  <c r="W13" i="33"/>
  <c r="AC13" i="33"/>
  <c r="AC38" i="40"/>
  <c r="W38" i="40"/>
  <c r="AZ586" i="3"/>
  <c r="S30" i="34"/>
  <c r="AA30" i="34"/>
  <c r="S9" i="34"/>
  <c r="F48" i="9"/>
  <c r="O52" i="9" s="1"/>
  <c r="F28" i="67"/>
  <c r="C28" i="67" s="1"/>
  <c r="F32" i="67"/>
  <c r="F60" i="67" s="1"/>
  <c r="F28" i="15"/>
  <c r="C28" i="15" s="1"/>
  <c r="D68" i="9"/>
  <c r="F31" i="12"/>
  <c r="C31" i="12" s="1"/>
  <c r="F30" i="69"/>
  <c r="F54" i="9"/>
  <c r="F30" i="68"/>
  <c r="F52" i="9"/>
  <c r="F32" i="15"/>
  <c r="F60" i="15" s="1"/>
  <c r="F30" i="11"/>
  <c r="M18" i="67"/>
  <c r="M18" i="15"/>
  <c r="E63" i="39"/>
  <c r="E59" i="40"/>
  <c r="K16" i="1"/>
  <c r="E13" i="6"/>
  <c r="E58" i="40" s="1"/>
  <c r="E12" i="6"/>
  <c r="E57" i="40" s="1"/>
  <c r="E10" i="6"/>
  <c r="E8" i="6"/>
  <c r="F27" i="6" s="1"/>
  <c r="E11" i="6"/>
  <c r="E60" i="39" s="1"/>
  <c r="P6" i="1"/>
  <c r="C13" i="12" s="1"/>
  <c r="L56" i="67"/>
  <c r="I54" i="67"/>
  <c r="J53" i="67"/>
  <c r="Q52" i="67" s="1"/>
  <c r="J57" i="67"/>
  <c r="J55" i="67" s="1"/>
  <c r="J58" i="67" s="1"/>
  <c r="Q50" i="67" s="1"/>
  <c r="F65" i="67"/>
  <c r="F51" i="67"/>
  <c r="Q71" i="67"/>
  <c r="F66" i="67"/>
  <c r="F31" i="67"/>
  <c r="M7" i="67"/>
  <c r="J6" i="67" s="1"/>
  <c r="J18" i="67" s="1"/>
  <c r="F50" i="67"/>
  <c r="F59" i="67" s="1"/>
  <c r="F68" i="67"/>
  <c r="K1" i="73"/>
  <c r="L58" i="67"/>
  <c r="Q60" i="67" s="1"/>
  <c r="M59" i="67"/>
  <c r="N59" i="67"/>
  <c r="L59" i="67"/>
  <c r="Q74" i="67" s="1"/>
  <c r="E510" i="3"/>
  <c r="E329" i="3"/>
  <c r="E188" i="3"/>
  <c r="E223" i="3"/>
  <c r="E116" i="3"/>
  <c r="E393" i="3"/>
  <c r="E493" i="3"/>
  <c r="E564" i="3"/>
  <c r="E486" i="3"/>
  <c r="E507" i="3"/>
  <c r="E422" i="3"/>
  <c r="E376" i="3"/>
  <c r="AH6" i="3"/>
  <c r="J6" i="3"/>
  <c r="E483" i="3"/>
  <c r="E401" i="3"/>
  <c r="E463" i="3"/>
  <c r="E25" i="3"/>
  <c r="E108" i="3"/>
  <c r="E178" i="3"/>
  <c r="E226" i="3"/>
  <c r="E276" i="3"/>
  <c r="E346" i="3"/>
  <c r="E372" i="3"/>
  <c r="L6" i="3"/>
  <c r="E60" i="3"/>
  <c r="E540" i="3"/>
  <c r="E473" i="3"/>
  <c r="E15" i="3"/>
  <c r="E455" i="3"/>
  <c r="E79" i="3"/>
  <c r="E38" i="3"/>
  <c r="E100" i="3"/>
  <c r="E170" i="3"/>
  <c r="E137" i="3"/>
  <c r="E234" i="3"/>
  <c r="E219" i="3"/>
  <c r="E299" i="3"/>
  <c r="E339" i="3"/>
  <c r="E325" i="3"/>
  <c r="E392" i="3"/>
  <c r="AQ6" i="3"/>
  <c r="E52" i="3"/>
  <c r="E36" i="3"/>
  <c r="E112" i="3"/>
  <c r="E123" i="3"/>
  <c r="E147" i="3"/>
  <c r="E289" i="3"/>
  <c r="E340" i="3"/>
  <c r="E364" i="3"/>
  <c r="E50" i="3"/>
  <c r="E20" i="3"/>
  <c r="E62" i="3"/>
  <c r="E176" i="3"/>
  <c r="E218" i="3"/>
  <c r="E265" i="3"/>
  <c r="E365" i="3"/>
  <c r="E524" i="3"/>
  <c r="E101" i="3"/>
  <c r="E205" i="3"/>
  <c r="E296" i="3"/>
  <c r="E140" i="3"/>
  <c r="E197" i="3"/>
  <c r="E173" i="3"/>
  <c r="E369" i="3"/>
  <c r="E525" i="3"/>
  <c r="E534" i="3"/>
  <c r="T6" i="3"/>
  <c r="E405" i="3"/>
  <c r="E456" i="3"/>
  <c r="E469" i="3"/>
  <c r="E512" i="3"/>
  <c r="E408"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65" i="3"/>
  <c r="E244" i="3"/>
  <c r="E149" i="3"/>
  <c r="E167" i="3"/>
  <c r="E141" i="3"/>
  <c r="E312" i="3"/>
  <c r="AD6" i="3"/>
  <c r="E542" i="3"/>
  <c r="E552" i="3"/>
  <c r="E421" i="3"/>
  <c r="E464" i="3"/>
  <c r="E487" i="3"/>
  <c r="E398" i="3"/>
  <c r="E416" i="3"/>
  <c r="E459" i="3"/>
  <c r="E374" i="3"/>
  <c r="E566" i="3"/>
  <c r="E500" i="3"/>
  <c r="E582" i="3"/>
  <c r="E413" i="3"/>
  <c r="E460"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10" i="3"/>
  <c r="E492" i="3"/>
  <c r="E23" i="3"/>
  <c r="E33" i="3"/>
  <c r="E144" i="3"/>
  <c r="E184" i="3"/>
  <c r="E233" i="3"/>
  <c r="E381" i="3"/>
  <c r="E68" i="3"/>
  <c r="E63" i="3"/>
  <c r="E81" i="3"/>
  <c r="E118" i="3"/>
  <c r="E264" i="3"/>
  <c r="E283" i="3"/>
  <c r="E309" i="3"/>
  <c r="E513" i="3"/>
  <c r="E21" i="3"/>
  <c r="E39" i="3"/>
  <c r="E187" i="3"/>
  <c r="E259" i="3"/>
  <c r="E504" i="3"/>
  <c r="E462" i="3"/>
  <c r="E98" i="3"/>
  <c r="E163" i="3"/>
  <c r="E307" i="3"/>
  <c r="E66" i="3"/>
  <c r="E127" i="3"/>
  <c r="Y6" i="3"/>
  <c r="E179" i="3"/>
  <c r="E82" i="3"/>
  <c r="E131" i="3"/>
  <c r="E375" i="3"/>
  <c r="E47" i="3"/>
  <c r="E266" i="3"/>
  <c r="E87" i="3"/>
  <c r="E154" i="3"/>
  <c r="E90" i="3"/>
  <c r="E155" i="3"/>
  <c r="E348" i="3"/>
  <c r="E58" i="3"/>
  <c r="E521" i="3"/>
  <c r="E65" i="3"/>
  <c r="E248" i="3"/>
  <c r="E386" i="3"/>
  <c r="E24" i="3"/>
  <c r="E250" i="3"/>
  <c r="E51" i="3"/>
  <c r="E222" i="3"/>
  <c r="E436" i="3"/>
  <c r="E297" i="3"/>
  <c r="E488" i="3"/>
  <c r="E195" i="3"/>
  <c r="E584" i="3"/>
  <c r="E341" i="3"/>
  <c r="E373" i="3"/>
  <c r="E520" i="3"/>
  <c r="E57" i="3"/>
  <c r="E240" i="3"/>
  <c r="E378" i="3"/>
  <c r="E110" i="3"/>
  <c r="E446" i="3"/>
  <c r="E138" i="3"/>
  <c r="E209" i="3"/>
  <c r="E354" i="3"/>
  <c r="E48" i="3"/>
  <c r="E284" i="3"/>
  <c r="E19" i="3"/>
  <c r="E323"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371"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55"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D30" i="71"/>
  <c r="C31" i="71"/>
  <c r="C26" i="71"/>
  <c r="D26" i="71" s="1"/>
  <c r="D27" i="71"/>
  <c r="C56" i="71"/>
  <c r="D55" i="71"/>
  <c r="C36" i="71"/>
  <c r="D35" i="71"/>
  <c r="E119" i="3"/>
  <c r="E419" i="3"/>
  <c r="AB23" i="36"/>
  <c r="U23" i="36"/>
  <c r="AB9" i="33"/>
  <c r="U9" i="33"/>
  <c r="U13" i="35"/>
  <c r="AB13" i="35"/>
  <c r="U12" i="33"/>
  <c r="AB12" i="33"/>
  <c r="BL5" i="3"/>
  <c r="F66" i="71"/>
  <c r="Q67" i="71"/>
  <c r="E194" i="3"/>
  <c r="AZ118" i="3"/>
  <c r="AZ5" i="3" s="1"/>
  <c r="E451" i="3"/>
  <c r="AC36" i="35"/>
  <c r="W36" i="35"/>
  <c r="AA40" i="40"/>
  <c r="S40" i="40"/>
  <c r="AC12" i="36"/>
  <c r="W12" i="36"/>
  <c r="S44" i="21"/>
  <c r="AA44" i="21"/>
  <c r="D21" i="71"/>
  <c r="C20" i="71"/>
  <c r="J7" i="37"/>
  <c r="AC7" i="37" s="1"/>
  <c r="V42" i="37" s="1"/>
  <c r="I42" i="37" s="1"/>
  <c r="E19" i="71"/>
  <c r="E18" i="71" s="1"/>
  <c r="E17" i="71" s="1"/>
  <c r="E16" i="71" s="1"/>
  <c r="V20" i="71"/>
  <c r="T60" i="71"/>
  <c r="D60" i="71"/>
  <c r="T52" i="71"/>
  <c r="D52" i="71"/>
  <c r="E84" i="3"/>
  <c r="E67" i="3"/>
  <c r="E242" i="3"/>
  <c r="S34" i="35"/>
  <c r="AA34" i="35"/>
  <c r="AB40" i="40"/>
  <c r="U40" i="40"/>
  <c r="U39" i="40"/>
  <c r="AB39" i="40"/>
  <c r="AC23" i="36"/>
  <c r="W23" i="36"/>
  <c r="W12" i="34"/>
  <c r="AC12" i="34"/>
  <c r="U12" i="34"/>
  <c r="AB12" i="34"/>
  <c r="BA5" i="3"/>
  <c r="E27" i="6" s="1"/>
  <c r="K26" i="6" s="1"/>
  <c r="M26" i="6" s="1"/>
  <c r="I26" i="6" s="1"/>
  <c r="S26" i="6" s="1"/>
  <c r="B15" i="71"/>
  <c r="B14" i="71" s="1"/>
  <c r="B13" i="71" s="1"/>
  <c r="B12" i="71" s="1"/>
  <c r="S16" i="71"/>
  <c r="B27" i="71"/>
  <c r="B26" i="71" s="1"/>
  <c r="S28" i="71"/>
  <c r="D67" i="71"/>
  <c r="C66" i="71"/>
  <c r="O67" i="71"/>
  <c r="E440" i="3"/>
  <c r="E427" i="3"/>
  <c r="AC34" i="35"/>
  <c r="W34" i="35"/>
  <c r="W39" i="40"/>
  <c r="AC39" i="40"/>
  <c r="AA23" i="36"/>
  <c r="S23" i="36"/>
  <c r="U9" i="34"/>
  <c r="AB9" i="34"/>
  <c r="S45" i="34"/>
  <c r="AA45" i="34"/>
  <c r="E30" i="6"/>
  <c r="E56" i="39"/>
  <c r="H7" i="34"/>
  <c r="AB7" i="34" s="1"/>
  <c r="E67" i="39"/>
  <c r="J7" i="34"/>
  <c r="W7" i="34" s="1"/>
  <c r="F7" i="34"/>
  <c r="S7" i="34" s="1"/>
  <c r="AA26" i="35"/>
  <c r="S26" i="35"/>
  <c r="AC26" i="35"/>
  <c r="W26" i="35"/>
  <c r="AB26" i="35"/>
  <c r="U26" i="35"/>
  <c r="E61" i="39"/>
  <c r="C47" i="69"/>
  <c r="D45" i="69" s="1"/>
  <c r="C9" i="69"/>
  <c r="C9" i="68"/>
  <c r="E72" i="43"/>
  <c r="B70" i="43" s="1"/>
  <c r="C29" i="69"/>
  <c r="D27" i="69" s="1"/>
  <c r="F45" i="69"/>
  <c r="F27" i="11"/>
  <c r="C29" i="11" s="1"/>
  <c r="D27" i="11" s="1"/>
  <c r="F28" i="12"/>
  <c r="C29" i="12" s="1"/>
  <c r="D28" i="12" s="1"/>
  <c r="E60" i="40"/>
  <c r="F31" i="6"/>
  <c r="E51" i="40"/>
  <c r="AC6" i="3"/>
  <c r="M14" i="1"/>
  <c r="D5" i="43"/>
  <c r="J10" i="40"/>
  <c r="AC10" i="40" s="1"/>
  <c r="H10" i="39"/>
  <c r="U10" i="39" s="1"/>
  <c r="F10" i="40"/>
  <c r="S10" i="40" s="1"/>
  <c r="J10" i="39"/>
  <c r="W10" i="39" s="1"/>
  <c r="H10" i="40"/>
  <c r="AB10" i="40" s="1"/>
  <c r="C7" i="43"/>
  <c r="C5" i="43" s="1"/>
  <c r="D10" i="52"/>
  <c r="D125" i="9"/>
  <c r="D11" i="52" s="1"/>
  <c r="B7" i="74"/>
  <c r="C7" i="74" s="1"/>
  <c r="F67" i="39"/>
  <c r="E69" i="39"/>
  <c r="H7" i="37"/>
  <c r="AB7" i="37" s="1"/>
  <c r="T42" i="37" s="1"/>
  <c r="G42" i="37" s="1"/>
  <c r="S10" i="39"/>
  <c r="AA10" i="39"/>
  <c r="H7" i="33"/>
  <c r="J7" i="33"/>
  <c r="D65" i="40"/>
  <c r="E63" i="40"/>
  <c r="F48" i="35"/>
  <c r="S7" i="36"/>
  <c r="AA7" i="36"/>
  <c r="R36" i="36" s="1"/>
  <c r="AB7" i="36"/>
  <c r="T36" i="36" s="1"/>
  <c r="G36" i="36" s="1"/>
  <c r="U7" i="36"/>
  <c r="F7" i="33"/>
  <c r="E58" i="21"/>
  <c r="AC7" i="36"/>
  <c r="V36" i="36" s="1"/>
  <c r="I36" i="36" s="1"/>
  <c r="W7" i="36"/>
  <c r="F7" i="37"/>
  <c r="M17" i="67"/>
  <c r="M17" i="15"/>
  <c r="F59" i="15"/>
  <c r="P28" i="43"/>
  <c r="B66" i="40" s="1"/>
  <c r="P25" i="43"/>
  <c r="P29" i="43"/>
  <c r="P27" i="43"/>
  <c r="B70" i="39" s="1"/>
  <c r="C49" i="15"/>
  <c r="M11" i="67"/>
  <c r="J10" i="67" s="1"/>
  <c r="F11" i="15"/>
  <c r="M11" i="15"/>
  <c r="J10" i="15" s="1"/>
  <c r="F11" i="67"/>
  <c r="F1" i="15"/>
  <c r="Q52" i="15"/>
  <c r="Q60" i="15"/>
  <c r="Q73" i="15"/>
  <c r="Q74" i="15"/>
  <c r="Q61" i="15"/>
  <c r="AE11" i="1"/>
  <c r="AE9" i="1"/>
  <c r="F27" i="68"/>
  <c r="AE7" i="1"/>
  <c r="AE8" i="1"/>
  <c r="AE12" i="1"/>
  <c r="AE10" i="1"/>
  <c r="C16" i="67"/>
  <c r="G1" i="73"/>
  <c r="J5" i="15" l="1"/>
  <c r="J24" i="15" s="1"/>
  <c r="H6" i="3"/>
  <c r="AB34" i="85"/>
  <c r="U34" i="85"/>
  <c r="T49" i="85"/>
  <c r="G49" i="85" s="1"/>
  <c r="J65" i="43"/>
  <c r="D65" i="43"/>
  <c r="J66" i="43"/>
  <c r="D66" i="43"/>
  <c r="AC34" i="34"/>
  <c r="W34" i="34"/>
  <c r="W7" i="37"/>
  <c r="AB34" i="34"/>
  <c r="T49" i="34" s="1"/>
  <c r="G49" i="34" s="1"/>
  <c r="G53" i="34" s="1"/>
  <c r="H53" i="34" s="1"/>
  <c r="U34" i="34"/>
  <c r="W34" i="85"/>
  <c r="AC34" i="85"/>
  <c r="V49" i="85" s="1"/>
  <c r="I49" i="85" s="1"/>
  <c r="J63" i="43"/>
  <c r="D63" i="43"/>
  <c r="AA34" i="34"/>
  <c r="S34" i="34"/>
  <c r="J67" i="43"/>
  <c r="D67" i="43"/>
  <c r="E43" i="3"/>
  <c r="E333" i="3"/>
  <c r="E202" i="3"/>
  <c r="E40" i="3"/>
  <c r="E498" i="3"/>
  <c r="E490" i="3"/>
  <c r="E543" i="3"/>
  <c r="E105" i="3"/>
  <c r="E16" i="3"/>
  <c r="AA34" i="85"/>
  <c r="R49" i="85" s="1"/>
  <c r="S34" i="85"/>
  <c r="D40" i="71"/>
  <c r="T40" i="71"/>
  <c r="N61" i="43"/>
  <c r="D61" i="43"/>
  <c r="Q61" i="67"/>
  <c r="F48" i="69"/>
  <c r="C30" i="69"/>
  <c r="C48" i="69"/>
  <c r="F48" i="68"/>
  <c r="C48" i="68"/>
  <c r="C30" i="68"/>
  <c r="C48" i="11"/>
  <c r="C30" i="11"/>
  <c r="E62" i="39"/>
  <c r="E65" i="39" s="1"/>
  <c r="E16" i="6"/>
  <c r="E56" i="40"/>
  <c r="J5" i="67"/>
  <c r="J24" i="67" s="1"/>
  <c r="F1" i="67"/>
  <c r="Q73" i="67"/>
  <c r="C49" i="67"/>
  <c r="B40" i="1"/>
  <c r="L36" i="43" s="1"/>
  <c r="N36" i="43" s="1"/>
  <c r="AY6" i="3"/>
  <c r="E3" i="6"/>
  <c r="B11" i="71"/>
  <c r="B10" i="71" s="1"/>
  <c r="B9" i="71" s="1"/>
  <c r="B8" i="71" s="1"/>
  <c r="B7" i="71" s="1"/>
  <c r="B6" i="71" s="1"/>
  <c r="B5" i="71" s="1"/>
  <c r="S12" i="71"/>
  <c r="D36" i="71"/>
  <c r="T36" i="71"/>
  <c r="C19" i="71"/>
  <c r="T20" i="71"/>
  <c r="D20" i="71"/>
  <c r="U20" i="71" s="1"/>
  <c r="C32" i="71"/>
  <c r="D31" i="71"/>
  <c r="E15" i="71"/>
  <c r="E14" i="71" s="1"/>
  <c r="E13" i="71" s="1"/>
  <c r="E12" i="71" s="1"/>
  <c r="V16" i="71"/>
  <c r="D56" i="71"/>
  <c r="T56" i="71"/>
  <c r="O65" i="71"/>
  <c r="O66" i="71"/>
  <c r="D66" i="71"/>
  <c r="Q66" i="71"/>
  <c r="Q65" i="71"/>
  <c r="AC7" i="34"/>
  <c r="V49" i="34" s="1"/>
  <c r="I49" i="34" s="1"/>
  <c r="I53" i="34" s="1"/>
  <c r="J53" i="34" s="1"/>
  <c r="U7" i="34"/>
  <c r="AA7" i="34"/>
  <c r="R49" i="34" s="1"/>
  <c r="E49" i="34"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3" i="3"/>
  <c r="AY34" i="3"/>
  <c r="AY23" i="3"/>
  <c r="AY155" i="3"/>
  <c r="AY95" i="3"/>
  <c r="AY59" i="3"/>
  <c r="AY131" i="3"/>
  <c r="AY111" i="3"/>
  <c r="AY58" i="3"/>
  <c r="AY268" i="3"/>
  <c r="AY382" i="3"/>
  <c r="AY371" i="3"/>
  <c r="AY103" i="3"/>
  <c r="AY196" i="3"/>
  <c r="AY160" i="3"/>
  <c r="AY183" i="3"/>
  <c r="AY204" i="3"/>
  <c r="AY284" i="3"/>
  <c r="AY319" i="3"/>
  <c r="AY470" i="3"/>
  <c r="AY460" i="3"/>
  <c r="AY529" i="3"/>
  <c r="AY180" i="3"/>
  <c r="AY300" i="3"/>
  <c r="AY217" i="3"/>
  <c r="AY358" i="3"/>
  <c r="AY327" i="3"/>
  <c r="AY463" i="3"/>
  <c r="AY433" i="3"/>
  <c r="AY401" i="3"/>
  <c r="AY544" i="3"/>
  <c r="AY541" i="3"/>
  <c r="BE6" i="3"/>
  <c r="AY92" i="3"/>
  <c r="AY45" i="3"/>
  <c r="AY76" i="3"/>
  <c r="AY33" i="3"/>
  <c r="AY201" i="3"/>
  <c r="AY185" i="3"/>
  <c r="AY165" i="3"/>
  <c r="AY118" i="3"/>
  <c r="AY125" i="3"/>
  <c r="AY278" i="3"/>
  <c r="AY231" i="3"/>
  <c r="AY262" i="3"/>
  <c r="AY219" i="3"/>
  <c r="AY381" i="3"/>
  <c r="AY374" i="3"/>
  <c r="BH6" i="3"/>
  <c r="AY104" i="3"/>
  <c r="AY73" i="3"/>
  <c r="AY202" i="3"/>
  <c r="AY177" i="3"/>
  <c r="AY145" i="3"/>
  <c r="AY259" i="3"/>
  <c r="AY210" i="3"/>
  <c r="AY388" i="3"/>
  <c r="AY333" i="3"/>
  <c r="AY332" i="3"/>
  <c r="AY316" i="3"/>
  <c r="AY472" i="3"/>
  <c r="AY446" i="3"/>
  <c r="AY430" i="3"/>
  <c r="AY411" i="3"/>
  <c r="BM6" i="3"/>
  <c r="AY585" i="3"/>
  <c r="AY571" i="3"/>
  <c r="AY510" i="3"/>
  <c r="BG6" i="3"/>
  <c r="AY18" i="3"/>
  <c r="AY163" i="3"/>
  <c r="AY75" i="3"/>
  <c r="AY486" i="3"/>
  <c r="AY526" i="3"/>
  <c r="AY199" i="3"/>
  <c r="AY355" i="3"/>
  <c r="AY447" i="3"/>
  <c r="AY404" i="3"/>
  <c r="BO6" i="3"/>
  <c r="AY85" i="3"/>
  <c r="AY53" i="3"/>
  <c r="AY182" i="3"/>
  <c r="AY157" i="3"/>
  <c r="AY126" i="3"/>
  <c r="AY239" i="3"/>
  <c r="AY211" i="3"/>
  <c r="AY389" i="3"/>
  <c r="AY93" i="3"/>
  <c r="AY186" i="3"/>
  <c r="AY150" i="3"/>
  <c r="AY243" i="3"/>
  <c r="AY226" i="3"/>
  <c r="AY325" i="3"/>
  <c r="AY340" i="3"/>
  <c r="AY464" i="3"/>
  <c r="AY454" i="3"/>
  <c r="AY403" i="3"/>
  <c r="AY525" i="3"/>
  <c r="AY527" i="3"/>
  <c r="AY518" i="3"/>
  <c r="AY532" i="3"/>
  <c r="AY556" i="3"/>
  <c r="AY523" i="3"/>
  <c r="AY112" i="3"/>
  <c r="AY82" i="3"/>
  <c r="AY191" i="3"/>
  <c r="AY292" i="3"/>
  <c r="AY147" i="3"/>
  <c r="AY489" i="3"/>
  <c r="AY455" i="3"/>
  <c r="AY43" i="3"/>
  <c r="AY116" i="3"/>
  <c r="AY379" i="3"/>
  <c r="AY343" i="3"/>
  <c r="AY436" i="3"/>
  <c r="AY417" i="3"/>
  <c r="AY540" i="3"/>
  <c r="AY539" i="3"/>
  <c r="AY69" i="3"/>
  <c r="AY84" i="3"/>
  <c r="AY198" i="3"/>
  <c r="AY193" i="3"/>
  <c r="AY141" i="3"/>
  <c r="AY134" i="3"/>
  <c r="AY255" i="3"/>
  <c r="AY270" i="3"/>
  <c r="AY384" i="3"/>
  <c r="AY373" i="3"/>
  <c r="BB6" i="3"/>
  <c r="AY88"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53" i="15"/>
  <c r="C48" i="15" s="1"/>
  <c r="C66" i="15" s="1"/>
  <c r="C10" i="15"/>
  <c r="C5" i="15" s="1"/>
  <c r="C38" i="15" s="1"/>
  <c r="M27" i="67"/>
  <c r="AE6" i="1"/>
  <c r="M27" i="15"/>
  <c r="F41" i="15"/>
  <c r="R50" i="34" l="1"/>
  <c r="I53" i="85"/>
  <c r="J53" i="85" s="1"/>
  <c r="E49" i="85"/>
  <c r="R50" i="85"/>
  <c r="G53" i="85"/>
  <c r="H53" i="85" s="1"/>
  <c r="G54" i="85"/>
  <c r="H54" i="85" s="1"/>
  <c r="E61" i="43"/>
  <c r="B59" i="43" s="1"/>
  <c r="C28" i="43" s="1"/>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BI6" i="3"/>
  <c r="AY271" i="3"/>
  <c r="AY25" i="3"/>
  <c r="AY574" i="3"/>
  <c r="AY390" i="3"/>
  <c r="AY334" i="3"/>
  <c r="AY98" i="3"/>
  <c r="BF6" i="3"/>
  <c r="AY427" i="3"/>
  <c r="AY488" i="3"/>
  <c r="AY349" i="3"/>
  <c r="AY290" i="3"/>
  <c r="AY24" i="3"/>
  <c r="AY554" i="3"/>
  <c r="AY214" i="3"/>
  <c r="AY294" i="3"/>
  <c r="AY138" i="3"/>
  <c r="AY28" i="3"/>
  <c r="AY108" i="3"/>
  <c r="BK6" i="3"/>
  <c r="AY465" i="3"/>
  <c r="AY228" i="3"/>
  <c r="AY409" i="3"/>
  <c r="AY363" i="3"/>
  <c r="AY74" i="3"/>
  <c r="AY303" i="3"/>
  <c r="AY253" i="3"/>
  <c r="AY152" i="3"/>
  <c r="AY144" i="3"/>
  <c r="AY87" i="3"/>
  <c r="G54" i="34"/>
  <c r="H54" i="34" s="1"/>
  <c r="C48" i="67"/>
  <c r="C66" i="67" s="1"/>
  <c r="F24" i="67"/>
  <c r="C24" i="67" s="1"/>
  <c r="F24" i="15"/>
  <c r="C24" i="15" s="1"/>
  <c r="F22" i="69"/>
  <c r="F41" i="69" s="1"/>
  <c r="F22" i="68"/>
  <c r="C23" i="68" s="1"/>
  <c r="F25" i="12"/>
  <c r="C26" i="12" s="1"/>
  <c r="D25" i="12" s="1"/>
  <c r="F22" i="11"/>
  <c r="C23" i="11" s="1"/>
  <c r="Q36" i="43"/>
  <c r="P36" i="43"/>
  <c r="M36" i="43"/>
  <c r="O36" i="43"/>
  <c r="L37" i="43"/>
  <c r="P37" i="43" s="1"/>
  <c r="C18" i="71"/>
  <c r="D19" i="71"/>
  <c r="T32" i="71"/>
  <c r="D32" i="71"/>
  <c r="E11" i="71"/>
  <c r="E10" i="71" s="1"/>
  <c r="E9" i="71" s="1"/>
  <c r="E8" i="71" s="1"/>
  <c r="E7" i="71" s="1"/>
  <c r="E6" i="71" s="1"/>
  <c r="E5" i="71" s="1"/>
  <c r="V12" i="71"/>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D29" i="6"/>
  <c r="H22" i="6"/>
  <c r="H21" i="6"/>
  <c r="H24" i="6"/>
  <c r="D19" i="6"/>
  <c r="C14" i="74" s="1"/>
  <c r="C18" i="4"/>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8"/>
  <c r="C17" i="15"/>
  <c r="D10" i="69"/>
  <c r="C17" i="67"/>
  <c r="F41" i="67"/>
  <c r="C14" i="67"/>
  <c r="C34" i="69"/>
  <c r="C50" i="85" l="1"/>
  <c r="C49" i="85"/>
  <c r="U6" i="1" s="1"/>
  <c r="T15" i="43"/>
  <c r="V15" i="43" s="1"/>
  <c r="T7" i="43"/>
  <c r="V7" i="43" s="1"/>
  <c r="T10" i="43"/>
  <c r="V10" i="43" s="1"/>
  <c r="T2" i="43"/>
  <c r="V2" i="43" s="1"/>
  <c r="C37" i="43"/>
  <c r="C39" i="43"/>
  <c r="T12" i="43"/>
  <c r="V12" i="43" s="1"/>
  <c r="T13" i="43"/>
  <c r="V13" i="43" s="1"/>
  <c r="T16" i="43"/>
  <c r="V16" i="43" s="1"/>
  <c r="T8" i="43"/>
  <c r="V8" i="43" s="1"/>
  <c r="T6" i="43"/>
  <c r="V6" i="43" s="1"/>
  <c r="C41" i="43"/>
  <c r="C42" i="43"/>
  <c r="C38" i="43"/>
  <c r="C40" i="43"/>
  <c r="T11" i="43"/>
  <c r="V11" i="43" s="1"/>
  <c r="T14" i="43"/>
  <c r="V14" i="43" s="1"/>
  <c r="T4" i="43"/>
  <c r="V4" i="43" s="1"/>
  <c r="T5" i="43"/>
  <c r="V5" i="43" s="1"/>
  <c r="T9" i="43"/>
  <c r="V9" i="43" s="1"/>
  <c r="T3" i="43"/>
  <c r="V3" i="43" s="1"/>
  <c r="E53" i="85"/>
  <c r="F53" i="85" s="1"/>
  <c r="E54" i="85"/>
  <c r="F54" i="85" s="1"/>
  <c r="I54" i="85"/>
  <c r="J54" i="85" s="1"/>
  <c r="D30" i="6"/>
  <c r="F69" i="67"/>
  <c r="C60" i="67"/>
  <c r="C44" i="68"/>
  <c r="D41" i="68" s="1"/>
  <c r="F41" i="68"/>
  <c r="C26" i="11"/>
  <c r="D22" i="11" s="1"/>
  <c r="C44" i="11"/>
  <c r="D41" i="11" s="1"/>
  <c r="C25" i="11"/>
  <c r="C24" i="11"/>
  <c r="H25" i="6"/>
  <c r="C44" i="69"/>
  <c r="D41" i="69" s="1"/>
  <c r="C26" i="69"/>
  <c r="D22" i="69" s="1"/>
  <c r="Q37" i="43"/>
  <c r="C26" i="68"/>
  <c r="D22" i="68" s="1"/>
  <c r="M37" i="43"/>
  <c r="O37" i="43"/>
  <c r="N37" i="43"/>
  <c r="C17" i="71"/>
  <c r="D18"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J19" i="67"/>
  <c r="C34" i="68"/>
  <c r="F6" i="67"/>
  <c r="C14" i="15"/>
  <c r="C6" i="67" l="1"/>
  <c r="C10" i="67" s="1"/>
  <c r="E38" i="43"/>
  <c r="G38" i="43"/>
  <c r="I38" i="43" s="1"/>
  <c r="G39" i="43"/>
  <c r="I39" i="43" s="1"/>
  <c r="E39" i="43"/>
  <c r="E42" i="43"/>
  <c r="G42" i="43"/>
  <c r="I42" i="43" s="1"/>
  <c r="G37" i="43"/>
  <c r="I37" i="43" s="1"/>
  <c r="E37" i="43"/>
  <c r="G41" i="43"/>
  <c r="I41" i="43" s="1"/>
  <c r="E41" i="43"/>
  <c r="G40" i="43"/>
  <c r="I40" i="43" s="1"/>
  <c r="E40" i="43"/>
  <c r="B2" i="85"/>
  <c r="B3" i="85"/>
  <c r="C22" i="11"/>
  <c r="C31" i="11" s="1"/>
  <c r="C16" i="71"/>
  <c r="D1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G3" i="43" s="1"/>
  <c r="I69" i="39"/>
  <c r="J67" i="39"/>
  <c r="I63" i="40"/>
  <c r="H65" i="40"/>
  <c r="I58" i="21"/>
  <c r="J58" i="21" s="1"/>
  <c r="K58" i="21" s="1"/>
  <c r="L58" i="21" s="1"/>
  <c r="M58" i="21" s="1"/>
  <c r="N58" i="21" s="1"/>
  <c r="O58" i="21" s="1"/>
  <c r="H7" i="21" s="1"/>
  <c r="J48" i="35"/>
  <c r="C32" i="67" l="1"/>
  <c r="C5" i="67"/>
  <c r="C38" i="67" s="1"/>
  <c r="C33" i="67"/>
  <c r="H26" i="43"/>
  <c r="N94" i="46"/>
  <c r="N370" i="46"/>
  <c r="J26" i="43"/>
  <c r="E26" i="43"/>
  <c r="F26" i="43"/>
  <c r="B116" i="43"/>
  <c r="G26" i="43"/>
  <c r="Z7" i="43"/>
  <c r="C15" i="71"/>
  <c r="T16" i="71"/>
  <c r="D16"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J69" i="39"/>
  <c r="K67" i="39"/>
  <c r="U7" i="21"/>
  <c r="AB7" i="21"/>
  <c r="T48" i="21" s="1"/>
  <c r="G48" i="21" s="1"/>
  <c r="J63" i="40"/>
  <c r="I65" i="40"/>
  <c r="K48" i="35"/>
  <c r="L48" i="35" s="1"/>
  <c r="M48" i="35" s="1"/>
  <c r="N48" i="35" s="1"/>
  <c r="O48" i="35" s="1"/>
  <c r="H7" i="35" s="1"/>
  <c r="U16" i="71" l="1"/>
  <c r="M23" i="43"/>
  <c r="D26" i="43"/>
  <c r="C25" i="43" s="1"/>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18" i="43"/>
  <c r="J118" i="43" s="1"/>
  <c r="K118" i="43" s="1"/>
  <c r="L118" i="43" s="1"/>
  <c r="M118" i="43" s="1"/>
  <c r="D120" i="43"/>
  <c r="E120" i="43" s="1"/>
  <c r="F120" i="43" s="1"/>
  <c r="G120" i="43" s="1"/>
  <c r="H120" i="43" s="1"/>
  <c r="B118" i="43"/>
  <c r="D119" i="43"/>
  <c r="E119" i="43" s="1"/>
  <c r="F119" i="43" s="1"/>
  <c r="G119" i="43" s="1"/>
  <c r="H119" i="43" s="1"/>
  <c r="D121" i="43"/>
  <c r="E121" i="43" s="1"/>
  <c r="F121" i="43" s="1"/>
  <c r="I120" i="43"/>
  <c r="J120" i="43" s="1"/>
  <c r="K120" i="43" s="1"/>
  <c r="L120" i="43" s="1"/>
  <c r="M120" i="43" s="1"/>
  <c r="D118" i="43"/>
  <c r="E118" i="43" s="1"/>
  <c r="F118" i="43" s="1"/>
  <c r="G118" i="43" s="1"/>
  <c r="H118" i="43" s="1"/>
  <c r="W7" i="21"/>
  <c r="AA7" i="21"/>
  <c r="R48" i="21" s="1"/>
  <c r="R49" i="21" s="1"/>
  <c r="C14" i="71"/>
  <c r="D15" i="71"/>
  <c r="J7" i="35"/>
  <c r="AC7" i="35" s="1"/>
  <c r="V38" i="35" s="1"/>
  <c r="I38"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W7" i="35"/>
  <c r="J65" i="40"/>
  <c r="K63" i="40"/>
  <c r="I52" i="21"/>
  <c r="J52" i="21" s="1"/>
  <c r="U7" i="35"/>
  <c r="AB7" i="35"/>
  <c r="T38" i="35" s="1"/>
  <c r="G38" i="35" s="1"/>
  <c r="E48" i="21"/>
  <c r="G52" i="21"/>
  <c r="H52" i="21" s="1"/>
  <c r="G53" i="21"/>
  <c r="H53" i="21" s="1"/>
  <c r="F7" i="35"/>
  <c r="M21" i="15"/>
  <c r="F35" i="15"/>
  <c r="F35" i="67"/>
  <c r="M21" i="67"/>
  <c r="C118" i="43" l="1"/>
  <c r="D116" i="43"/>
  <c r="C33" i="43"/>
  <c r="D14" i="71"/>
  <c r="C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C6" i="69" l="1"/>
  <c r="C34" i="43"/>
  <c r="E34" i="43" s="1"/>
  <c r="C31" i="43" s="1"/>
  <c r="E33" i="43"/>
  <c r="C30" i="43" s="1"/>
  <c r="C12" i="71"/>
  <c r="D13"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E6" i="76"/>
  <c r="D2" i="21"/>
  <c r="E2" i="76" l="1"/>
  <c r="B2" i="43"/>
  <c r="C7" i="69"/>
  <c r="C5" i="69"/>
  <c r="C11" i="71"/>
  <c r="T12" i="71"/>
  <c r="D12" i="71"/>
  <c r="U12" i="71"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B6" i="76"/>
  <c r="L51" i="67"/>
  <c r="D2" i="33"/>
  <c r="B2" i="76" l="1"/>
  <c r="B3" i="76" s="1"/>
  <c r="C23" i="69"/>
  <c r="C20" i="69"/>
  <c r="B3" i="43"/>
  <c r="C10" i="71"/>
  <c r="D11"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E2" i="69"/>
  <c r="D2" i="35"/>
  <c r="D2" i="36"/>
  <c r="D2" i="34"/>
  <c r="C28" i="69" l="1"/>
  <c r="C27" i="69" s="1"/>
  <c r="C25" i="69"/>
  <c r="C22" i="69" s="1"/>
  <c r="D10" i="71"/>
  <c r="C9" i="71"/>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2" i="1"/>
  <c r="AO11" i="1"/>
  <c r="AO8" i="1"/>
  <c r="AO7" i="1"/>
  <c r="AO6" i="1"/>
  <c r="AO10" i="1"/>
  <c r="AO9" i="1"/>
  <c r="C31" i="69" l="1"/>
  <c r="C52" i="69" s="1"/>
  <c r="B2" i="69" s="1"/>
  <c r="B3" i="34"/>
  <c r="C8" i="71"/>
  <c r="D9"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9" i="9"/>
  <c r="B3" i="69"/>
  <c r="C19" i="9"/>
  <c r="C57" i="69" l="1"/>
  <c r="C56" i="69" s="1"/>
  <c r="C102" i="9"/>
  <c r="C21" i="9"/>
  <c r="D102" i="9"/>
  <c r="D21" i="9"/>
  <c r="G19" i="9"/>
  <c r="G21" i="9" s="1"/>
  <c r="D22" i="9"/>
  <c r="C103" i="9"/>
  <c r="D8" i="71"/>
  <c r="C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G22" i="9" s="1"/>
  <c r="D14" i="74" s="1"/>
  <c r="D7" i="71"/>
  <c r="C6" i="71"/>
  <c r="C42" i="40"/>
  <c r="C43" i="40"/>
  <c r="E47" i="40"/>
  <c r="F47" i="40" s="1"/>
  <c r="E46" i="40"/>
  <c r="F46" i="40" s="1"/>
  <c r="I47" i="40"/>
  <c r="J47" i="40" s="1"/>
  <c r="C32" i="9" l="1"/>
  <c r="C35" i="9" s="1"/>
  <c r="C34" i="9" s="1"/>
  <c r="D6" i="7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B51" i="72" l="1"/>
  <c r="B20" i="72"/>
  <c r="H4" i="52"/>
  <c r="C104" i="9"/>
  <c r="C5" i="74"/>
  <c r="D52" i="9"/>
  <c r="D53" i="9"/>
  <c r="C81" i="9"/>
  <c r="C105" i="9"/>
  <c r="I4" i="52"/>
  <c r="F4" i="52"/>
  <c r="N58" i="9"/>
  <c r="P57" i="9"/>
  <c r="H102" i="9"/>
  <c r="D7" i="53"/>
  <c r="B21" i="72"/>
  <c r="D8" i="52"/>
  <c r="M48" i="9"/>
  <c r="B47" i="72"/>
  <c r="D4" i="52"/>
  <c r="G4" i="52"/>
  <c r="B52" i="72"/>
  <c r="C93" i="9"/>
  <c r="C86" i="9"/>
  <c r="B30" i="72"/>
  <c r="C6" i="74"/>
  <c r="E81" i="9"/>
  <c r="H119" i="9"/>
  <c r="H5" i="52"/>
  <c r="C68" i="9"/>
  <c r="D54" i="9"/>
  <c r="E97" i="9"/>
  <c r="D5" i="53"/>
  <c r="D6" i="53"/>
  <c r="B22" i="72"/>
  <c r="D122" i="9"/>
  <c r="D123" i="9"/>
  <c r="D9" i="52"/>
  <c r="C78" i="9"/>
  <c r="C73" i="9"/>
  <c r="N61" i="9"/>
  <c r="N59" i="9"/>
  <c r="N60" i="9"/>
  <c r="D55" i="9"/>
  <c r="M53" i="9"/>
  <c r="N57" i="9"/>
  <c r="C64" i="9"/>
  <c r="C63" i="9"/>
  <c r="C67" i="9"/>
  <c r="D59" i="9"/>
  <c r="M55" i="9"/>
  <c r="C72" i="9"/>
  <c r="C79" i="9"/>
  <c r="C80" i="9"/>
  <c r="E80" i="9"/>
  <c r="G118" i="9"/>
  <c r="F118" i="9"/>
  <c r="F119" i="9"/>
  <c r="F5" i="52"/>
  <c r="B53" i="72"/>
  <c r="C96" i="9"/>
  <c r="E96" i="9"/>
  <c r="E4" i="52"/>
  <c r="B48" i="72"/>
  <c r="C97" i="9"/>
  <c r="D58" i="9"/>
  <c r="D56" i="9"/>
  <c r="M54" i="9"/>
  <c r="D13" i="53"/>
  <c r="D14" i="53"/>
  <c r="B32" i="72"/>
  <c r="H107" i="9"/>
  <c r="H108" i="9"/>
  <c r="D15" i="53"/>
  <c r="B31" i="72"/>
  <c r="E118" i="9"/>
  <c r="D118" i="9"/>
  <c r="D119" i="9"/>
  <c r="D5" i="52"/>
  <c r="B49" i="72"/>
  <c r="I118" i="9"/>
  <c r="H118" i="9"/>
  <c r="H101" i="9"/>
  <c r="D45" i="9"/>
  <c r="C85" i="9"/>
  <c r="C95"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<sst xmlns="http://schemas.openxmlformats.org/spreadsheetml/2006/main" count="8807" uniqueCount="3652">
  <si>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</si>
  <si>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</si>
  <si>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</si>
  <si>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</si>
  <si>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</si>
  <si>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</si>
  <si>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</si>
  <si>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</si>
  <si>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</si>
  <si>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</si>
  <si>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</si>
  <si>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</si>
  <si>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</si>
  <si>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</si>
  <si>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</si>
  <si>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</si>
  <si>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</si>
  <si>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</si>
  <si>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</si>
  <si>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</si>
  <si>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</si>
  <si>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</si>
  <si>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</si>
  <si>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</si>
  <si>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</si>
  <si>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</si>
  <si>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</si>
  <si>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</si>
  <si>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</si>
  <si>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</si>
  <si>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</si>
  <si>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</si>
  <si>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</si>
  <si>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</si>
  <si>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</si>
  <si>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</si>
  <si>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</si>
  <si>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</si>
  <si>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</si>
  <si>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</si>
  <si>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</si>
  <si>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</si>
  <si>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</si>
  <si>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</si>
  <si>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</si>
  <si>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</si>
  <si>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</si>
  <si>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</si>
  <si>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</si>
  <si>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</si>
  <si>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</si>
  <si>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</si>
  <si>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</si>
  <si>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</si>
  <si>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</si>
  <si>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</si>
  <si>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</si>
  <si>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</si>
  <si>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</si>
  <si>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</si>
  <si>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</si>
  <si>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</si>
  <si>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</si>
  <si>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</si>
  <si>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</si>
  <si>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</si>
  <si>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</si>
  <si>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</si>
  <si>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</si>
  <si>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</si>
  <si>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</si>
  <si>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</si>
  <si>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</si>
  <si>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</si>
  <si>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</si>
  <si>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</si>
  <si>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</si>
  <si>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</si>
  <si>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</si>
  <si>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</si>
  <si>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</si>
  <si>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</si>
  <si>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</si>
  <si>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</si>
  <si>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</si>
  <si>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</si>
  <si>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</si>
  <si>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</si>
  <si>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</si>
  <si>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</si>
  <si>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</si>
  <si>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</si>
  <si>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</si>
  <si>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</si>
  <si>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</si>
  <si>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</si>
  <si>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</si>
  <si>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</si>
  <si>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</si>
  <si>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</si>
  <si>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</si>
  <si>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</si>
  <si>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</si>
  <si>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</si>
  <si>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</si>
  <si>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</si>
  <si>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</si>
  <si>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</si>
  <si>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</si>
  <si>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</si>
  <si>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</si>
  <si>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</si>
  <si>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</si>
  <si>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</si>
  <si>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</si>
  <si>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</si>
  <si>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</si>
  <si>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</si>
  <si>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</si>
  <si>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</si>
  <si>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</si>
  <si>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</si>
  <si>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</si>
  <si>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</si>
  <si>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</si>
  <si>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</si>
  <si>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</si>
  <si>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</si>
  <si>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</si>
  <si>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</si>
  <si>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</si>
  <si>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</si>
  <si>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</si>
  <si>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</si>
  <si>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</si>
  <si>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</si>
  <si>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</si>
  <si>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</si>
  <si>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</si>
  <si>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</si>
  <si>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</si>
  <si>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</si>
  <si>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</si>
  <si>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</si>
  <si>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</si>
  <si>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</si>
  <si>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</si>
  <si>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</si>
  <si>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</si>
  <si>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</si>
  <si>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</si>
  <si>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</si>
  <si>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</si>
  <si>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</si>
  <si>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</si>
  <si>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</si>
  <si>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</si>
  <si>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</si>
  <si>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</si>
  <si>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</si>
  <si>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</si>
  <si>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</si>
  <si>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</si>
  <si>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</si>
  <si>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</si>
  <si>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</si>
  <si>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</si>
  <si>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</si>
  <si>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</si>
  <si>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</si>
  <si>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</si>
  <si>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</si>
  <si>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</si>
  <si>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</si>
  <si>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</si>
  <si>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</si>
  <si>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</si>
  <si>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</si>
  <si>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</si>
  <si>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</si>
  <si>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</si>
  <si>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</si>
  <si>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</si>
  <si>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</si>
  <si>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</si>
  <si>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</si>
  <si>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</si>
  <si>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</si>
  <si>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</si>
  <si>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</si>
  <si>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</si>
  <si>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</si>
  <si>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</si>
  <si>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</si>
  <si>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</si>
  <si>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</si>
  <si>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</si>
  <si>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</si>
  <si>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</si>
  <si>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</si>
  <si>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</si>
  <si>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</si>
  <si>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</si>
  <si>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</si>
  <si>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</si>
  <si>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</si>
  <si>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</si>
  <si>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</si>
  <si>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</si>
  <si>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</si>
  <si>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</si>
  <si>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</si>
  <si>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</si>
  <si>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</si>
  <si>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</si>
  <si>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</si>
  <si>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</si>
  <si>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</si>
  <si>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</si>
  <si>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</si>
  <si>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</si>
  <si>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</si>
  <si>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</si>
  <si>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</si>
  <si>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</si>
  <si>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</si>
  <si>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</si>
  <si>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</si>
  <si>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</si>
  <si>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</si>
  <si>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</si>
  <si>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</si>
  <si>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</si>
  <si>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</si>
  <si>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</si>
  <si>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</si>
  <si>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</si>
  <si>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</si>
  <si>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</si>
  <si>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</si>
  <si>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</si>
  <si>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</si>
  <si>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</si>
  <si>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</si>
  <si>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</si>
  <si>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</si>
  <si>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</si>
  <si>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</si>
  <si>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</si>
  <si>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</si>
  <si>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</si>
  <si>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</si>
  <si>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</si>
  <si>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</si>
  <si>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</si>
  <si>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</si>
  <si>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</si>
  <si>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</si>
  <si>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</si>
  <si>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</si>
  <si>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</si>
  <si>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</si>
  <si>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</si>
  <si>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</si>
  <si>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</si>
  <si>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</si>
  <si>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</si>
  <si>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</si>
  <si>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</si>
  <si>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</si>
  <si>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</si>
  <si>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</si>
  <si>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</si>
  <si>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</si>
  <si>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</si>
  <si>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</si>
  <si>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</si>
  <si>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</si>
  <si>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</si>
  <si>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</si>
  <si>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</si>
  <si>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</si>
  <si>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</si>
  <si>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</si>
  <si>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</si>
  <si>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</si>
  <si>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</si>
  <si>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</si>
  <si>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</si>
  <si>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</si>
  <si>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</si>
  <si>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</si>
  <si>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</si>
  <si>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</si>
  <si>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</si>
  <si>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</si>
  <si>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</si>
  <si>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</si>
  <si>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</si>
  <si>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</si>
  <si>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</si>
  <si>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</si>
  <si>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</si>
  <si>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</si>
  <si>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</si>
  <si>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</si>
  <si>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</si>
  <si>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</si>
  <si>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</si>
  <si>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</si>
  <si>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</si>
  <si>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</si>
  <si>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</si>
  <si>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</si>
  <si>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</si>
  <si>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</si>
  <si>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</si>
  <si>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</si>
  <si>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</si>
  <si>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</si>
  <si>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</si>
  <si>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</si>
  <si>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</si>
  <si>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</si>
  <si>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</si>
  <si>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</si>
  <si>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</si>
  <si>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</si>
  <si>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</si>
  <si>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</si>
  <si>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</si>
  <si>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</si>
  <si>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</si>
  <si>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</si>
  <si>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</si>
  <si>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</si>
  <si>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</si>
  <si>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</si>
  <si>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</si>
  <si>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</si>
  <si>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</si>
  <si>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</si>
  <si>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</si>
  <si>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</si>
  <si>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</si>
  <si>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</si>
  <si>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</si>
  <si>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</si>
  <si>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</si>
  <si>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</si>
  <si>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</si>
  <si>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</si>
  <si>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</si>
  <si>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</si>
  <si>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</si>
  <si>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</si>
  <si>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</si>
  <si>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</si>
  <si>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</si>
  <si>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</si>
  <si>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</si>
  <si>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</si>
  <si>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</si>
  <si>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</si>
  <si>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</si>
  <si>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</si>
  <si>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</si>
  <si>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</si>
  <si>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</si>
  <si>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</si>
  <si>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</si>
  <si>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</si>
  <si>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</si>
  <si>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</si>
  <si>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</si>
  <si>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</si>
  <si>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</si>
  <si>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</si>
  <si>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</si>
  <si>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</si>
  <si>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</si>
  <si>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</si>
  <si>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</si>
  <si>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</si>
  <si>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</si>
  <si>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</si>
  <si>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</si>
  <si>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</si>
  <si>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</si>
  <si>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</si>
  <si>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</si>
  <si>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</si>
  <si>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</si>
  <si>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</si>
  <si>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</si>
  <si>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</si>
  <si>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</si>
  <si>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</si>
  <si>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</si>
  <si>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</si>
  <si>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</si>
  <si>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</si>
  <si>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</si>
  <si>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</si>
  <si>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</si>
  <si>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</si>
  <si>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</si>
  <si>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</si>
  <si>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</si>
  <si>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</si>
  <si>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</si>
  <si>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</si>
  <si>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</si>
  <si>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</si>
  <si>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</si>
  <si>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</si>
  <si>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</si>
  <si>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</si>
  <si>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</si>
  <si>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</si>
  <si>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</si>
  <si>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</si>
  <si>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</si>
  <si>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</si>
  <si>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</si>
  <si>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</si>
  <si>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</si>
  <si>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</si>
  <si>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</si>
  <si>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</si>
  <si>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</si>
  <si>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</si>
  <si>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</si>
  <si>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</si>
  <si>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</si>
  <si>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</si>
  <si>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</si>
  <si>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</si>
  <si>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</si>
  <si>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</si>
  <si>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</si>
  <si>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</si>
  <si>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</si>
  <si>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</si>
  <si>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</si>
  <si>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</si>
  <si>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</si>
  <si>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</si>
  <si>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</si>
  <si>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</si>
  <si>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</si>
  <si>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</si>
  <si>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</si>
  <si>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</si>
  <si>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</si>
  <si>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</si>
  <si>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</si>
  <si>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</si>
  <si>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</si>
  <si>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</si>
  <si>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</si>
  <si>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</si>
  <si>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</si>
  <si>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</si>
  <si>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</si>
  <si>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</si>
  <si>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</si>
  <si>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</si>
  <si>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</si>
  <si>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</si>
  <si>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</si>
  <si>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</si>
  <si>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</si>
  <si>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</si>
  <si>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</si>
  <si>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</si>
  <si>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</si>
  <si>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</si>
  <si>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</si>
  <si>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</si>
  <si>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</si>
  <si>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</si>
  <si>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</si>
  <si>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</si>
  <si>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</si>
  <si>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</si>
  <si>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</si>
  <si>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</si>
  <si>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</si>
  <si>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</si>
  <si>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</si>
  <si>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</si>
  <si>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</si>
  <si>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</si>
  <si>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</si>
  <si>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</si>
  <si>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</si>
  <si>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</si>
  <si>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</si>
  <si>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</si>
  <si>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</si>
  <si>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</si>
  <si>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</si>
  <si>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</si>
  <si>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</si>
  <si>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</si>
  <si>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</si>
  <si>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</si>
  <si>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</si>
  <si>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</si>
  <si>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</si>
  <si>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</si>
  <si>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</si>
  <si>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</si>
  <si>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</si>
  <si>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</si>
  <si>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</si>
  <si>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</si>
  <si>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</si>
  <si>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</si>
  <si>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</si>
  <si>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</si>
  <si>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</si>
  <si>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</si>
  <si>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</si>
  <si>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</si>
  <si>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</si>
  <si>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</si>
  <si>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</si>
  <si>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</si>
  <si>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</si>
  <si>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</si>
  <si>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</si>
  <si>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</si>
  <si>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</si>
  <si>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</si>
  <si>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</si>
  <si>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</si>
  <si>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</si>
  <si>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</si>
  <si>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</si>
  <si>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</si>
  <si>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</si>
  <si>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</si>
  <si>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</si>
  <si>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</si>
  <si>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</si>
  <si>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</si>
  <si>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</si>
  <si>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</si>
  <si>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</si>
  <si>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</si>
  <si>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</si>
  <si>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</si>
  <si>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</si>
  <si>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</si>
  <si>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</si>
  <si>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</si>
  <si>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</si>
  <si>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</si>
  <si>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</si>
  <si>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</si>
  <si>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</si>
  <si>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</si>
  <si>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</si>
  <si>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</si>
  <si>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</si>
  <si>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</si>
  <si>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</si>
  <si>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</si>
  <si>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</si>
  <si>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</si>
  <si>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</si>
  <si>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</si>
  <si>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</si>
  <si>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</si>
  <si>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</si>
  <si>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</si>
  <si>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</si>
  <si>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</si>
  <si>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</si>
  <si>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</si>
  <si>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</si>
  <si>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</si>
  <si>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</si>
  <si>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</si>
  <si>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</si>
  <si>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</si>
  <si>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</si>
  <si>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</si>
  <si>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</si>
  <si>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</si>
  <si>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</si>
  <si>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</si>
  <si>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</si>
  <si>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</si>
  <si>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</si>
  <si>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</si>
  <si>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</si>
  <si>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</si>
  <si>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</si>
  <si>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</si>
  <si>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</si>
  <si>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</si>
  <si>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</si>
  <si>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</si>
  <si>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</si>
  <si>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</si>
  <si>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</si>
  <si>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</si>
  <si>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</si>
  <si>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</si>
  <si>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</si>
  <si>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</si>
  <si>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</si>
  <si>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</si>
  <si>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</si>
  <si>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</si>
  <si>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</si>
  <si>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</si>
  <si>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</si>
  <si>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</si>
  <si>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</si>
  <si>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</si>
  <si>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</si>
  <si>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</si>
  <si>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</si>
  <si>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</si>
  <si>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</si>
  <si>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</si>
  <si>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</si>
  <si>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</si>
  <si>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</si>
  <si>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</si>
  <si>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</si>
  <si>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</si>
  <si>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</si>
  <si>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</si>
  <si>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</si>
  <si>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</si>
  <si>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</si>
  <si>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</si>
  <si>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</si>
  <si>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</si>
  <si>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</si>
  <si>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</si>
  <si>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</si>
  <si>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</si>
  <si>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</si>
  <si>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</si>
  <si>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</si>
  <si>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</si>
  <si>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</si>
  <si>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</si>
  <si>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</si>
  <si>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</si>
  <si>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</si>
  <si>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</si>
  <si>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</si>
  <si>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</si>
  <si>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</si>
  <si>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</si>
  <si>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</si>
  <si>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</si>
  <si>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</si>
  <si>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</si>
  <si>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</si>
  <si>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</si>
  <si>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</si>
  <si>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</si>
  <si>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</si>
  <si>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</si>
  <si>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</si>
  <si>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</si>
  <si>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</si>
  <si>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</si>
  <si>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</si>
  <si>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</si>
  <si>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</si>
  <si>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</si>
  <si>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</si>
  <si>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</si>
  <si>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</si>
  <si>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</si>
  <si>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</si>
  <si>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</si>
  <si>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</si>
  <si>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</si>
  <si>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</si>
  <si>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</si>
  <si>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</si>
  <si>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</si>
  <si>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</si>
  <si>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</si>
  <si>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</si>
  <si>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</si>
  <si>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</si>
  <si>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</si>
  <si>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</si>
  <si>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</si>
  <si>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</si>
  <si>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</si>
  <si>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</si>
  <si>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</si>
  <si>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</si>
  <si>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</si>
  <si>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</si>
  <si>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</si>
  <si>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</si>
  <si>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</si>
  <si>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</si>
  <si>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</si>
  <si>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</si>
  <si>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</si>
  <si>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</si>
  <si>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</si>
  <si>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</si>
  <si>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</si>
  <si>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</si>
  <si>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</si>
  <si>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</si>
  <si>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</si>
  <si>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</si>
  <si>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</si>
  <si>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</si>
  <si>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</si>
  <si>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</si>
  <si>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</si>
  <si>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</si>
  <si>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</si>
  <si>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</si>
  <si>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</si>
  <si>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</si>
  <si>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</si>
  <si>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</si>
  <si>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</si>
  <si>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</si>
  <si>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</si>
  <si>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</si>
  <si>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</si>
  <si>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</si>
  <si>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</si>
  <si>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</si>
  <si>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</si>
  <si>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</si>
  <si>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</si>
  <si>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</si>
  <si>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</si>
  <si>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</si>
  <si>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</si>
  <si>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</si>
  <si>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</si>
  <si>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</si>
  <si>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</si>
  <si>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</si>
  <si>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</si>
  <si>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</si>
  <si>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</si>
  <si>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</si>
  <si>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</si>
  <si>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</si>
  <si>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</si>
  <si>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</si>
  <si>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</si>
  <si>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</si>
  <si>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</si>
  <si>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</si>
  <si>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</si>
  <si>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</si>
  <si>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</si>
  <si>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</si>
  <si>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</si>
  <si>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</si>
  <si>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</si>
  <si>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</si>
  <si>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</si>
  <si>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</si>
  <si>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</si>
  <si>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</si>
  <si>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</si>
  <si>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</si>
  <si>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</si>
  <si>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</si>
  <si>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</si>
  <si>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</si>
  <si>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</si>
  <si>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</si>
  <si>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</si>
  <si>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</si>
  <si>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</si>
  <si>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</si>
  <si>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</si>
  <si>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</si>
  <si>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</si>
  <si>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</si>
  <si>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</si>
  <si>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</si>
  <si>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</si>
  <si>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</si>
  <si>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</si>
  <si>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</si>
  <si>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</si>
  <si>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</si>
  <si>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</si>
  <si>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</si>
  <si>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</si>
  <si>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</si>
  <si>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</si>
  <si>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</si>
  <si>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</si>
  <si>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</si>
  <si>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</si>
  <si>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</si>
  <si>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</si>
  <si>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</si>
  <si>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</si>
  <si>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</si>
  <si>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</si>
  <si>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</si>
  <si>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</si>
  <si>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</si>
  <si>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</si>
  <si>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</si>
  <si>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</si>
  <si>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</si>
  <si>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</si>
  <si>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</si>
  <si>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</si>
  <si>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</si>
  <si>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</si>
  <si>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</si>
  <si>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</si>
  <si>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</si>
  <si>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</si>
  <si>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</si>
  <si>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</si>
  <si>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</si>
  <si>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</si>
  <si>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</si>
  <si>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</si>
  <si>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</si>
  <si>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</si>
  <si>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</si>
  <si>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</si>
  <si>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</si>
  <si>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</si>
  <si>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</si>
  <si>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</si>
  <si>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</si>
  <si>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</si>
  <si>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</si>
  <si>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</si>
  <si>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</si>
  <si>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</si>
  <si>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</si>
  <si>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</si>
  <si>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</si>
  <si>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</si>
  <si>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</si>
  <si>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</si>
  <si>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</si>
  <si>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</si>
  <si>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</si>
  <si>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</si>
  <si>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</si>
  <si>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</si>
  <si>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</si>
  <si>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</si>
  <si>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</si>
  <si>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</si>
  <si>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</si>
  <si>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</si>
  <si>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</si>
  <si>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</si>
  <si>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</si>
  <si>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</si>
  <si>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</si>
  <si>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</si>
  <si>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</si>
  <si>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</si>
  <si>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</si>
  <si>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</si>
  <si>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</si>
  <si>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</si>
  <si>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</si>
  <si>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</si>
  <si>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</si>
  <si>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</si>
  <si>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</si>
  <si>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</si>
  <si>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</si>
  <si>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</si>
  <si>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</si>
  <si>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</si>
  <si>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</si>
  <si>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</si>
  <si>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</si>
  <si>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</si>
  <si>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</si>
  <si>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</si>
  <si>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</si>
  <si>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</si>
  <si>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</si>
  <si>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</si>
  <si>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</si>
  <si>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</si>
  <si>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</si>
  <si>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</si>
  <si>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</si>
  <si>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</si>
  <si>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</si>
  <si>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</si>
  <si>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</si>
  <si>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</si>
  <si>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</si>
  <si>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</si>
  <si>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</si>
  <si>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</si>
  <si>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</si>
  <si>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</si>
  <si>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</si>
  <si>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</si>
  <si>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</si>
  <si>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</si>
  <si>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</si>
  <si>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</si>
  <si>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</si>
  <si>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</si>
  <si>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</si>
  <si>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</si>
  <si>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</si>
  <si>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</si>
  <si>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</si>
  <si>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</si>
  <si>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</si>
  <si>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</si>
  <si>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</si>
  <si>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</si>
  <si>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</si>
  <si>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</si>
  <si>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</si>
  <si>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</si>
  <si>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</si>
  <si>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</si>
  <si>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</si>
  <si>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</si>
  <si>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</si>
  <si>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</si>
  <si>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</si>
  <si>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</si>
  <si>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</si>
  <si>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</si>
  <si>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</si>
  <si>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</si>
  <si>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</si>
  <si>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</si>
  <si>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</si>
  <si>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</si>
  <si>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</si>
  <si>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</si>
  <si>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</si>
  <si>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</si>
  <si>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</si>
  <si>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</si>
  <si>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</si>
  <si>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</si>
  <si>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</si>
  <si>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</si>
  <si>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</si>
  <si>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</si>
  <si>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</si>
  <si>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</si>
  <si>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</si>
  <si>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</si>
  <si>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</si>
  <si>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</si>
  <si>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</si>
  <si>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</si>
  <si>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</si>
  <si>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</si>
  <si>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</si>
  <si>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</si>
  <si>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</si>
  <si>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</si>
  <si>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</si>
  <si>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</si>
  <si>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</si>
  <si>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</si>
  <si>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</si>
  <si>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</si>
  <si>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</si>
  <si>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</si>
  <si>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</si>
  <si>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</si>
  <si>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</si>
  <si>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</si>
  <si>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</si>
  <si>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</si>
  <si>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</si>
  <si>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</si>
  <si>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</si>
  <si>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</si>
  <si>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</si>
  <si>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</si>
  <si>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</si>
  <si>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</si>
  <si>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</si>
  <si>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</si>
  <si>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</si>
  <si>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</si>
  <si>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</si>
  <si>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</si>
  <si>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</si>
  <si>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</si>
  <si>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</si>
  <si>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</si>
  <si>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</si>
  <si>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</si>
  <si>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</si>
  <si>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</si>
  <si>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</si>
  <si>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</si>
  <si>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</si>
  <si>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</si>
  <si>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</si>
  <si>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</si>
  <si>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</si>
  <si>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</si>
  <si>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</si>
  <si>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</si>
  <si>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</si>
  <si>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</si>
  <si>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</si>
  <si>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</si>
  <si>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</si>
  <si>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</si>
  <si>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</si>
  <si>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</si>
  <si>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</si>
  <si>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</si>
  <si>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</si>
  <si>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</si>
  <si>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</si>
  <si>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</si>
  <si>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</si>
  <si>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</si>
  <si>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</si>
  <si>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</si>
  <si>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</si>
  <si>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</si>
  <si>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</si>
  <si>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</si>
  <si>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</si>
  <si>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</si>
  <si>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</si>
  <si>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</si>
  <si>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</si>
  <si>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</si>
  <si>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</si>
  <si>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</si>
  <si>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</si>
  <si>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</si>
  <si>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</si>
  <si>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</si>
  <si>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</si>
  <si>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</si>
  <si>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</si>
  <si>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</si>
  <si>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</si>
  <si>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</si>
  <si>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</si>
  <si>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</si>
  <si>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</si>
  <si>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</si>
  <si>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</si>
  <si>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</si>
  <si>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</si>
  <si>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</si>
  <si>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</si>
  <si>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</si>
  <si>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</si>
  <si>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</si>
  <si>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</si>
  <si>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</si>
  <si>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</si>
  <si>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</si>
  <si>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</si>
  <si>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</si>
  <si>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</si>
  <si>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</si>
  <si>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</si>
  <si>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</si>
  <si>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</si>
  <si>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</si>
  <si>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</si>
  <si>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</si>
  <si>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</si>
  <si>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</si>
  <si>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</si>
  <si>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</si>
  <si>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</si>
  <si>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</si>
  <si>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</si>
  <si>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</si>
  <si>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</si>
  <si>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</si>
  <si>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</si>
  <si>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</si>
  <si>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</si>
  <si>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</si>
  <si>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</si>
  <si>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</si>
  <si>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</si>
  <si>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</si>
  <si>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</si>
  <si>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</si>
  <si>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</si>
  <si>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</si>
  <si>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</si>
  <si>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</si>
  <si>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</si>
  <si>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</si>
  <si>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</si>
  <si>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</si>
  <si>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</si>
  <si>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</si>
  <si>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</si>
  <si>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</si>
  <si>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</si>
  <si>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</si>
  <si>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</si>
  <si>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</si>
  <si>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</si>
  <si>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</si>
  <si>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</si>
  <si>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</si>
  <si>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</si>
  <si>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</si>
  <si>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</si>
  <si>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</si>
  <si>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</si>
  <si>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</si>
  <si>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</si>
  <si>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</si>
  <si>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</si>
  <si>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</si>
  <si>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</si>
  <si>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</si>
  <si>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</si>
  <si>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</si>
  <si>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</si>
  <si>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</si>
  <si>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</si>
  <si>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</si>
  <si>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</si>
  <si>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</si>
  <si>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</si>
  <si>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</si>
  <si>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</si>
  <si>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</si>
  <si>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</si>
  <si>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</si>
  <si>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</si>
  <si>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</si>
  <si>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</si>
  <si>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</si>
  <si>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</si>
  <si>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</si>
  <si>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</si>
  <si>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</si>
  <si>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</si>
  <si>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</si>
  <si>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</si>
  <si>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</si>
  <si>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</si>
  <si>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</si>
  <si>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</si>
  <si>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</si>
  <si>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</si>
  <si>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</si>
  <si>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</si>
  <si>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</si>
  <si>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</si>
  <si>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</si>
  <si>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</si>
  <si>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</si>
  <si>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</si>
  <si>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</si>
  <si>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</si>
  <si>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</si>
  <si>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</si>
  <si>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</si>
  <si>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</si>
  <si>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</si>
  <si>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</si>
  <si>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</si>
  <si>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</si>
  <si>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</si>
  <si>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</si>
  <si>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</si>
  <si>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</si>
  <si>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</si>
  <si>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</si>
  <si>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</si>
  <si>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</si>
  <si>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</si>
  <si>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</si>
  <si>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</si>
  <si>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</si>
  <si>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</si>
  <si>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</si>
  <si>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</si>
  <si>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</si>
  <si>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</si>
  <si>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</si>
  <si>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</si>
  <si>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</si>
  <si>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</si>
  <si>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</si>
  <si>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</si>
  <si>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</si>
  <si>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</si>
  <si>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</si>
  <si>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</si>
  <si>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</si>
  <si>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</si>
  <si>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</si>
  <si>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</si>
  <si>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</si>
  <si>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</si>
  <si>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</si>
  <si>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</si>
  <si>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</si>
  <si>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</si>
  <si>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</si>
  <si>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</si>
  <si>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</si>
  <si>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</si>
  <si>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</si>
  <si>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</si>
  <si>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</si>
  <si>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</si>
  <si>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</si>
  <si>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</si>
  <si>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</si>
  <si>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</si>
  <si>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</si>
  <si>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</si>
  <si>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</si>
  <si>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</si>
  <si>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</si>
  <si>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</si>
  <si>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</si>
  <si>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</si>
  <si>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</si>
  <si>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</si>
  <si>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</si>
  <si>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</si>
  <si>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</si>
  <si>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</si>
  <si>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</si>
  <si>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</si>
  <si>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</si>
  <si>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</si>
  <si>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</si>
  <si>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</si>
  <si>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</si>
  <si>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</si>
  <si>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</si>
  <si>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</si>
  <si>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</si>
  <si>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</si>
  <si>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</si>
  <si>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</si>
  <si>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</si>
  <si>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</si>
  <si>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</si>
  <si>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</si>
  <si>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</si>
  <si>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</si>
  <si>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</si>
  <si>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</si>
  <si>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</si>
  <si>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</si>
  <si>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</si>
  <si>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</si>
  <si>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</si>
  <si>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</si>
  <si>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</si>
  <si>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</si>
  <si>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</si>
  <si>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</si>
  <si>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</si>
  <si>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</si>
  <si>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</si>
  <si>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</si>
  <si>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</si>
  <si>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</si>
  <si>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</si>
  <si>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</si>
  <si>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</si>
  <si>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</si>
  <si>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</si>
  <si>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</si>
  <si>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</si>
  <si>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</si>
  <si>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</si>
  <si>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</si>
  <si>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</si>
  <si>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</si>
  <si>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</si>
  <si>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</si>
  <si>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</si>
  <si>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</si>
  <si>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</si>
  <si>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</si>
  <si>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</si>
  <si>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</si>
  <si>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</si>
  <si>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</si>
  <si>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</si>
  <si>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</si>
  <si>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</si>
  <si>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</si>
  <si>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</si>
  <si>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</si>
  <si>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</si>
  <si>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</si>
  <si>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</si>
  <si>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</si>
  <si>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</si>
  <si>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</si>
  <si>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</si>
  <si>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</si>
  <si>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</si>
  <si>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</si>
  <si>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</si>
  <si>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</si>
  <si>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</si>
  <si>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</si>
  <si>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</si>
  <si>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</si>
  <si>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</si>
  <si>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</si>
  <si>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</si>
  <si>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</si>
  <si>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</si>
  <si>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</si>
  <si>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</si>
  <si>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</si>
  <si>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</si>
  <si>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</si>
  <si>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</si>
  <si>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</si>
  <si>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</si>
  <si>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</si>
  <si>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</si>
  <si>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</si>
  <si>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</si>
  <si>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</si>
  <si>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</si>
  <si>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</si>
  <si>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</si>
  <si>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</si>
  <si>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</si>
  <si>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</si>
  <si>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</si>
  <si>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</si>
  <si>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</si>
  <si>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</si>
  <si>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</si>
  <si>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</si>
  <si>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</si>
  <si>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</si>
  <si>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</si>
  <si>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</si>
  <si>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</si>
  <si>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</si>
  <si>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</si>
  <si>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</si>
  <si>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</si>
  <si>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</si>
  <si>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</si>
  <si>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</si>
  <si>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</si>
  <si>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</si>
  <si>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</si>
  <si>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</si>
  <si>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</si>
  <si>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</si>
  <si>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</si>
  <si>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</si>
  <si>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</si>
  <si>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</si>
  <si>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</si>
  <si>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</si>
  <si>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</si>
  <si>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</si>
  <si>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</si>
  <si>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</si>
  <si>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</si>
  <si>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</si>
  <si>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</si>
  <si>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</si>
  <si>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</si>
  <si>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</si>
  <si>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</si>
  <si>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</si>
  <si>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</si>
  <si>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</si>
  <si>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</si>
  <si>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</si>
  <si>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</si>
  <si>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</si>
  <si>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</si>
  <si>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</si>
  <si>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</si>
  <si>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</si>
  <si>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</si>
  <si>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</si>
  <si>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</si>
  <si>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</si>
  <si>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</si>
  <si>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</si>
  <si>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</si>
  <si>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</si>
  <si>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</si>
  <si>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</si>
  <si>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</si>
  <si>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</si>
  <si>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</si>
  <si>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</si>
  <si>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</si>
  <si>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</si>
  <si>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</si>
  <si>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</si>
  <si>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</si>
  <si>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</si>
  <si>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</si>
  <si>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</si>
  <si>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</si>
  <si>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</si>
  <si>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</si>
  <si>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</si>
  <si>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</si>
  <si>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</si>
  <si>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</si>
  <si>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</si>
  <si>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</si>
  <si>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</si>
  <si>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</si>
  <si>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</si>
  <si>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</si>
  <si>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</si>
  <si>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</si>
  <si>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</si>
  <si>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</si>
  <si>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</si>
  <si>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</si>
  <si>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</si>
  <si>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</si>
  <si>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</si>
  <si>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</si>
  <si>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</si>
  <si>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</si>
  <si>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</si>
  <si>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</si>
  <si>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</si>
  <si>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</si>
  <si>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</si>
  <si>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</si>
  <si>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</si>
  <si>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</si>
  <si>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</si>
  <si>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</si>
  <si>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</si>
  <si>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</si>
  <si>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</si>
  <si>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</si>
  <si>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</si>
  <si>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</si>
  <si>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</si>
  <si>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</si>
  <si>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</si>
  <si>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</si>
  <si>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</si>
  <si>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</si>
  <si>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</si>
  <si>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</si>
  <si>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</si>
  <si>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</si>
  <si>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</si>
  <si>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</si>
  <si>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</si>
  <si>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</si>
  <si>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</si>
  <si>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</si>
  <si>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</si>
  <si>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</si>
  <si>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</si>
  <si>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</si>
  <si>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</si>
  <si>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</si>
  <si>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</si>
  <si>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</si>
  <si>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</si>
  <si>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</si>
  <si>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</si>
  <si>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</si>
  <si>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</si>
  <si>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</si>
  <si>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</si>
  <si>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</si>
  <si>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</si>
  <si>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</si>
  <si>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</si>
  <si>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</si>
  <si>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</si>
  <si>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</si>
  <si>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</si>
  <si>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</si>
  <si>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</si>
  <si>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</si>
  <si>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</si>
  <si>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</si>
  <si>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</si>
  <si>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</si>
  <si>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</si>
  <si>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</si>
  <si>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</si>
  <si>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</si>
  <si>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</si>
  <si>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</si>
  <si>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</si>
  <si>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</si>
  <si>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</si>
  <si>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</si>
  <si>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</si>
  <si>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</si>
  <si>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</si>
  <si>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</si>
  <si>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</si>
  <si>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</si>
  <si>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</si>
  <si>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</si>
  <si>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</si>
  <si>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</si>
  <si>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</si>
  <si>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</si>
  <si>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</si>
  <si>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</si>
  <si>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</si>
  <si>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</si>
  <si>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</si>
  <si>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</si>
  <si>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</si>
  <si>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</si>
  <si>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</si>
  <si>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</si>
  <si>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</si>
  <si>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</si>
  <si>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</si>
  <si>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</si>
  <si>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</si>
  <si>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</si>
  <si>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</si>
  <si>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</si>
  <si>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</si>
  <si>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</si>
  <si>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</si>
  <si>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</si>
  <si>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</si>
  <si>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</si>
  <si>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</si>
  <si>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</si>
  <si>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</si>
  <si>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</si>
  <si>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</si>
  <si>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</si>
  <si>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</si>
  <si>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</si>
  <si>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</si>
  <si>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</si>
  <si>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</si>
  <si>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</si>
  <si>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</si>
  <si>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</si>
  <si>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</si>
  <si>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</si>
  <si>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</si>
  <si>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</si>
  <si>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</si>
  <si>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</si>
  <si>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</si>
  <si>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</si>
  <si>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</si>
  <si>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</si>
  <si>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</si>
  <si>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</si>
  <si>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</si>
  <si>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</si>
  <si>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</si>
  <si>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</si>
  <si>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</si>
  <si>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</si>
  <si>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</si>
  <si>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</si>
  <si>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</si>
  <si>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</si>
  <si>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</si>
  <si>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</si>
  <si>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</si>
  <si>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</si>
  <si>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</si>
  <si>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</si>
  <si>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</si>
  <si>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</si>
  <si>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</si>
  <si>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</si>
  <si>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</si>
  <si>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</si>
  <si>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</si>
  <si>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</si>
  <si>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</si>
  <si>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</si>
  <si>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</si>
  <si>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</si>
  <si>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</si>
  <si>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</si>
  <si>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</si>
  <si>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</si>
  <si>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</si>
  <si>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</si>
  <si>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</si>
  <si>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</si>
  <si>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</si>
  <si>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</si>
  <si>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</si>
  <si>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</si>
  <si>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</si>
  <si>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</si>
  <si>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</si>
  <si>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</si>
  <si>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</si>
  <si>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</si>
  <si>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</si>
  <si>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</si>
  <si>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</si>
  <si>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</si>
  <si>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</si>
  <si>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</si>
  <si>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</si>
  <si>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</si>
  <si>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</si>
  <si>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</si>
  <si>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</si>
  <si>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</si>
  <si>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</si>
  <si>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</si>
  <si>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</si>
  <si>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</si>
  <si>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</si>
  <si>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</si>
  <si>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</si>
  <si>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</si>
  <si>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</si>
  <si>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</si>
  <si>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</si>
  <si>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</si>
  <si>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</si>
  <si>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</si>
  <si>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</si>
  <si>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</si>
  <si>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</si>
  <si>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</si>
  <si>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</si>
  <si>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</si>
  <si>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</si>
  <si>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</si>
  <si>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</si>
  <si>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</si>
  <si>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</si>
  <si>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</si>
  <si>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</si>
  <si>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</si>
  <si>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</si>
  <si>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</si>
  <si>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</si>
  <si>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</si>
  <si>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</si>
  <si>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</si>
  <si>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</si>
  <si>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</si>
  <si>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</si>
  <si>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</si>
  <si>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</si>
  <si>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</si>
  <si>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</si>
  <si>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</si>
  <si>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</si>
  <si>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</si>
  <si>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</si>
  <si>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</si>
  <si>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</si>
  <si>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</si>
  <si>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</si>
  <si>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</si>
  <si>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</si>
  <si>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</si>
  <si>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</si>
  <si>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</si>
  <si>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</si>
  <si>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</si>
  <si>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</si>
  <si>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</si>
  <si>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</si>
  <si>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</si>
  <si>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</si>
  <si>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</si>
  <si>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</si>
  <si>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</si>
  <si>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</si>
  <si>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</si>
  <si>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</si>
  <si>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</si>
  <si>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</si>
  <si>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</si>
  <si>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</si>
  <si>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</si>
  <si>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</si>
  <si>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</si>
  <si>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</si>
  <si>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</si>
  <si>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</si>
  <si>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</si>
  <si>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</si>
  <si>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</si>
  <si>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</si>
  <si>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</si>
  <si>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</si>
  <si>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</si>
  <si>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</si>
  <si>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</si>
  <si>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</si>
  <si>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</si>
  <si>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</si>
  <si>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</si>
  <si>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</si>
  <si>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</si>
  <si>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</si>
  <si>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</si>
  <si>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</si>
  <si>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</si>
  <si>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</si>
  <si>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</si>
  <si>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</si>
  <si>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</si>
  <si>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</si>
  <si>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</si>
  <si>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</si>
  <si>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</si>
  <si>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</si>
  <si>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</si>
  <si>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</si>
  <si>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</si>
  <si>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</si>
  <si>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</si>
  <si>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</si>
  <si>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</si>
  <si>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</si>
  <si>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</si>
  <si>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</si>
  <si>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</si>
  <si>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</si>
  <si>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</si>
  <si>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</si>
  <si>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</si>
  <si>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</si>
  <si>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</si>
  <si>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</si>
  <si>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</si>
  <si>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</si>
  <si>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</si>
  <si>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</si>
  <si>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</si>
  <si>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</si>
  <si>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</si>
  <si>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</si>
  <si>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</si>
  <si>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</si>
  <si>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</si>
  <si>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</si>
  <si>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</si>
  <si>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</si>
  <si>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</si>
  <si>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</si>
  <si>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</si>
  <si>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</si>
  <si>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</si>
  <si>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</si>
  <si>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</si>
  <si>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</si>
  <si>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</si>
  <si>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</si>
  <si>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</si>
  <si>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</si>
  <si>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</si>
  <si>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</si>
  <si>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</si>
  <si>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</si>
  <si>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</si>
  <si>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</si>
  <si>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</si>
  <si>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</si>
  <si>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</si>
  <si>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</si>
  <si>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</si>
  <si>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</si>
  <si>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</si>
  <si>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</si>
  <si>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</si>
  <si>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</si>
  <si>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</si>
  <si>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</si>
  <si>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</si>
  <si>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</si>
  <si>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</si>
  <si>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</si>
  <si>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</si>
  <si>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</si>
  <si>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</si>
  <si>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</si>
  <si>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</si>
  <si>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</si>
  <si>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</si>
  <si>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</si>
  <si>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</si>
  <si>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</si>
  <si>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</si>
  <si>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</si>
  <si>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</si>
  <si>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</si>
  <si>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</si>
  <si>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</si>
  <si>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</si>
  <si>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</si>
  <si>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</si>
  <si>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</si>
  <si>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</si>
  <si>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</si>
  <si>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</si>
  <si>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</si>
  <si>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</si>
  <si>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</si>
  <si>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</si>
  <si>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</si>
  <si>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</si>
  <si>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</si>
  <si>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</si>
  <si>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</si>
  <si>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</si>
  <si>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</si>
  <si>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</si>
  <si>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</si>
  <si>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</si>
  <si>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</si>
  <si>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</si>
  <si>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</si>
  <si>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</si>
  <si>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</si>
  <si>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</si>
  <si>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</si>
  <si>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</si>
  <si>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</si>
  <si>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</si>
  <si>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</si>
  <si>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</si>
  <si>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</si>
  <si>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</si>
  <si>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</si>
  <si>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</si>
  <si>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</si>
  <si>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</si>
  <si>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</si>
  <si>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</si>
  <si>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</si>
  <si>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</si>
  <si>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</si>
  <si>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</si>
  <si>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</si>
  <si>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</si>
  <si>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</si>
  <si>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</si>
  <si>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</si>
  <si>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</si>
  <si>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</si>
  <si>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</si>
  <si>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</si>
  <si>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</si>
  <si>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</si>
  <si>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</si>
  <si>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</si>
  <si>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</si>
  <si>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</si>
  <si>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</si>
  <si>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</si>
  <si>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</si>
  <si>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</si>
  <si>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</si>
  <si>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</si>
  <si>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</si>
  <si>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</si>
  <si>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</si>
  <si>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</si>
  <si>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</si>
  <si>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</si>
  <si>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</si>
  <si>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</si>
  <si>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</si>
  <si>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</si>
  <si>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</si>
  <si>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</si>
  <si>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</si>
  <si>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</si>
  <si>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</si>
  <si>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</si>
  <si>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</si>
  <si>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</si>
  <si>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</si>
  <si>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</si>
  <si>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</si>
  <si>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</si>
  <si>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</si>
  <si>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</si>
  <si>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</si>
  <si>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</si>
  <si>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</si>
  <si>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</si>
  <si>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</si>
  <si>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</si>
  <si>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</si>
  <si>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</si>
  <si>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</si>
  <si>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</si>
  <si>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</si>
  <si>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</si>
  <si>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</si>
  <si>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</si>
  <si>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</si>
  <si>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</si>
  <si>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</si>
  <si>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</si>
  <si>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</si>
  <si>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</si>
  <si>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</si>
  <si>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</si>
  <si>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</si>
  <si>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</si>
  <si>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</si>
  <si>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</si>
  <si>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</si>
  <si>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</si>
  <si>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</si>
  <si>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</si>
  <si>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</si>
  <si>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</si>
  <si>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</si>
  <si>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</si>
  <si>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</si>
  <si>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</si>
  <si>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</si>
  <si>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</si>
  <si>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</si>
  <si>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</si>
  <si>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</si>
  <si>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</si>
  <si>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</si>
  <si>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</si>
  <si>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</si>
  <si>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</si>
  <si>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</si>
  <si>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</si>
  <si>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</si>
  <si>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</si>
  <si>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</si>
  <si>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</si>
  <si>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</si>
  <si>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</si>
  <si>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</si>
  <si>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</si>
  <si>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</si>
  <si>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</si>
  <si>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</si>
  <si>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</si>
  <si>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</si>
  <si>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</si>
  <si>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</si>
  <si>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</si>
  <si>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</si>
  <si>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</si>
  <si>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</si>
  <si>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</si>
  <si>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</si>
  <si>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</si>
  <si>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</si>
  <si>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</si>
  <si>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</si>
  <si>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</si>
  <si>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</si>
  <si>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</si>
  <si>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</si>
  <si>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</si>
  <si>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</si>
  <si>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</si>
  <si>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</si>
  <si>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</si>
  <si>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</si>
  <si>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</si>
  <si>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</si>
  <si>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</si>
  <si>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</si>
  <si>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</si>
  <si>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</si>
  <si>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</si>
  <si>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</si>
  <si>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</si>
  <si>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</si>
  <si>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</si>
  <si>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</si>
  <si>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</si>
  <si>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</si>
  <si>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</si>
  <si>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</si>
  <si>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</si>
  <si>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</si>
  <si>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</si>
  <si>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</si>
  <si>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</si>
  <si>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</si>
  <si>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</si>
  <si>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</si>
  <si>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</si>
  <si>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</si>
  <si>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</si>
  <si>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</si>
  <si>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</si>
  <si>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</si>
  <si>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</si>
  <si>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</si>
  <si>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</si>
  <si>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</si>
  <si>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</si>
  <si>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</si>
  <si>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</si>
  <si>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</si>
  <si>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</si>
  <si>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</si>
  <si>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</si>
  <si>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</si>
  <si>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</si>
  <si>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</si>
  <si>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</si>
  <si>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</si>
  <si>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</si>
  <si>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</si>
  <si>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</si>
  <si>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</si>
  <si>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</si>
  <si>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</si>
  <si>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</si>
  <si>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</si>
  <si>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</si>
  <si>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</si>
  <si>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</si>
  <si>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</si>
  <si>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</si>
  <si>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</si>
  <si>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</si>
  <si>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</si>
  <si>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</si>
  <si>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</si>
  <si>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</si>
  <si>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</si>
  <si>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</si>
  <si>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</si>
  <si>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</si>
  <si>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</si>
  <si>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</si>
  <si>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</si>
  <si>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</si>
  <si>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</si>
  <si>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</si>
  <si>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</si>
  <si>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</si>
  <si>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</si>
  <si>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</si>
  <si>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</si>
  <si>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</si>
  <si>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</si>
  <si>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</si>
  <si>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</si>
  <si>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</si>
  <si>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</si>
  <si>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</si>
  <si>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</si>
  <si>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</si>
  <si>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</si>
  <si>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</si>
  <si>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</si>
  <si>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</si>
  <si>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</si>
  <si>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</si>
  <si>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</si>
  <si>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</si>
  <si>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</si>
  <si>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</si>
  <si>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</si>
  <si>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</si>
  <si>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</si>
  <si>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</si>
  <si>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</si>
  <si>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</si>
  <si>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</si>
  <si>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</si>
  <si>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</si>
  <si>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</si>
  <si>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</si>
  <si>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</si>
  <si>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</si>
  <si>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</si>
  <si>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</si>
  <si>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</si>
  <si>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</si>
  <si>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</si>
  <si>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</si>
  <si>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</si>
  <si>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</si>
  <si>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</si>
  <si>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</si>
  <si>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</si>
  <si>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</si>
  <si>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</si>
  <si>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</si>
  <si>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</si>
  <si>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</si>
  <si>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</si>
  <si>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</si>
  <si>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</si>
  <si>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</si>
  <si>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</si>
  <si>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</si>
  <si>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</si>
  <si>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</si>
  <si>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</si>
  <si>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</si>
  <si>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</si>
  <si>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</si>
  <si>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</si>
  <si>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</si>
  <si>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</si>
  <si>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</si>
  <si>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</si>
  <si>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</si>
  <si>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</si>
  <si>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</si>
  <si>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</si>
  <si>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</si>
  <si>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</si>
  <si>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</si>
  <si>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</si>
  <si>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</si>
  <si>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</si>
  <si>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</si>
  <si>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</si>
  <si>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</si>
  <si>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</si>
  <si>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</si>
  <si>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</si>
  <si>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</si>
  <si>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</si>
  <si>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</si>
  <si>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</si>
  <si>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</si>
  <si>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</si>
  <si>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</si>
  <si>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</si>
  <si>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</si>
  <si>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</si>
  <si>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</si>
  <si>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</si>
  <si>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</si>
  <si>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</si>
  <si>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</si>
  <si>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</si>
  <si>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</si>
  <si>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</si>
  <si>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</si>
  <si>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</si>
  <si>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</si>
  <si>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</si>
  <si>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</si>
  <si>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</si>
  <si>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</si>
  <si>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</si>
  <si>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</si>
  <si>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</si>
  <si>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</si>
  <si>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</si>
  <si>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</si>
  <si>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</si>
  <si>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</si>
  <si>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</si>
  <si>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</si>
  <si>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</si>
  <si>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</si>
  <si>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</si>
  <si>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</si>
  <si>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</si>
  <si>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</si>
  <si>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</si>
  <si>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</si>
  <si>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</si>
  <si>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</si>
  <si>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</si>
  <si>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</si>
  <si>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</si>
  <si>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</si>
  <si>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</si>
  <si>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</si>
  <si>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</si>
  <si>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</si>
  <si>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</si>
  <si>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</si>
  <si>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</si>
  <si>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</si>
  <si>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</si>
  <si>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</si>
  <si>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</si>
  <si>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</si>
  <si>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</si>
  <si>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</si>
  <si>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</si>
  <si>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</si>
  <si>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</si>
  <si>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</si>
  <si>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</si>
  <si>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</si>
  <si>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</si>
  <si>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</si>
  <si>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</si>
  <si>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</si>
  <si>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</si>
  <si>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</si>
  <si>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</si>
  <si>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</si>
  <si>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</si>
  <si>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</si>
  <si>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</si>
  <si>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</si>
  <si>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</si>
  <si>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</si>
  <si>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</si>
  <si>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</si>
  <si>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</si>
  <si>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</si>
  <si>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</si>
  <si>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</si>
  <si>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</si>
  <si>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</si>
  <si>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</si>
  <si>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</si>
  <si>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</si>
  <si>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</si>
  <si>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</si>
  <si>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</si>
  <si>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</si>
  <si>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</si>
  <si>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</si>
  <si>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</si>
  <si>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</si>
  <si>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</si>
  <si>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</si>
  <si>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</si>
  <si>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</si>
  <si>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</si>
  <si>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</si>
  <si>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</si>
  <si>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</si>
  <si>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</si>
  <si>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</si>
  <si>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</si>
  <si>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</si>
  <si>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</si>
  <si>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</si>
  <si>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</si>
  <si>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</si>
  <si>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</si>
  <si>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</si>
  <si>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</si>
  <si>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</si>
  <si>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</si>
  <si>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</si>
  <si>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</si>
  <si>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</si>
  <si>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</si>
  <si>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</si>
  <si>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</si>
  <si>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</si>
  <si>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</si>
  <si>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</si>
  <si>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</si>
  <si>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</si>
  <si>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</si>
  <si>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</si>
  <si>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</si>
  <si>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</si>
  <si>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</si>
  <si>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</si>
  <si>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</si>
  <si>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</si>
  <si>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</si>
  <si>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</si>
  <si>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</si>
  <si>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</si>
  <si>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</si>
  <si>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</si>
  <si>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</si>
  <si>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</si>
  <si>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</si>
  <si>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</si>
  <si>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</si>
  <si>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</si>
  <si>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</si>
  <si>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</si>
  <si>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</si>
  <si>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</si>
  <si>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</si>
  <si>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</si>
  <si>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</si>
  <si>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</si>
  <si>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</si>
  <si>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</si>
  <si>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</si>
  <si>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</si>
  <si>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</si>
  <si>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</si>
  <si>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</si>
  <si>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</si>
  <si>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</si>
  <si>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</si>
  <si>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</si>
  <si>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</si>
  <si>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</si>
  <si>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</si>
  <si>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</si>
  <si>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</si>
  <si>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</si>
  <si>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</si>
  <si>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</si>
  <si>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</si>
  <si>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</si>
  <si>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</si>
  <si>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</si>
  <si>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</si>
  <si>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</si>
  <si>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</si>
  <si>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</si>
  <si>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</si>
  <si>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</si>
  <si>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</si>
  <si>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</si>
  <si>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</si>
  <si>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</si>
  <si>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</si>
  <si>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</si>
  <si>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</si>
  <si>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</si>
  <si>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</si>
  <si>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</si>
  <si>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</si>
  <si>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</si>
  <si>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</si>
  <si>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</si>
  <si>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</si>
  <si>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</si>
  <si>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</si>
  <si>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</si>
  <si>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</si>
  <si>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</si>
  <si>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</si>
  <si>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</si>
  <si>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</si>
  <si>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</si>
  <si>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</si>
  <si>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</si>
  <si>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</si>
  <si>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</si>
  <si>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</si>
  <si>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</si>
  <si>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</si>
  <si>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</si>
  <si>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</si>
  <si>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</si>
  <si>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</si>
  <si>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</si>
  <si>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</si>
  <si>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</si>
  <si>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</si>
  <si>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</si>
  <si>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</si>
  <si>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</si>
  <si>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</si>
  <si>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</si>
  <si>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</si>
  <si>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</si>
  <si>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</si>
  <si>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</si>
  <si>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</si>
  <si>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</si>
  <si>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</si>
  <si>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</si>
  <si>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</si>
  <si>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</si>
  <si>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</si>
  <si>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</si>
  <si>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</si>
  <si>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</si>
  <si>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</si>
  <si>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</si>
  <si>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</si>
  <si>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</si>
  <si>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</si>
  <si>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</si>
  <si>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</si>
  <si>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</si>
  <si>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</si>
  <si>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</si>
  <si>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</si>
  <si>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</si>
  <si>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</si>
  <si>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</si>
  <si>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</si>
  <si>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</si>
  <si>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</si>
  <si>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</si>
  <si>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</si>
  <si>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</si>
  <si>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</si>
  <si>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</si>
  <si>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</si>
  <si>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</si>
  <si>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</si>
  <si>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</si>
  <si>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</si>
  <si>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</si>
  <si>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</si>
  <si>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</si>
  <si>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</si>
  <si>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</si>
  <si>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</si>
  <si>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</si>
  <si>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</si>
  <si>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</si>
  <si>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</si>
  <si>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</si>
  <si>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</si>
  <si>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</si>
  <si>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</si>
  <si>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</si>
  <si>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</si>
  <si>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</si>
  <si>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</si>
  <si>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</si>
  <si>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</si>
  <si>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</si>
  <si>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</si>
  <si>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</si>
  <si>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</si>
  <si>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</si>
  <si>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</si>
  <si>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</si>
  <si>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</si>
  <si>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</si>
  <si>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</si>
  <si>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</si>
  <si>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</si>
  <si>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</si>
  <si>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</si>
  <si>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</si>
  <si>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</si>
  <si>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</si>
  <si>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</si>
  <si>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</si>
  <si>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</si>
  <si>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</si>
  <si>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</si>
  <si>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</si>
  <si>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</si>
  <si>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</si>
  <si>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</si>
  <si>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</si>
  <si>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</si>
  <si>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</si>
  <si>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</si>
  <si>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</si>
  <si>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</si>
  <si>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</si>
  <si>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</si>
  <si>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</si>
  <si>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</si>
  <si>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</si>
  <si>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</si>
  <si>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</si>
  <si>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</si>
  <si>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</si>
  <si>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</si>
  <si>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</si>
  <si>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</si>
  <si>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</si>
  <si>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</si>
  <si>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</si>
  <si>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</si>
  <si>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</si>
  <si>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</si>
  <si>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</si>
  <si>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</si>
  <si>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</si>
  <si>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</si>
  <si>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</si>
  <si>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</si>
  <si>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</si>
  <si>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</si>
  <si>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</si>
  <si>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</si>
  <si>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</si>
  <si>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</si>
  <si>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</si>
  <si>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</si>
  <si>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</si>
  <si>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</si>
  <si>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</si>
  <si>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</si>
  <si>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</si>
  <si>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</si>
  <si>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</si>
  <si>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</si>
  <si>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</si>
  <si>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</si>
  <si>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</si>
  <si>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</si>
  <si>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</si>
  <si>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</si>
  <si>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</si>
  <si>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</si>
  <si>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</si>
  <si>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</si>
  <si>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</si>
  <si>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</si>
  <si>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</si>
  <si>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</si>
  <si>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</si>
  <si>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</si>
  <si>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</si>
  <si>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</si>
  <si>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</si>
  <si>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</si>
  <si>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</si>
  <si>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</si>
  <si>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</si>
  <si>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</si>
  <si>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</si>
  <si>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</si>
  <si>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</si>
  <si>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</si>
  <si>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</si>
  <si>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</si>
  <si>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</si>
  <si>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</si>
  <si>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</si>
  <si>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</si>
  <si>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</si>
  <si>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</si>
  <si>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</si>
  <si>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</si>
  <si>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</si>
  <si>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</si>
  <si>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</si>
  <si>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</si>
  <si>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</si>
  <si>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</si>
  <si>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</si>
  <si>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</si>
  <si>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</si>
  <si>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</si>
  <si>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</si>
  <si>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</si>
  <si>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</si>
  <si>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</si>
  <si>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</si>
  <si>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</si>
  <si>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</si>
  <si>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</si>
  <si>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</si>
  <si>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</si>
  <si>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</si>
  <si>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</si>
  <si>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</si>
  <si>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</si>
  <si>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</si>
  <si>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</si>
  <si>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</si>
  <si>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</si>
  <si>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</si>
  <si>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</si>
  <si>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</si>
  <si>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</si>
  <si>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</si>
  <si>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</si>
  <si>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</si>
  <si>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</si>
  <si>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</si>
  <si>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</si>
  <si>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</si>
  <si>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</si>
  <si>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</si>
  <si>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</si>
  <si>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</si>
  <si>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</si>
  <si>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</si>
  <si>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</si>
  <si>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</si>
  <si>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</si>
  <si>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</si>
  <si>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</si>
  <si>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</si>
  <si>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</si>
  <si>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</si>
  <si>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</si>
  <si>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</si>
  <si>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</si>
  <si>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</si>
  <si>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</si>
  <si>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</si>
  <si>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</si>
  <si>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</si>
  <si>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</si>
  <si>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</si>
  <si>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</si>
  <si>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</si>
  <si>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</si>
  <si>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</si>
  <si>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</si>
  <si>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</si>
  <si>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</si>
  <si>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</si>
  <si>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</si>
  <si>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</si>
  <si>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</si>
  <si>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</si>
  <si>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</si>
  <si>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</si>
  <si>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</si>
  <si>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</si>
  <si>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</si>
  <si>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</si>
  <si>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</si>
  <si>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</si>
  <si>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</si>
  <si>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</si>
  <si>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</si>
  <si>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</si>
  <si>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</si>
  <si>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</si>
  <si>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</si>
  <si>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</si>
  <si>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</si>
  <si>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</si>
  <si>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</si>
  <si>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</si>
  <si>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</si>
  <si>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</si>
  <si>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</si>
  <si>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</si>
  <si>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</si>
  <si>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</si>
  <si>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</si>
  <si>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</si>
  <si>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</si>
  <si>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</si>
  <si>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</si>
  <si>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</si>
  <si>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</si>
  <si>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</si>
  <si>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</si>
  <si>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</si>
  <si>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</si>
  <si>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</si>
  <si>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</si>
  <si>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</si>
  <si>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</si>
  <si>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</si>
  <si>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</si>
  <si>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</si>
  <si>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</si>
  <si>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</si>
  <si>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</si>
  <si>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</si>
  <si>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</si>
  <si>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</si>
  <si>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</si>
  <si>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</si>
  <si>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</si>
  <si>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</si>
  <si>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</si>
  <si>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</si>
  <si>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</si>
  <si>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</si>
  <si>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</si>
  <si>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</si>
  <si>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</si>
  <si>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</si>
  <si>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</si>
  <si>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</si>
  <si>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</si>
  <si>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</si>
  <si>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</si>
  <si>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</si>
  <si>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</si>
  <si>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</si>
  <si>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</si>
  <si>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</si>
  <si>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</si>
  <si>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</si>
  <si>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</si>
  <si>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</si>
  <si>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</si>
  <si>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</si>
  <si>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</si>
  <si>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</si>
  <si>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</si>
  <si>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</si>
  <si>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</si>
  <si>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</si>
  <si>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</si>
  <si>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</si>
  <si>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</si>
  <si>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</si>
  <si>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</si>
  <si>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</si>
  <si>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</si>
  <si>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</si>
  <si>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</si>
  <si>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</si>
  <si>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</si>
  <si>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</si>
  <si>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</si>
  <si>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</si>
  <si>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</si>
  <si>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</si>
  <si>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</si>
  <si>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</si>
  <si>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</si>
  <si>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</si>
  <si>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</si>
  <si>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</si>
  <si>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</si>
  <si>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</si>
  <si>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</si>
  <si>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</si>
  <si>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</si>
  <si>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</si>
  <si>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</si>
  <si>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</si>
  <si>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</si>
  <si>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</si>
  <si>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</si>
  <si>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</si>
  <si>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</si>
  <si>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</si>
  <si>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</si>
  <si>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</si>
  <si>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</si>
  <si>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</si>
  <si>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</si>
  <si>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</si>
  <si>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</si>
  <si>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</si>
  <si>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</si>
  <si>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</si>
  <si>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</si>
  <si>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</si>
  <si>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</si>
  <si>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</si>
  <si>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</si>
  <si>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</si>
  <si>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</si>
  <si>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</si>
  <si>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</si>
  <si>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</si>
  <si>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</si>
  <si>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</si>
  <si>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</si>
  <si>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</si>
  <si>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</si>
  <si>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</si>
  <si>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</si>
  <si>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</si>
  <si>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</si>
  <si>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</si>
  <si>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</si>
  <si>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</si>
  <si>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</si>
  <si>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</si>
  <si>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</si>
  <si>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</si>
  <si>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</si>
  <si>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</si>
  <si>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</si>
  <si>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</si>
  <si>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</si>
  <si>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</si>
  <si>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</si>
  <si>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</si>
  <si>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</si>
  <si>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</si>
  <si>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</si>
  <si>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</si>
  <si>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</si>
  <si>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</si>
  <si>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</si>
  <si>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</si>
  <si>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</si>
  <si>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</si>
  <si>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</si>
  <si>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</si>
  <si>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</si>
  <si>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</si>
  <si>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</si>
  <si>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</si>
  <si>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</si>
  <si>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</si>
  <si>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</si>
  <si>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</si>
  <si>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</si>
  <si>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</si>
  <si>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</si>
  <si>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</si>
  <si>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</si>
  <si>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</si>
  <si>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</si>
  <si>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</si>
  <si>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</si>
  <si>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</si>
  <si>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</si>
  <si>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</si>
  <si>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</si>
  <si>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</si>
  <si>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</si>
  <si>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</si>
  <si>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</si>
  <si>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</si>
  <si>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</si>
  <si>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</si>
  <si>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</si>
  <si>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</si>
  <si>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</si>
  <si>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</si>
  <si>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</si>
  <si>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</si>
  <si>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</si>
  <si>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</si>
  <si>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</si>
  <si>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</si>
  <si>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</si>
  <si>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</si>
  <si>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</si>
  <si>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</si>
  <si>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</si>
  <si>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</si>
  <si>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</si>
  <si>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</si>
  <si>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</si>
  <si>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</si>
  <si>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</si>
  <si>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</si>
  <si>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</si>
  <si>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</si>
  <si>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</si>
  <si>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</si>
  <si>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</si>
  <si>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</si>
  <si>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</si>
  <si>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</si>
  <si>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</si>
  <si>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</si>
  <si>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</si>
  <si>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</si>
  <si>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</si>
  <si>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</si>
  <si>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</si>
  <si>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</si>
  <si>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</si>
  <si>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</si>
  <si>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</si>
  <si>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</si>
  <si>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</si>
  <si>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</si>
  <si>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</si>
  <si>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</si>
  <si>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</si>
  <si>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</si>
  <si>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</si>
  <si>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</si>
  <si>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</si>
  <si>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</si>
  <si>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</si>
  <si>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</si>
  <si>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</si>
  <si>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</si>
  <si>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</si>
  <si>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</si>
  <si>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</si>
  <si>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</si>
  <si>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</si>
  <si>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</si>
  <si>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</si>
  <si>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</si>
  <si>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</si>
  <si>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</si>
  <si>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</si>
  <si>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</si>
  <si>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</si>
  <si>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</si>
  <si>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</si>
  <si>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</si>
  <si>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</si>
  <si>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</si>
  <si>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</si>
  <si>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</si>
  <si>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</si>
  <si>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</si>
  <si>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</si>
  <si>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</si>
  <si>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</si>
  <si>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</si>
  <si>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</si>
  <si>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</si>
  <si>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</si>
  <si>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</si>
  <si>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</si>
  <si>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</si>
  <si>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</si>
  <si>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</si>
  <si>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</si>
  <si>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</si>
  <si>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</si>
  <si>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</si>
  <si>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</si>
  <si>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</si>
  <si>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</si>
  <si>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</si>
  <si>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</si>
  <si>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</si>
  <si>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</si>
  <si>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</si>
  <si>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</si>
  <si>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</si>
  <si>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</si>
  <si>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</si>
  <si>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</si>
  <si>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</si>
  <si>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</si>
  <si>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</si>
  <si>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</si>
  <si>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</si>
  <si>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</si>
  <si>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</si>
  <si>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</si>
  <si>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</si>
  <si>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</si>
  <si>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</si>
  <si>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</si>
  <si>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</si>
  <si>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</si>
  <si>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</si>
  <si>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</si>
  <si>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</si>
  <si>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</si>
  <si>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</si>
  <si>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</si>
  <si>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</si>
  <si>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</si>
  <si>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</si>
  <si>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</si>
  <si>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</si>
  <si>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</si>
  <si>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</si>
  <si>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</si>
  <si>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</si>
  <si>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</si>
  <si>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</si>
  <si>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</si>
  <si>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</si>
  <si>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</si>
  <si>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</si>
  <si>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</si>
  <si>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</si>
  <si>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</si>
  <si>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</si>
  <si>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</si>
  <si>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</si>
  <si>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</si>
  <si>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</si>
  <si>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</si>
  <si>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</si>
  <si>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</si>
  <si>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</si>
  <si>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</si>
  <si>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</si>
  <si>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</si>
  <si>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</si>
  <si>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</si>
  <si>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</si>
  <si>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</si>
  <si>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</si>
  <si>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</si>
  <si>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</si>
  <si>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</si>
  <si>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</si>
  <si>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</si>
  <si>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</si>
  <si>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</si>
  <si>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</si>
  <si>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</si>
  <si>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</si>
  <si>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</si>
  <si>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</si>
  <si>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</si>
  <si>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</si>
  <si>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</si>
  <si>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</si>
  <si>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</si>
  <si>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</si>
  <si>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</si>
  <si>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</si>
  <si>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</si>
  <si>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</si>
  <si>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</si>
  <si>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</si>
  <si>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</si>
  <si>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</si>
  <si>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</si>
  <si>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</si>
  <si>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</si>
  <si>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</si>
  <si>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</si>
  <si>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</si>
  <si>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</si>
  <si>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</si>
  <si>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</si>
  <si>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</si>
  <si>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</si>
  <si>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</si>
  <si>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</si>
  <si>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</si>
  <si>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</si>
  <si>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</si>
  <si>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</si>
  <si>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</si>
  <si>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</si>
  <si>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</si>
  <si>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</si>
  <si>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</si>
  <si>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</si>
  <si>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</si>
  <si>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</si>
  <si>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</si>
  <si>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</si>
  <si>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</si>
  <si>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</si>
  <si>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</si>
  <si>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</si>
  <si>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</si>
  <si>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</si>
  <si>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</si>
  <si>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</si>
  <si>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</si>
  <si>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</si>
  <si>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</si>
  <si>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</si>
  <si>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</si>
  <si>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</si>
  <si>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</si>
  <si>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</si>
  <si>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</si>
  <si>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</si>
  <si>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</si>
  <si>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</si>
  <si>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</si>
  <si>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</si>
  <si>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</si>
  <si>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</si>
  <si>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</si>
  <si>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</si>
  <si>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</si>
  <si>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</si>
  <si>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</si>
  <si>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</si>
  <si>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</si>
  <si>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</si>
  <si>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</si>
  <si>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</si>
  <si>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</si>
  <si>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</si>
  <si>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</si>
  <si>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</si>
  <si>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</si>
  <si>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</si>
  <si>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</si>
  <si>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</si>
  <si>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</si>
  <si>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</si>
  <si>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</si>
  <si>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</si>
  <si>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</si>
  <si>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</si>
  <si>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</si>
  <si>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</si>
  <si>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</si>
  <si>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</si>
  <si>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</si>
  <si>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</si>
  <si>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</si>
  <si>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</si>
  <si>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</si>
  <si>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</si>
  <si>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</si>
  <si>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</si>
  <si>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</si>
  <si>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</si>
  <si>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</si>
  <si>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</si>
  <si>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</si>
  <si>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</si>
  <si>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</si>
  <si>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</si>
  <si>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</si>
  <si>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</si>
  <si>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</si>
  <si>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</si>
  <si>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</si>
  <si>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</si>
  <si>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</si>
  <si>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</si>
  <si>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</si>
  <si>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</si>
  <si>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</si>
  <si>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</si>
  <si>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</si>
  <si>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</si>
  <si>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</si>
  <si>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</si>
  <si>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</si>
  <si>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</si>
  <si>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</si>
  <si>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</si>
  <si>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</si>
  <si>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</si>
  <si>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</si>
  <si>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</si>
  <si>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</si>
  <si>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</si>
  <si>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</si>
  <si>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</si>
  <si>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</si>
  <si>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</si>
  <si>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</si>
  <si>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</si>
  <si>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</si>
  <si>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</si>
  <si>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</si>
  <si>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</si>
  <si>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</si>
  <si>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</si>
  <si>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</si>
  <si>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</si>
  <si>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</si>
  <si>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</si>
  <si>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</si>
  <si>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</si>
  <si>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</si>
  <si>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</si>
  <si>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</si>
  <si>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</si>
  <si>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</si>
  <si>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</si>
  <si>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</si>
  <si>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</si>
  <si>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</si>
  <si>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</si>
  <si>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</si>
  <si>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</si>
  <si>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</si>
  <si>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</si>
  <si>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</si>
  <si>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</si>
  <si>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</si>
  <si>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</si>
  <si>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</si>
  <si>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</si>
  <si>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</si>
  <si>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</si>
  <si>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</si>
  <si>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</si>
  <si>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</si>
  <si>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</si>
  <si>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</si>
  <si>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</si>
  <si>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</si>
  <si>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</si>
  <si>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</si>
  <si>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</si>
  <si>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</si>
  <si>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</si>
  <si>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</si>
  <si>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</si>
  <si>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</si>
  <si>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</si>
  <si>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</si>
  <si>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</si>
  <si>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</si>
  <si>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</si>
  <si>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</si>
  <si>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</si>
  <si>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</si>
  <si>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</si>
  <si>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</si>
  <si>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</si>
  <si>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</si>
  <si>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</si>
  <si>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</si>
  <si>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</si>
  <si>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</si>
  <si>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</si>
  <si>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</si>
  <si>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</si>
  <si>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</si>
  <si>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</si>
  <si>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</si>
  <si>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</si>
  <si>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</si>
  <si>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</si>
  <si>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</si>
  <si>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</si>
  <si>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</si>
  <si>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</si>
  <si>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</si>
  <si>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</si>
  <si>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</si>
  <si>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</si>
  <si>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</si>
  <si>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</si>
  <si>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</si>
  <si>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</si>
  <si>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</si>
  <si>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</si>
  <si>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</si>
  <si>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</si>
  <si>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</si>
  <si>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</si>
  <si>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</si>
  <si>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</si>
  <si>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</si>
  <si>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</si>
  <si>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</si>
  <si>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</si>
  <si>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</si>
  <si>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</si>
  <si>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</si>
  <si>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</si>
  <si>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</si>
  <si>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</si>
  <si>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</si>
  <si>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</si>
  <si>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</si>
  <si>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</si>
  <si>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</si>
  <si>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</si>
  <si>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</si>
  <si>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</si>
  <si>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</si>
  <si>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</si>
  <si>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</si>
  <si>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</si>
  <si>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</si>
  <si>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</si>
  <si>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</si>
  <si>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</si>
  <si>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</si>
  <si>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</si>
  <si>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</si>
  <si>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</si>
  <si>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</si>
  <si>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</si>
  <si>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</si>
  <si>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</si>
  <si>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</si>
  <si>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</si>
  <si>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</si>
  <si>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</si>
  <si>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</si>
  <si>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</si>
  <si>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</si>
  <si>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</si>
  <si>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</si>
  <si>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</si>
  <si>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</si>
  <si>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</si>
  <si>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</si>
  <si>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</si>
  <si>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</si>
  <si>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</si>
  <si>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</si>
  <si>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</si>
  <si>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</si>
  <si>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</si>
  <si>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</si>
  <si>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</si>
  <si>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</si>
  <si>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</si>
  <si>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</si>
  <si>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</si>
  <si>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</si>
  <si>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</si>
  <si>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</si>
  <si>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</si>
  <si>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</si>
  <si>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</si>
  <si>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</si>
  <si>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</si>
  <si>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</si>
  <si>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</si>
  <si>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</si>
  <si>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</si>
  <si>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</si>
  <si>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</si>
  <si>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</si>
  <si>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</si>
  <si>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</si>
  <si>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</si>
  <si>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</si>
  <si>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</si>
  <si>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</si>
  <si>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</si>
  <si>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</si>
  <si>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</si>
  <si>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</si>
  <si>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</si>
  <si>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</si>
  <si>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</si>
  <si>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</si>
  <si>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</si>
  <si>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</si>
  <si>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</si>
  <si>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</si>
  <si>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</si>
  <si>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</si>
  <si>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</si>
  <si>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</si>
  <si>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</si>
  <si>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</si>
  <si>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</si>
  <si>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</si>
  <si>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</si>
  <si>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</si>
  <si>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</si>
  <si>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</si>
  <si>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</si>
  <si>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</si>
  <si>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0</t>
    <phoneticPr fontId="6" type="noConversion"/>
  </si>
  <si>
    <t>核定资产</t>
  </si>
  <si>
    <t>房地产市场价值</t>
  </si>
  <si>
    <t>北京市</t>
  </si>
  <si>
    <t>企业</t>
  </si>
  <si>
    <t>地上</t>
  </si>
  <si>
    <t>办公楼</t>
  </si>
  <si>
    <t>是</t>
  </si>
  <si>
    <t>办公</t>
    <phoneticPr fontId="7" type="noConversion"/>
  </si>
  <si>
    <t>Ⅷ-怀1</t>
  </si>
  <si>
    <t>成新度</t>
  </si>
  <si>
    <t>建成年份</t>
    <phoneticPr fontId="1" type="noConversion"/>
  </si>
  <si>
    <t>使用年限</t>
    <phoneticPr fontId="1" type="noConversion"/>
  </si>
  <si>
    <t>年限</t>
    <phoneticPr fontId="3" type="noConversion"/>
  </si>
  <si>
    <t>观察成新</t>
    <phoneticPr fontId="3" type="noConversion"/>
  </si>
  <si>
    <t>收益法 (元)</t>
  </si>
  <si>
    <t>商务金融用地</t>
  </si>
  <si>
    <t>通电</t>
  </si>
  <si>
    <t>通路</t>
  </si>
  <si>
    <t>通讯</t>
  </si>
  <si>
    <t>通上水</t>
  </si>
  <si>
    <t>通下水</t>
  </si>
  <si>
    <t>通热</t>
  </si>
  <si>
    <t>燃气</t>
  </si>
  <si>
    <t>平整</t>
  </si>
  <si>
    <t>与级别开发程度不一致</t>
  </si>
  <si>
    <t>中心城区以外</t>
  </si>
  <si>
    <t>估价对象容积率</t>
  </si>
  <si>
    <t>未包含在土地购买价格中</t>
  </si>
  <si>
    <t>已包含在土地取得成本中</t>
  </si>
  <si>
    <t>利息：取LPR加浮动点数</t>
  </si>
  <si>
    <t>较差</t>
  </si>
  <si>
    <t>一般</t>
  </si>
  <si>
    <t>好</t>
  </si>
  <si>
    <t>较好</t>
  </si>
  <si>
    <t>项目模式</t>
  </si>
  <si>
    <t>时间</t>
  </si>
  <si>
    <t>楼栋号</t>
  </si>
  <si>
    <t>单元号</t>
  </si>
  <si>
    <t>总楼层</t>
  </si>
  <si>
    <t>楼层号</t>
  </si>
  <si>
    <t>房间号</t>
  </si>
  <si>
    <t>许可证号</t>
  </si>
  <si>
    <t>物业类型</t>
  </si>
  <si>
    <t>户型</t>
  </si>
  <si>
    <t>成交面积(㎡)</t>
  </si>
  <si>
    <t>成交金额(万元)</t>
  </si>
  <si>
    <t>成交单价(元/㎡)</t>
  </si>
  <si>
    <t>6号楼</t>
  </si>
  <si>
    <t>现：京(2022)怀不动产权第0002719号</t>
  </si>
  <si>
    <t>其他</t>
  </si>
  <si>
    <t>3号楼</t>
  </si>
  <si>
    <t>现：京(2022)怀不动产权第0001810号</t>
  </si>
  <si>
    <t>1号楼</t>
  </si>
  <si>
    <t>现：京(2021)怀不动产权第0004103号</t>
  </si>
  <si>
    <t>2号楼</t>
  </si>
  <si>
    <t>现：京(2021)怀不动产权第0004104号</t>
  </si>
  <si>
    <t>现：京(2022)怀不动产权第0001816号</t>
  </si>
  <si>
    <t>2-2</t>
    <phoneticPr fontId="134" type="noConversion"/>
  </si>
  <si>
    <t>2-1</t>
    <phoneticPr fontId="134" type="noConversion"/>
  </si>
  <si>
    <t>3-1</t>
    <phoneticPr fontId="134" type="noConversion"/>
  </si>
  <si>
    <t>3-1</t>
    <phoneticPr fontId="134" type="noConversion"/>
  </si>
  <si>
    <t>3-4</t>
    <phoneticPr fontId="134" type="noConversion"/>
  </si>
  <si>
    <t>1-6</t>
    <phoneticPr fontId="134" type="noConversion"/>
  </si>
  <si>
    <t>2-3</t>
    <phoneticPr fontId="134" type="noConversion"/>
  </si>
  <si>
    <t>1-2</t>
    <phoneticPr fontId="134" type="noConversion"/>
  </si>
  <si>
    <t>小区</t>
  </si>
  <si>
    <t>平米租金(元/㎡·月)</t>
  </si>
  <si>
    <t>套均租金(元/套·月)</t>
  </si>
  <si>
    <t>参考售价(元/㎡)</t>
  </si>
  <si>
    <t>租售比</t>
  </si>
  <si>
    <t>1:932</t>
  </si>
  <si>
    <t>1:854</t>
  </si>
  <si>
    <t>1:848</t>
  </si>
  <si>
    <t>1:873</t>
  </si>
  <si>
    <t>1:842</t>
  </si>
  <si>
    <t>1:899</t>
  </si>
  <si>
    <t>1:917</t>
  </si>
  <si>
    <t>1:872</t>
  </si>
  <si>
    <t>1:860</t>
  </si>
  <si>
    <t>1:882</t>
  </si>
  <si>
    <t>1:892</t>
  </si>
  <si>
    <t>1:897</t>
  </si>
  <si>
    <t>1:914</t>
  </si>
  <si>
    <t>1:908</t>
  </si>
  <si>
    <t>1:930</t>
  </si>
  <si>
    <t>1:963</t>
  </si>
  <si>
    <t>1:968</t>
  </si>
  <si>
    <t>1:950</t>
  </si>
  <si>
    <t>1:964</t>
  </si>
  <si>
    <t>1:984</t>
  </si>
  <si>
    <t>1:989</t>
  </si>
  <si>
    <t>1:966</t>
  </si>
  <si>
    <t>1:987</t>
  </si>
  <si>
    <t>1:1006</t>
  </si>
  <si>
    <t>1:943</t>
  </si>
  <si>
    <t>1:947</t>
  </si>
  <si>
    <t>1:996</t>
  </si>
  <si>
    <t>1:1022</t>
  </si>
  <si>
    <t>怡成园&lt;怀北、怀柔&lt;怀柔区</t>
  </si>
  <si>
    <t>1:907</t>
  </si>
  <si>
    <t>1:939</t>
  </si>
  <si>
    <t>1:941</t>
  </si>
  <si>
    <t>万通新新家园&lt;怀北、怀柔&lt;怀柔区</t>
  </si>
  <si>
    <t>1:901</t>
  </si>
  <si>
    <t>1:913</t>
  </si>
  <si>
    <t>1:834</t>
  </si>
  <si>
    <t>1:863</t>
  </si>
  <si>
    <t>1:933</t>
  </si>
  <si>
    <t>1:887</t>
  </si>
  <si>
    <t>1:846</t>
  </si>
  <si>
    <t>下园一条&lt;怀北、怀柔&lt;怀柔区</t>
  </si>
  <si>
    <t>1:774</t>
  </si>
  <si>
    <t>1:802</t>
  </si>
  <si>
    <t>1:811</t>
  </si>
  <si>
    <t>1:798</t>
  </si>
  <si>
    <t>1:800</t>
  </si>
  <si>
    <t>1:796</t>
  </si>
  <si>
    <t>1:775</t>
  </si>
  <si>
    <t>1:814</t>
  </si>
  <si>
    <t>1:755</t>
  </si>
  <si>
    <t>1:751</t>
  </si>
  <si>
    <t>青春路七院&lt;怀北、怀柔&lt;怀柔区</t>
  </si>
  <si>
    <t>1:794</t>
  </si>
  <si>
    <t>1:826</t>
  </si>
  <si>
    <t>1:816</t>
  </si>
  <si>
    <t>1:829</t>
  </si>
  <si>
    <t>1:884</t>
  </si>
  <si>
    <t>1:781</t>
  </si>
  <si>
    <t>1:773</t>
  </si>
  <si>
    <t>1:779</t>
  </si>
  <si>
    <t>湖光小区&lt;怀北、怀柔&lt;怀柔区</t>
  </si>
  <si>
    <t>1:790</t>
  </si>
  <si>
    <t>1:784</t>
  </si>
  <si>
    <t>1:778</t>
  </si>
  <si>
    <t>1:789</t>
  </si>
  <si>
    <t>1:813</t>
  </si>
  <si>
    <t>1:791</t>
  </si>
  <si>
    <t>1:771</t>
  </si>
  <si>
    <t>1:797</t>
  </si>
  <si>
    <t>1:825</t>
  </si>
  <si>
    <t>府东一条&lt;怀北、怀柔&lt;怀柔区</t>
  </si>
  <si>
    <t>1:820</t>
  </si>
  <si>
    <t>1:827</t>
  </si>
  <si>
    <t>1:856</t>
  </si>
  <si>
    <t>1:871</t>
  </si>
  <si>
    <t>1:888</t>
  </si>
  <si>
    <t>1:843</t>
  </si>
  <si>
    <t>北科建翡翠华庭&lt;怀北、怀柔&lt;怀柔区</t>
  </si>
  <si>
    <t>西园&lt;怀北、怀柔&lt;怀柔区</t>
  </si>
  <si>
    <t>1:792</t>
  </si>
  <si>
    <t>1:772</t>
  </si>
  <si>
    <t>1:817</t>
  </si>
  <si>
    <t>1:823</t>
  </si>
  <si>
    <t>1:766</t>
  </si>
  <si>
    <t>1:795</t>
  </si>
  <si>
    <t>1:877</t>
  </si>
  <si>
    <t>1:879</t>
  </si>
  <si>
    <t>府前街小区&lt;怀北、怀柔&lt;怀柔区</t>
  </si>
  <si>
    <t>1:852</t>
  </si>
  <si>
    <t>1:821</t>
  </si>
  <si>
    <t>1:862</t>
  </si>
  <si>
    <t>新贤家园&lt;怀北、怀柔&lt;怀柔区</t>
  </si>
  <si>
    <t>1:1024</t>
  </si>
  <si>
    <t>1:936</t>
  </si>
  <si>
    <t>1:890</t>
  </si>
  <si>
    <t>1:869</t>
  </si>
  <si>
    <t>1:880</t>
  </si>
  <si>
    <t>1:958</t>
  </si>
  <si>
    <t>1:952</t>
  </si>
  <si>
    <t>1:940</t>
  </si>
  <si>
    <t>1:953</t>
  </si>
  <si>
    <t>1:961</t>
  </si>
  <si>
    <t>1:944</t>
  </si>
  <si>
    <t>后横街&lt;怀北、怀柔&lt;怀柔区</t>
  </si>
  <si>
    <t>1:830</t>
  </si>
  <si>
    <t>1:812</t>
  </si>
  <si>
    <t>1:806</t>
  </si>
  <si>
    <t>1:824</t>
  </si>
  <si>
    <t>1:924</t>
  </si>
  <si>
    <t>1:851</t>
  </si>
  <si>
    <t>1:535</t>
  </si>
  <si>
    <t>青春路六院&lt;怀北、怀柔&lt;怀柔区</t>
  </si>
  <si>
    <t>1:864</t>
  </si>
  <si>
    <t>1:809</t>
  </si>
  <si>
    <t>1:822</t>
  </si>
  <si>
    <t>1:838</t>
  </si>
  <si>
    <t>1:865</t>
  </si>
  <si>
    <t>1:895</t>
  </si>
  <si>
    <t>1:836</t>
  </si>
  <si>
    <t>1:835</t>
  </si>
  <si>
    <t>龙山广场&lt;怀北、怀柔&lt;怀柔区</t>
    <phoneticPr fontId="134" type="noConversion"/>
  </si>
  <si>
    <t>北京城建胜悦居&lt;怀北、怀柔&lt;怀柔区</t>
    <phoneticPr fontId="134" type="noConversion"/>
  </si>
  <si>
    <t>中建府前观邸&lt;怀北、怀柔&lt;怀柔区</t>
    <phoneticPr fontId="134" type="noConversion"/>
  </si>
  <si>
    <t>非生产用房</t>
  </si>
  <si>
    <t>否</t>
  </si>
  <si>
    <t>现房</t>
  </si>
  <si>
    <t>正常</t>
  </si>
  <si>
    <t>办公</t>
    <phoneticPr fontId="31" type="noConversion"/>
  </si>
  <si>
    <t>七通</t>
  </si>
  <si>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</si>
  <si>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</si>
  <si>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</si>
  <si>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</si>
  <si>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</si>
  <si>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t>售价</t>
  </si>
  <si>
    <t>比较法</t>
  </si>
  <si>
    <t>高区</t>
  </si>
  <si>
    <t>高区</t>
    <phoneticPr fontId="31" type="noConversion"/>
  </si>
  <si>
    <t>中区</t>
    <phoneticPr fontId="31" type="noConversion"/>
  </si>
  <si>
    <t>低区</t>
  </si>
  <si>
    <t>低区</t>
    <phoneticPr fontId="31" type="noConversion"/>
  </si>
  <si>
    <r>
      <rPr>
        <sz val="11"/>
        <rFont val="宋体"/>
        <family val="3"/>
        <charset val="134"/>
      </rPr>
      <t>城市主干道</t>
    </r>
    <r>
      <rPr>
        <sz val="11"/>
        <rFont val="Arial"/>
        <family val="2"/>
      </rPr>
      <t>-</t>
    </r>
    <r>
      <rPr>
        <sz val="11"/>
        <rFont val="宋体"/>
        <family val="3"/>
        <charset val="134"/>
      </rPr>
      <t>开放路</t>
    </r>
    <phoneticPr fontId="31" type="noConversion"/>
  </si>
  <si>
    <r>
      <rPr>
        <sz val="11"/>
        <rFont val="宋体"/>
        <family val="3"/>
        <charset val="134"/>
      </rPr>
      <t>高速路</t>
    </r>
    <r>
      <rPr>
        <sz val="11"/>
        <rFont val="Arial"/>
        <family val="2"/>
      </rPr>
      <t>-</t>
    </r>
    <r>
      <rPr>
        <sz val="11"/>
        <rFont val="宋体"/>
        <family val="3"/>
        <charset val="134"/>
      </rPr>
      <t>京密高速</t>
    </r>
    <phoneticPr fontId="31" type="noConversion"/>
  </si>
  <si>
    <t>高速路</t>
  </si>
  <si>
    <t>高速路</t>
    <phoneticPr fontId="31" type="noConversion"/>
  </si>
  <si>
    <t>快速路</t>
    <phoneticPr fontId="31" type="noConversion"/>
  </si>
  <si>
    <t>主干道</t>
  </si>
  <si>
    <t>主干道</t>
    <phoneticPr fontId="31" type="noConversion"/>
  </si>
  <si>
    <t>次干道</t>
    <phoneticPr fontId="31" type="noConversion"/>
  </si>
  <si>
    <t>支路</t>
    <phoneticPr fontId="31" type="noConversion"/>
  </si>
  <si>
    <t>办公</t>
    <phoneticPr fontId="134" type="noConversion"/>
  </si>
  <si>
    <t>收益法</t>
  </si>
  <si>
    <t>容积率修正</t>
  </si>
  <si>
    <t>商业</t>
    <phoneticPr fontId="134" type="noConversion"/>
  </si>
  <si>
    <r>
      <rPr>
        <sz val="11"/>
        <rFont val="宋体"/>
        <family val="3"/>
        <charset val="134"/>
      </rPr>
      <t>城市支路</t>
    </r>
    <r>
      <rPr>
        <sz val="11"/>
        <rFont val="Arial"/>
        <family val="2"/>
      </rPr>
      <t>-</t>
    </r>
    <r>
      <rPr>
        <sz val="11"/>
        <rFont val="宋体"/>
        <family val="3"/>
        <charset val="134"/>
      </rPr>
      <t>府东一条</t>
    </r>
    <phoneticPr fontId="31" type="noConversion"/>
  </si>
  <si>
    <t>支路</t>
  </si>
  <si>
    <t>府东一条45号</t>
    <phoneticPr fontId="134" type="noConversion"/>
  </si>
  <si>
    <t>南华园四区</t>
    <phoneticPr fontId="134" type="noConversion"/>
  </si>
  <si>
    <t>于家园二区</t>
    <phoneticPr fontId="134" type="noConversion"/>
  </si>
  <si>
    <r>
      <rPr>
        <sz val="11"/>
        <rFont val="宋体"/>
        <family val="3"/>
        <charset val="134"/>
      </rPr>
      <t>城市主干道</t>
    </r>
    <r>
      <rPr>
        <sz val="11"/>
        <rFont val="Arial"/>
        <family val="2"/>
      </rPr>
      <t>-</t>
    </r>
    <r>
      <rPr>
        <sz val="11"/>
        <rFont val="宋体"/>
        <family val="3"/>
        <charset val="134"/>
      </rPr>
      <t>南华大街</t>
    </r>
    <phoneticPr fontId="31" type="noConversion"/>
  </si>
  <si>
    <t>北京市怀柔区融城北路10号院23号楼2层205</t>
    <phoneticPr fontId="134" type="noConversion"/>
  </si>
  <si>
    <t>位置</t>
    <phoneticPr fontId="134" type="noConversion"/>
  </si>
  <si>
    <t>起拍价</t>
    <phoneticPr fontId="134" type="noConversion"/>
  </si>
  <si>
    <t>成交日期</t>
    <phoneticPr fontId="134" type="noConversion"/>
  </si>
  <si>
    <t>评估价</t>
    <phoneticPr fontId="134" type="noConversion"/>
  </si>
  <si>
    <t>用途</t>
    <phoneticPr fontId="134" type="noConversion"/>
  </si>
  <si>
    <t>建筑面积</t>
    <phoneticPr fontId="134" type="noConversion"/>
  </si>
  <si>
    <t>办公</t>
    <phoneticPr fontId="134" type="noConversion"/>
  </si>
  <si>
    <t>成交价</t>
    <phoneticPr fontId="134" type="noConversion"/>
  </si>
  <si>
    <t>成交单价</t>
    <phoneticPr fontId="134" type="noConversion"/>
  </si>
  <si>
    <t>评估单价</t>
    <phoneticPr fontId="134" type="noConversion"/>
  </si>
  <si>
    <t>序号</t>
    <phoneticPr fontId="134" type="noConversion"/>
  </si>
  <si>
    <t>https://paimai.jd.com/300985081</t>
    <phoneticPr fontId="134" type="noConversion"/>
  </si>
  <si>
    <t>北京市怀柔区青春路61号院1号楼-1至2层11的房屋</t>
    <phoneticPr fontId="134" type="noConversion"/>
  </si>
  <si>
    <t>https://paimai.jd.com/285045779</t>
    <phoneticPr fontId="134" type="noConversion"/>
  </si>
  <si>
    <t>商业</t>
    <phoneticPr fontId="134" type="noConversion"/>
  </si>
  <si>
    <t>北京市怀柔区南大街14号楼1至3层房屋及对应的土地使用权</t>
    <phoneticPr fontId="134" type="noConversion"/>
  </si>
  <si>
    <t>https://paimai.jd.com/278863386</t>
    <phoneticPr fontId="134" type="noConversion"/>
  </si>
  <si>
    <t>北京市怀柔区滨湖小区308号</t>
    <phoneticPr fontId="134" type="noConversion"/>
  </si>
  <si>
    <t>办公</t>
    <phoneticPr fontId="134" type="noConversion"/>
  </si>
  <si>
    <t>https://paimai.jd.com/115128635</t>
    <phoneticPr fontId="134" type="noConversion"/>
  </si>
  <si>
    <t>https://paimai.jd.com/297146251</t>
    <phoneticPr fontId="134" type="noConversion"/>
  </si>
  <si>
    <t>北京市怀柔区幸福西街甲18号1幢1至2层</t>
    <phoneticPr fontId="134" type="noConversion"/>
  </si>
  <si>
    <t>北京市怀柔区融城北路10号院46号楼7层720</t>
    <phoneticPr fontId="134" type="noConversion"/>
  </si>
  <si>
    <t>https://paimai.jd.com/284006243</t>
    <phoneticPr fontId="134" type="noConversion"/>
  </si>
  <si>
    <t>北京市怀柔区开放路46号乙楼1至2层25、26、27、29、31号的房屋</t>
    <phoneticPr fontId="134" type="noConversion"/>
  </si>
  <si>
    <t>https://sf-item.taobao.com/sf_item/724780007025.htm?spm=a213w.7398504.paiList.1.27b472df5N2Ziw&amp;track_id=889e3d1f-0d5e-4069-b48e-9206313b8c0c</t>
    <phoneticPr fontId="134" type="noConversion"/>
  </si>
  <si>
    <t>北京市怀柔区北大街1号院3号楼3层03层-03的房屋</t>
    <phoneticPr fontId="134" type="noConversion"/>
  </si>
  <si>
    <t>https://sf-item.taobao.com/sf_item/678308199050.htm?spm=a213w.7398504.paiList.2.27b472df5N2Ziw&amp;track_id=889e3d1f-0d5e-4069-b48e-9206313b8c0c</t>
    <phoneticPr fontId="134" type="noConversion"/>
  </si>
  <si>
    <t>北京市怀柔区幸福西街甲18号2幢1至3层</t>
    <phoneticPr fontId="134" type="noConversion"/>
  </si>
  <si>
    <t>比较法-办公</t>
  </si>
  <si>
    <t>品质</t>
    <phoneticPr fontId="31" type="noConversion"/>
  </si>
  <si>
    <t>较差</t>
    <phoneticPr fontId="31" type="noConversion"/>
  </si>
  <si>
    <t>较好</t>
    <phoneticPr fontId="31" type="noConversion"/>
  </si>
  <si>
    <r>
      <rPr>
        <b/>
        <sz val="12"/>
        <color rgb="FF303133"/>
        <rFont val="宋体"/>
        <family val="3"/>
        <charset val="134"/>
      </rPr>
      <t>北京城建</t>
    </r>
    <r>
      <rPr>
        <b/>
        <sz val="12"/>
        <color rgb="FF303133"/>
        <rFont val="Verdana"/>
        <family val="2"/>
      </rPr>
      <t>·</t>
    </r>
    <r>
      <rPr>
        <b/>
        <sz val="12"/>
        <color rgb="FF303133"/>
        <rFont val="宋体"/>
        <family val="3"/>
        <charset val="134"/>
      </rPr>
      <t>府前龙樾</t>
    </r>
    <phoneticPr fontId="134" type="noConversion"/>
  </si>
  <si>
    <t>翡翠华庭家园</t>
    <phoneticPr fontId="134" type="noConversion"/>
  </si>
  <si>
    <r>
      <rPr>
        <sz val="11"/>
        <rFont val="宋体"/>
        <family val="3"/>
        <charset val="134"/>
      </rPr>
      <t>高速路</t>
    </r>
    <r>
      <rPr>
        <sz val="11"/>
        <rFont val="Arial"/>
        <family val="2"/>
      </rPr>
      <t>-</t>
    </r>
    <r>
      <rPr>
        <sz val="11"/>
        <rFont val="宋体"/>
        <family val="3"/>
        <charset val="134"/>
      </rPr>
      <t>京密高速</t>
    </r>
    <phoneticPr fontId="31" type="noConversion"/>
  </si>
  <si>
    <t>青春路15号</t>
    <phoneticPr fontId="134" type="noConversion"/>
  </si>
  <si>
    <t>怀柔新新家园</t>
    <phoneticPr fontId="134" type="noConversion"/>
  </si>
  <si>
    <t>北京智恒兴业写字楼</t>
    <phoneticPr fontId="134" type="noConversion"/>
  </si>
  <si>
    <t>押一</t>
  </si>
  <si>
    <t>砖混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</si>
</sst>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2"/>
      <color rgb="FF303133"/>
      <name val="Verdana"/>
      <family val="2"/>
    </font>
    <font>
      <sz val="12"/>
      <color theme="1"/>
      <name val="宋体"/>
      <family val="2"/>
      <scheme val="minor"/>
    </font>
    <font>
      <b/>
      <sz val="12"/>
      <color rgb="FF303133"/>
      <name val="宋体"/>
      <family val="3"/>
      <charset val="134"/>
    </font>
    <font>
      <u/>
      <sz val="11"/>
      <color theme="10"/>
      <name val="宋体"/>
      <family val="3"/>
      <charset val="134"/>
      <scheme val="minor"/>
    </font>
    <font>
      <sz val="11"/>
      <color rgb="FFFF0000"/>
      <name val="宋体"/>
      <family val="3"/>
      <charset val="134"/>
      <scheme val="minor"/>
    </font>
    <font>
      <u/>
      <sz val="11"/>
      <color rgb="FFFF0000"/>
      <name val="宋体"/>
      <family val="3"/>
      <charset val="134"/>
      <scheme val="minor"/>
    </font>
    <font>
      <sz val="12"/>
      <name val="宋体"/>
      <family val="2"/>
      <scheme val="minor"/>
    </font>
    <font>
      <sz val="11"/>
      <name val="宋体"/>
      <family val="3"/>
      <charset val="134"/>
      <scheme val="minor"/>
    </font>
    <font>
      <sz val="12"/>
      <name val="宋体"/>
      <family val="3"/>
      <charset val="134"/>
      <scheme val="minor"/>
    </font>
    <font>
      <sz val="12"/>
      <color rgb="FFFF0000"/>
      <name val="宋体"/>
      <family val="2"/>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5"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xf numFmtId="0" fontId="272" fillId="0" borderId="0" applyNumberFormat="0" applyFill="0" applyBorder="0" applyAlignment="0" applyProtection="0">
      <alignment vertical="center"/>
    </xf>
  </cellStyleXfs>
  <cellXfs count="383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12" borderId="0" xfId="0" applyFont="1" applyFill="1" applyAlignment="1" applyProtection="1">
      <alignment vertical="center"/>
      <protection locked="0"/>
    </xf>
    <xf numFmtId="0" fontId="269" fillId="0" borderId="0" xfId="0" applyFont="1">
      <alignment vertical="center"/>
    </xf>
    <xf numFmtId="0" fontId="270" fillId="0" borderId="0" xfId="19" applyNumberFormat="1"/>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271" fillId="0" borderId="0" xfId="0" applyFont="1">
      <alignment vertical="center"/>
    </xf>
    <xf numFmtId="0" fontId="94" fillId="0" borderId="9" xfId="0" applyNumberFormat="1" applyFont="1" applyFill="1" applyBorder="1" applyAlignment="1" applyProtection="1">
      <alignment horizontal="center" vertical="center" wrapText="1"/>
      <protection locked="0"/>
    </xf>
    <xf numFmtId="0" fontId="95" fillId="0" borderId="0" xfId="0" applyFont="1">
      <alignment vertical="center"/>
    </xf>
    <xf numFmtId="0" fontId="95" fillId="0" borderId="0" xfId="0" applyFont="1" applyAlignment="1">
      <alignment vertical="center" wrapText="1"/>
    </xf>
    <xf numFmtId="0" fontId="0" fillId="0" borderId="0" xfId="0" applyAlignment="1">
      <alignment vertical="center" wrapText="1"/>
    </xf>
    <xf numFmtId="14" fontId="0" fillId="0" borderId="0" xfId="0" applyNumberFormat="1" applyAlignment="1">
      <alignment vertical="center" wrapText="1"/>
    </xf>
    <xf numFmtId="0" fontId="272" fillId="0" borderId="0" xfId="20" applyAlignment="1">
      <alignment vertical="center" wrapText="1"/>
    </xf>
    <xf numFmtId="14" fontId="0" fillId="5" borderId="0" xfId="0" applyNumberFormat="1" applyFill="1" applyAlignment="1">
      <alignment vertical="center" wrapText="1"/>
    </xf>
    <xf numFmtId="0" fontId="273" fillId="0" borderId="0" xfId="0" applyFont="1" applyAlignment="1">
      <alignment vertical="center" wrapText="1"/>
    </xf>
    <xf numFmtId="14" fontId="273" fillId="0" borderId="0" xfId="0" applyNumberFormat="1" applyFont="1" applyAlignment="1">
      <alignment vertical="center" wrapText="1"/>
    </xf>
    <xf numFmtId="0" fontId="274" fillId="0" borderId="0" xfId="20" applyFont="1" applyAlignment="1">
      <alignment vertical="center" wrapText="1"/>
    </xf>
    <xf numFmtId="0" fontId="276" fillId="0" borderId="0" xfId="0" applyFont="1">
      <alignment vertical="center"/>
    </xf>
    <xf numFmtId="0" fontId="276" fillId="22" borderId="0" xfId="0" applyFont="1" applyFill="1">
      <alignment vertical="center"/>
    </xf>
    <xf numFmtId="0" fontId="128" fillId="0" borderId="5" xfId="0"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273" fillId="22" borderId="0" xfId="0" applyFont="1" applyFill="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222"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14" fontId="166" fillId="0" borderId="23" xfId="0" applyNumberFormat="1"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70" fillId="0" borderId="0" xfId="19" applyNumberFormat="1"/>
    <xf numFmtId="14" fontId="270" fillId="0" borderId="0" xfId="19" applyNumberFormat="1"/>
    <xf numFmtId="49" fontId="270" fillId="0" borderId="0" xfId="19" applyNumberFormat="1"/>
    <xf numFmtId="0" fontId="275" fillId="0" borderId="0" xfId="19" applyNumberFormat="1" applyFont="1"/>
    <xf numFmtId="14" fontId="277" fillId="5" borderId="0" xfId="19" applyNumberFormat="1" applyFont="1" applyFill="1"/>
    <xf numFmtId="0" fontId="277" fillId="5" borderId="0" xfId="19" applyNumberFormat="1" applyFont="1" applyFill="1"/>
    <xf numFmtId="14" fontId="275" fillId="0" borderId="0" xfId="19" applyNumberFormat="1" applyFont="1"/>
    <xf numFmtId="14" fontId="277" fillId="22" borderId="0" xfId="19" applyNumberFormat="1" applyFont="1" applyFill="1"/>
    <xf numFmtId="0" fontId="277" fillId="22" borderId="0" xfId="19" applyNumberFormat="1" applyFont="1" applyFill="1"/>
    <xf numFmtId="14" fontId="248" fillId="22" borderId="0" xfId="19" applyNumberFormat="1" applyFont="1" applyFill="1"/>
    <xf numFmtId="0" fontId="248" fillId="22" borderId="0" xfId="19" applyNumberFormat="1" applyFont="1" applyFill="1"/>
    <xf numFmtId="0" fontId="270" fillId="5" borderId="0" xfId="19" applyNumberFormat="1" applyFill="1"/>
    <xf numFmtId="14" fontId="270" fillId="5" borderId="0" xfId="19" applyNumberFormat="1" applyFill="1"/>
    <xf numFmtId="14" fontId="278" fillId="22" borderId="0" xfId="19" applyNumberFormat="1" applyFont="1" applyFill="1"/>
    <xf numFmtId="0" fontId="278" fillId="22" borderId="0" xfId="19" applyNumberFormat="1" applyFont="1" applyFill="1"/>
    <xf numFmtId="0" fontId="208" fillId="0" borderId="3" xfId="0" applyFont="1" applyFill="1" applyBorder="1" applyAlignment="1" applyProtection="1">
      <alignment horizontal="center" vertical="center" wrapText="1"/>
      <protection locked="0"/>
    </xf>
    <xf numFmtId="14" fontId="208" fillId="0" borderId="23" xfId="0" applyNumberFormat="1"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1">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20" builtinId="8"/>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png"/><Relationship Id="rId3" Type="http://schemas.openxmlformats.org/officeDocument/2006/relationships/image" Target="../media/image14.png"/><Relationship Id="rId7" Type="http://schemas.openxmlformats.org/officeDocument/2006/relationships/image" Target="../media/image18.png"/><Relationship Id="rId12" Type="http://schemas.openxmlformats.org/officeDocument/2006/relationships/image" Target="../media/image23.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5" Type="http://schemas.openxmlformats.org/officeDocument/2006/relationships/image" Target="../media/image16.pn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png"/><Relationship Id="rId14"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170743</xdr:colOff>
      <xdr:row>20</xdr:row>
      <xdr:rowOff>104333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657143" cy="35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676275</xdr:colOff>
      <xdr:row>0</xdr:row>
      <xdr:rowOff>0</xdr:rowOff>
    </xdr:from>
    <xdr:to>
      <xdr:col>24</xdr:col>
      <xdr:colOff>665551</xdr:colOff>
      <xdr:row>29</xdr:row>
      <xdr:rowOff>75536</xdr:rowOff>
    </xdr:to>
    <xdr:pic>
      <xdr:nvPicPr>
        <xdr:cNvPr id="4" name="图片 3"/>
        <xdr:cNvPicPr>
          <a:picLocks noChangeAspect="1"/>
        </xdr:cNvPicPr>
      </xdr:nvPicPr>
      <xdr:blipFill>
        <a:blip xmlns:r="http://schemas.openxmlformats.org/officeDocument/2006/relationships" r:embed="rId1"/>
        <a:stretch>
          <a:fillRect/>
        </a:stretch>
      </xdr:blipFill>
      <xdr:spPr>
        <a:xfrm>
          <a:off x="10010775" y="0"/>
          <a:ext cx="9590476" cy="5314286"/>
        </a:xfrm>
        <a:prstGeom prst="rect">
          <a:avLst/>
        </a:prstGeom>
      </xdr:spPr>
    </xdr:pic>
    <xdr:clientData/>
  </xdr:twoCellAnchor>
  <xdr:twoCellAnchor editAs="oneCell">
    <xdr:from>
      <xdr:col>3</xdr:col>
      <xdr:colOff>552450</xdr:colOff>
      <xdr:row>28</xdr:row>
      <xdr:rowOff>104775</xdr:rowOff>
    </xdr:from>
    <xdr:to>
      <xdr:col>15</xdr:col>
      <xdr:colOff>94061</xdr:colOff>
      <xdr:row>59</xdr:row>
      <xdr:rowOff>104102</xdr:rowOff>
    </xdr:to>
    <xdr:pic>
      <xdr:nvPicPr>
        <xdr:cNvPr id="5" name="图片 4"/>
        <xdr:cNvPicPr>
          <a:picLocks noChangeAspect="1"/>
        </xdr:cNvPicPr>
      </xdr:nvPicPr>
      <xdr:blipFill>
        <a:blip xmlns:r="http://schemas.openxmlformats.org/officeDocument/2006/relationships" r:embed="rId2"/>
        <a:stretch>
          <a:fillRect/>
        </a:stretch>
      </xdr:blipFill>
      <xdr:spPr>
        <a:xfrm>
          <a:off x="3343275" y="5162550"/>
          <a:ext cx="9514286" cy="5380952"/>
        </a:xfrm>
        <a:prstGeom prst="rect">
          <a:avLst/>
        </a:prstGeom>
      </xdr:spPr>
    </xdr:pic>
    <xdr:clientData/>
  </xdr:twoCellAnchor>
  <xdr:twoCellAnchor editAs="oneCell">
    <xdr:from>
      <xdr:col>0</xdr:col>
      <xdr:colOff>0</xdr:colOff>
      <xdr:row>36</xdr:row>
      <xdr:rowOff>133350</xdr:rowOff>
    </xdr:from>
    <xdr:to>
      <xdr:col>6</xdr:col>
      <xdr:colOff>1151680</xdr:colOff>
      <xdr:row>62</xdr:row>
      <xdr:rowOff>113745</xdr:rowOff>
    </xdr:to>
    <xdr:pic>
      <xdr:nvPicPr>
        <xdr:cNvPr id="6" name="图片 5"/>
        <xdr:cNvPicPr>
          <a:picLocks noChangeAspect="1"/>
        </xdr:cNvPicPr>
      </xdr:nvPicPr>
      <xdr:blipFill>
        <a:blip xmlns:r="http://schemas.openxmlformats.org/officeDocument/2006/relationships" r:embed="rId3"/>
        <a:stretch>
          <a:fillRect/>
        </a:stretch>
      </xdr:blipFill>
      <xdr:spPr>
        <a:xfrm>
          <a:off x="0" y="6629400"/>
          <a:ext cx="6761905" cy="4438095"/>
        </a:xfrm>
        <a:prstGeom prst="rect">
          <a:avLst/>
        </a:prstGeom>
      </xdr:spPr>
    </xdr:pic>
    <xdr:clientData/>
  </xdr:twoCellAnchor>
  <xdr:twoCellAnchor editAs="oneCell">
    <xdr:from>
      <xdr:col>0</xdr:col>
      <xdr:colOff>76200</xdr:colOff>
      <xdr:row>37</xdr:row>
      <xdr:rowOff>47625</xdr:rowOff>
    </xdr:from>
    <xdr:to>
      <xdr:col>6</xdr:col>
      <xdr:colOff>799308</xdr:colOff>
      <xdr:row>61</xdr:row>
      <xdr:rowOff>170920</xdr:rowOff>
    </xdr:to>
    <xdr:pic>
      <xdr:nvPicPr>
        <xdr:cNvPr id="2" name="图片 1"/>
        <xdr:cNvPicPr>
          <a:picLocks noChangeAspect="1"/>
        </xdr:cNvPicPr>
      </xdr:nvPicPr>
      <xdr:blipFill>
        <a:blip xmlns:r="http://schemas.openxmlformats.org/officeDocument/2006/relationships" r:embed="rId4"/>
        <a:stretch>
          <a:fillRect/>
        </a:stretch>
      </xdr:blipFill>
      <xdr:spPr>
        <a:xfrm>
          <a:off x="76200" y="6715125"/>
          <a:ext cx="6333333" cy="4238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322952</xdr:colOff>
      <xdr:row>32</xdr:row>
      <xdr:rowOff>46933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180952" cy="5533333"/>
        </a:xfrm>
        <a:prstGeom prst="rect">
          <a:avLst/>
        </a:prstGeom>
      </xdr:spPr>
    </xdr:pic>
    <xdr:clientData/>
  </xdr:twoCellAnchor>
  <xdr:twoCellAnchor editAs="oneCell">
    <xdr:from>
      <xdr:col>10</xdr:col>
      <xdr:colOff>352425</xdr:colOff>
      <xdr:row>0</xdr:row>
      <xdr:rowOff>0</xdr:rowOff>
    </xdr:from>
    <xdr:to>
      <xdr:col>20</xdr:col>
      <xdr:colOff>456330</xdr:colOff>
      <xdr:row>31</xdr:row>
      <xdr:rowOff>46955</xdr:rowOff>
    </xdr:to>
    <xdr:pic>
      <xdr:nvPicPr>
        <xdr:cNvPr id="3" name="图片 2"/>
        <xdr:cNvPicPr>
          <a:picLocks noChangeAspect="1"/>
        </xdr:cNvPicPr>
      </xdr:nvPicPr>
      <xdr:blipFill>
        <a:blip xmlns:r="http://schemas.openxmlformats.org/officeDocument/2006/relationships" r:embed="rId2"/>
        <a:stretch>
          <a:fillRect/>
        </a:stretch>
      </xdr:blipFill>
      <xdr:spPr>
        <a:xfrm>
          <a:off x="7210425" y="0"/>
          <a:ext cx="6961905" cy="53619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189362</xdr:colOff>
      <xdr:row>37</xdr:row>
      <xdr:rowOff>56350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04762" cy="6400000"/>
        </a:xfrm>
        <a:prstGeom prst="rect">
          <a:avLst/>
        </a:prstGeom>
      </xdr:spPr>
    </xdr:pic>
    <xdr:clientData/>
  </xdr:twoCellAnchor>
  <xdr:twoCellAnchor editAs="oneCell">
    <xdr:from>
      <xdr:col>9</xdr:col>
      <xdr:colOff>209550</xdr:colOff>
      <xdr:row>0</xdr:row>
      <xdr:rowOff>0</xdr:rowOff>
    </xdr:from>
    <xdr:to>
      <xdr:col>18</xdr:col>
      <xdr:colOff>275420</xdr:colOff>
      <xdr:row>16</xdr:row>
      <xdr:rowOff>161562</xdr:rowOff>
    </xdr:to>
    <xdr:pic>
      <xdr:nvPicPr>
        <xdr:cNvPr id="3" name="图片 2"/>
        <xdr:cNvPicPr>
          <a:picLocks noChangeAspect="1"/>
        </xdr:cNvPicPr>
      </xdr:nvPicPr>
      <xdr:blipFill>
        <a:blip xmlns:r="http://schemas.openxmlformats.org/officeDocument/2006/relationships" r:embed="rId2"/>
        <a:stretch>
          <a:fillRect/>
        </a:stretch>
      </xdr:blipFill>
      <xdr:spPr>
        <a:xfrm>
          <a:off x="6381750" y="0"/>
          <a:ext cx="6438095" cy="29047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31751</xdr:rowOff>
    </xdr:from>
    <xdr:to>
      <xdr:col>7</xdr:col>
      <xdr:colOff>569014</xdr:colOff>
      <xdr:row>15</xdr:row>
      <xdr:rowOff>150814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1751"/>
          <a:ext cx="5347389" cy="2738438"/>
        </a:xfrm>
        <a:prstGeom prst="rect">
          <a:avLst/>
        </a:prstGeom>
      </xdr:spPr>
    </xdr:pic>
    <xdr:clientData/>
  </xdr:twoCellAnchor>
  <xdr:twoCellAnchor editAs="oneCell">
    <xdr:from>
      <xdr:col>0</xdr:col>
      <xdr:colOff>0</xdr:colOff>
      <xdr:row>17</xdr:row>
      <xdr:rowOff>142024</xdr:rowOff>
    </xdr:from>
    <xdr:to>
      <xdr:col>9</xdr:col>
      <xdr:colOff>293687</xdr:colOff>
      <xdr:row>24</xdr:row>
      <xdr:rowOff>95046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056674"/>
          <a:ext cx="6743700" cy="1153172"/>
        </a:xfrm>
        <a:prstGeom prst="rect">
          <a:avLst/>
        </a:prstGeom>
      </xdr:spPr>
    </xdr:pic>
    <xdr:clientData/>
  </xdr:twoCellAnchor>
  <xdr:twoCellAnchor editAs="oneCell">
    <xdr:from>
      <xdr:col>0</xdr:col>
      <xdr:colOff>0</xdr:colOff>
      <xdr:row>25</xdr:row>
      <xdr:rowOff>0</xdr:rowOff>
    </xdr:from>
    <xdr:to>
      <xdr:col>9</xdr:col>
      <xdr:colOff>341312</xdr:colOff>
      <xdr:row>38</xdr:row>
      <xdr:rowOff>48521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286250"/>
          <a:ext cx="6791325" cy="2277371"/>
        </a:xfrm>
        <a:prstGeom prst="rect">
          <a:avLst/>
        </a:prstGeom>
      </xdr:spPr>
    </xdr:pic>
    <xdr:clientData/>
  </xdr:twoCellAnchor>
  <xdr:twoCellAnchor editAs="oneCell">
    <xdr:from>
      <xdr:col>0</xdr:col>
      <xdr:colOff>0</xdr:colOff>
      <xdr:row>44</xdr:row>
      <xdr:rowOff>0</xdr:rowOff>
    </xdr:from>
    <xdr:to>
      <xdr:col>9</xdr:col>
      <xdr:colOff>380422</xdr:colOff>
      <xdr:row>57</xdr:row>
      <xdr:rowOff>9525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543800"/>
          <a:ext cx="6830435" cy="2238375"/>
        </a:xfrm>
        <a:prstGeom prst="rect">
          <a:avLst/>
        </a:prstGeom>
      </xdr:spPr>
    </xdr:pic>
    <xdr:clientData/>
  </xdr:twoCellAnchor>
  <xdr:twoCellAnchor editAs="oneCell">
    <xdr:from>
      <xdr:col>0</xdr:col>
      <xdr:colOff>0</xdr:colOff>
      <xdr:row>60</xdr:row>
      <xdr:rowOff>77788</xdr:rowOff>
    </xdr:from>
    <xdr:to>
      <xdr:col>9</xdr:col>
      <xdr:colOff>401157</xdr:colOff>
      <xdr:row>80</xdr:row>
      <xdr:rowOff>77788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555288"/>
          <a:ext cx="6822595" cy="3492500"/>
        </a:xfrm>
        <a:prstGeom prst="rect">
          <a:avLst/>
        </a:prstGeom>
      </xdr:spPr>
    </xdr:pic>
    <xdr:clientData/>
  </xdr:twoCellAnchor>
  <xdr:twoCellAnchor editAs="oneCell">
    <xdr:from>
      <xdr:col>0</xdr:col>
      <xdr:colOff>0</xdr:colOff>
      <xdr:row>79</xdr:row>
      <xdr:rowOff>158750</xdr:rowOff>
    </xdr:from>
    <xdr:to>
      <xdr:col>13</xdr:col>
      <xdr:colOff>536945</xdr:colOff>
      <xdr:row>89</xdr:row>
      <xdr:rowOff>50599</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3954125"/>
          <a:ext cx="9688883" cy="1638099"/>
        </a:xfrm>
        <a:prstGeom prst="rect">
          <a:avLst/>
        </a:prstGeom>
      </xdr:spPr>
    </xdr:pic>
    <xdr:clientData/>
  </xdr:twoCellAnchor>
  <xdr:twoCellAnchor editAs="oneCell">
    <xdr:from>
      <xdr:col>0</xdr:col>
      <xdr:colOff>0</xdr:colOff>
      <xdr:row>88</xdr:row>
      <xdr:rowOff>0</xdr:rowOff>
    </xdr:from>
    <xdr:to>
      <xdr:col>13</xdr:col>
      <xdr:colOff>397263</xdr:colOff>
      <xdr:row>106</xdr:row>
      <xdr:rowOff>113900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5087600"/>
          <a:ext cx="9590476" cy="3200000"/>
        </a:xfrm>
        <a:prstGeom prst="rect">
          <a:avLst/>
        </a:prstGeom>
      </xdr:spPr>
    </xdr:pic>
    <xdr:clientData/>
  </xdr:twoCellAnchor>
  <xdr:twoCellAnchor editAs="oneCell">
    <xdr:from>
      <xdr:col>0</xdr:col>
      <xdr:colOff>0</xdr:colOff>
      <xdr:row>107</xdr:row>
      <xdr:rowOff>0</xdr:rowOff>
    </xdr:from>
    <xdr:to>
      <xdr:col>13</xdr:col>
      <xdr:colOff>340120</xdr:colOff>
      <xdr:row>115</xdr:row>
      <xdr:rowOff>123638</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8345150"/>
          <a:ext cx="9533333" cy="1495238"/>
        </a:xfrm>
        <a:prstGeom prst="rect">
          <a:avLst/>
        </a:prstGeom>
      </xdr:spPr>
    </xdr:pic>
    <xdr:clientData/>
  </xdr:twoCellAnchor>
  <xdr:twoCellAnchor editAs="oneCell">
    <xdr:from>
      <xdr:col>0</xdr:col>
      <xdr:colOff>0</xdr:colOff>
      <xdr:row>116</xdr:row>
      <xdr:rowOff>0</xdr:rowOff>
    </xdr:from>
    <xdr:to>
      <xdr:col>13</xdr:col>
      <xdr:colOff>584564</xdr:colOff>
      <xdr:row>124</xdr:row>
      <xdr:rowOff>133162</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19888200"/>
          <a:ext cx="9780952" cy="1504762"/>
        </a:xfrm>
        <a:prstGeom prst="rect">
          <a:avLst/>
        </a:prstGeom>
      </xdr:spPr>
    </xdr:pic>
    <xdr:clientData/>
  </xdr:twoCellAnchor>
  <xdr:twoCellAnchor editAs="oneCell">
    <xdr:from>
      <xdr:col>0</xdr:col>
      <xdr:colOff>0</xdr:colOff>
      <xdr:row>126</xdr:row>
      <xdr:rowOff>0</xdr:rowOff>
    </xdr:from>
    <xdr:to>
      <xdr:col>13</xdr:col>
      <xdr:colOff>479802</xdr:colOff>
      <xdr:row>135</xdr:row>
      <xdr:rowOff>142664</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21602700"/>
          <a:ext cx="9676190" cy="1685714"/>
        </a:xfrm>
        <a:prstGeom prst="rect">
          <a:avLst/>
        </a:prstGeom>
      </xdr:spPr>
    </xdr:pic>
    <xdr:clientData/>
  </xdr:twoCellAnchor>
  <xdr:twoCellAnchor editAs="oneCell">
    <xdr:from>
      <xdr:col>0</xdr:col>
      <xdr:colOff>0</xdr:colOff>
      <xdr:row>137</xdr:row>
      <xdr:rowOff>0</xdr:rowOff>
    </xdr:from>
    <xdr:to>
      <xdr:col>13</xdr:col>
      <xdr:colOff>514729</xdr:colOff>
      <xdr:row>155</xdr:row>
      <xdr:rowOff>171036</xdr:rowOff>
    </xdr:to>
    <xdr:pic>
      <xdr:nvPicPr>
        <xdr:cNvPr id="13" name="图片 12"/>
        <xdr:cNvPicPr>
          <a:picLocks noChangeAspect="1"/>
        </xdr:cNvPicPr>
      </xdr:nvPicPr>
      <xdr:blipFill>
        <a:blip xmlns:r="http://schemas.openxmlformats.org/officeDocument/2006/relationships" r:embed="rId11"/>
        <a:stretch>
          <a:fillRect/>
        </a:stretch>
      </xdr:blipFill>
      <xdr:spPr>
        <a:xfrm>
          <a:off x="0" y="23923625"/>
          <a:ext cx="9666667" cy="3314286"/>
        </a:xfrm>
        <a:prstGeom prst="rect">
          <a:avLst/>
        </a:prstGeom>
      </xdr:spPr>
    </xdr:pic>
    <xdr:clientData/>
  </xdr:twoCellAnchor>
  <xdr:twoCellAnchor editAs="oneCell">
    <xdr:from>
      <xdr:col>0</xdr:col>
      <xdr:colOff>0</xdr:colOff>
      <xdr:row>155</xdr:row>
      <xdr:rowOff>158750</xdr:rowOff>
    </xdr:from>
    <xdr:to>
      <xdr:col>13</xdr:col>
      <xdr:colOff>409967</xdr:colOff>
      <xdr:row>165</xdr:row>
      <xdr:rowOff>88690</xdr:rowOff>
    </xdr:to>
    <xdr:pic>
      <xdr:nvPicPr>
        <xdr:cNvPr id="14" name="图片 13"/>
        <xdr:cNvPicPr>
          <a:picLocks noChangeAspect="1"/>
        </xdr:cNvPicPr>
      </xdr:nvPicPr>
      <xdr:blipFill>
        <a:blip xmlns:r="http://schemas.openxmlformats.org/officeDocument/2006/relationships" r:embed="rId12"/>
        <a:stretch>
          <a:fillRect/>
        </a:stretch>
      </xdr:blipFill>
      <xdr:spPr>
        <a:xfrm>
          <a:off x="0" y="27225625"/>
          <a:ext cx="9561905" cy="1676190"/>
        </a:xfrm>
        <a:prstGeom prst="rect">
          <a:avLst/>
        </a:prstGeom>
      </xdr:spPr>
    </xdr:pic>
    <xdr:clientData/>
  </xdr:twoCellAnchor>
  <xdr:twoCellAnchor editAs="oneCell">
    <xdr:from>
      <xdr:col>0</xdr:col>
      <xdr:colOff>0</xdr:colOff>
      <xdr:row>165</xdr:row>
      <xdr:rowOff>142876</xdr:rowOff>
    </xdr:from>
    <xdr:to>
      <xdr:col>13</xdr:col>
      <xdr:colOff>419490</xdr:colOff>
      <xdr:row>183</xdr:row>
      <xdr:rowOff>28197</xdr:rowOff>
    </xdr:to>
    <xdr:pic>
      <xdr:nvPicPr>
        <xdr:cNvPr id="15" name="图片 14"/>
        <xdr:cNvPicPr>
          <a:picLocks noChangeAspect="1"/>
        </xdr:cNvPicPr>
      </xdr:nvPicPr>
      <xdr:blipFill>
        <a:blip xmlns:r="http://schemas.openxmlformats.org/officeDocument/2006/relationships" r:embed="rId13"/>
        <a:stretch>
          <a:fillRect/>
        </a:stretch>
      </xdr:blipFill>
      <xdr:spPr>
        <a:xfrm>
          <a:off x="0" y="28956001"/>
          <a:ext cx="9571428" cy="3028571"/>
        </a:xfrm>
        <a:prstGeom prst="rect">
          <a:avLst/>
        </a:prstGeom>
      </xdr:spPr>
    </xdr:pic>
    <xdr:clientData/>
  </xdr:twoCellAnchor>
  <xdr:twoCellAnchor editAs="oneCell">
    <xdr:from>
      <xdr:col>9</xdr:col>
      <xdr:colOff>285750</xdr:colOff>
      <xdr:row>0</xdr:row>
      <xdr:rowOff>0</xdr:rowOff>
    </xdr:from>
    <xdr:to>
      <xdr:col>18</xdr:col>
      <xdr:colOff>551649</xdr:colOff>
      <xdr:row>23</xdr:row>
      <xdr:rowOff>2673</xdr:rowOff>
    </xdr:to>
    <xdr:pic>
      <xdr:nvPicPr>
        <xdr:cNvPr id="16" name="图片 15"/>
        <xdr:cNvPicPr>
          <a:picLocks noChangeAspect="1"/>
        </xdr:cNvPicPr>
      </xdr:nvPicPr>
      <xdr:blipFill>
        <a:blip xmlns:r="http://schemas.openxmlformats.org/officeDocument/2006/relationships" r:embed="rId14"/>
        <a:stretch>
          <a:fillRect/>
        </a:stretch>
      </xdr:blipFill>
      <xdr:spPr>
        <a:xfrm>
          <a:off x="6707188" y="0"/>
          <a:ext cx="6409524" cy="40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7.xml.rels><?xml version="1.0" encoding="UTF-8" standalone="yes"?>
<Relationships xmlns="http://schemas.openxmlformats.org/package/2006/relationships"><Relationship Id="rId8" Type="http://schemas.openxmlformats.org/officeDocument/2006/relationships/hyperlink" Target="https://sf-item.taobao.com/sf_item/678308199050.htm?spm=a213w.7398504.paiList.2.27b472df5N2Ziw&amp;track_id=889e3d1f-0d5e-4069-b48e-9206313b8c0c" TargetMode="External"/><Relationship Id="rId3" Type="http://schemas.openxmlformats.org/officeDocument/2006/relationships/hyperlink" Target="https://paimai.jd.com/278863386" TargetMode="External"/><Relationship Id="rId7" Type="http://schemas.openxmlformats.org/officeDocument/2006/relationships/hyperlink" Target="https://sf-item.taobao.com/sf_item/724780007025.htm?spm=a213w.7398504.paiList.1.27b472df5N2Ziw&amp;track_id=889e3d1f-0d5e-4069-b48e-9206313b8c0c" TargetMode="External"/><Relationship Id="rId2" Type="http://schemas.openxmlformats.org/officeDocument/2006/relationships/hyperlink" Target="https://paimai.jd.com/285045779" TargetMode="External"/><Relationship Id="rId1" Type="http://schemas.openxmlformats.org/officeDocument/2006/relationships/hyperlink" Target="https://paimai.jd.com/300985081" TargetMode="External"/><Relationship Id="rId6" Type="http://schemas.openxmlformats.org/officeDocument/2006/relationships/hyperlink" Target="https://paimai.jd.com/284006243" TargetMode="External"/><Relationship Id="rId5" Type="http://schemas.openxmlformats.org/officeDocument/2006/relationships/hyperlink" Target="https://paimai.jd.com/297146251" TargetMode="External"/><Relationship Id="rId4" Type="http://schemas.openxmlformats.org/officeDocument/2006/relationships/hyperlink" Target="https://paimai.jd.com/115128635" TargetMode="Externa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估价对象为北京市房地产，为所有。根据0，估价对象（分摊）出让国有建设用地使用权面积为33.02平方米，建筑面积为66.03平方米。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估价对象为北京市房地产,属开发建设的，该项目尚在开发建设中。根据0，估价对象（分摊）出让国有建设用地使用权面积为33.02平方米，规划建筑面积为66.03平方米。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2023年12月15日（评估专业人员实地查勘之日）</v>
      </c>
    </row>
    <row r="13" spans="1:2" s="1203" customFormat="1">
      <c r="A13" s="1201" t="s">
        <v>529</v>
      </c>
      <c r="B13" s="1202" t="str">
        <f>'预评函-1'!A18</f>
        <v>本次估价的“房地产价值”是指在正常市场情况下，在价值时点2023年12月15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66.03</v>
      </c>
    </row>
    <row r="44" spans="1:2" s="1203" customFormat="1">
      <c r="A44" s="1201" t="s">
        <v>575</v>
      </c>
      <c r="B44" s="1202" t="str">
        <f>'预评函-3'!C2</f>
        <v>(分摊)土地面积</v>
      </c>
    </row>
    <row r="45" spans="1:2" s="1203" customFormat="1">
      <c r="A45" s="1201" t="s">
        <v>547</v>
      </c>
      <c r="B45" s="1202">
        <f>'预评函-3'!C4</f>
        <v>33.020000000000003</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2579</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2580</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2292</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1"/>
      <c r="B54" s="1554" t="s">
        <v>385</v>
      </c>
      <c r="C54" s="1551" t="s">
        <v>583</v>
      </c>
    </row>
    <row r="55" spans="1:4">
      <c r="A55" s="3521"/>
      <c r="B55" s="1554" t="s">
        <v>386</v>
      </c>
      <c r="C55" s="1551" t="s">
        <v>584</v>
      </c>
    </row>
    <row r="56" spans="1:4">
      <c r="A56" s="3521"/>
      <c r="B56" s="1554" t="s">
        <v>387</v>
      </c>
      <c r="C56" s="1551" t="s">
        <v>588</v>
      </c>
    </row>
    <row r="57" spans="1:4">
      <c r="A57" s="352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522" t="s">
        <v>2582</v>
      </c>
      <c r="J2" s="3522"/>
      <c r="K2" s="3522"/>
      <c r="L2" s="3522"/>
      <c r="M2" s="3522"/>
      <c r="N2" s="3522"/>
      <c r="O2" s="3522"/>
      <c r="P2" s="3522"/>
      <c r="Q2" s="3522"/>
      <c r="R2" s="3522"/>
    </row>
    <row r="3" spans="1:18">
      <c r="A3" s="3020" t="s">
        <v>2503</v>
      </c>
      <c r="B3" s="3021">
        <f>项目基本情况!D3</f>
        <v>45275</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3.01</v>
      </c>
      <c r="D5" s="3025">
        <f>IF(ISERROR(ROUND(POWER(1+E5,A5-C5)*(POWER(1+E5,C5)-1)/(POWER(1+E5,A5)-1),3)),0,ROUND(POWER(1+E5,A5-C5)*(POWER(1+E5,C5)-1)/(POWER(1+E5,A5)-1),4))</f>
        <v>0.1406</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13.02</v>
      </c>
      <c r="D6" s="3025">
        <f>IF(ISERROR(ROUND(POWER(1+E6,A6-C6)*(POWER(1+E6,C6)-1)/(POWER(1+E6,A6)-1),3)),0,ROUND(POWER(1+E6,A6-C6)*(POWER(1+E6,C6)-1)/(POWER(1+E6,A6)-1),4))</f>
        <v>0.46539999999999998</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33.03</v>
      </c>
      <c r="D7" s="3025">
        <f>IF(ISERROR(ROUND(POWER(1+E7,A7-C7)*(POWER(1+E7,C7)-1)/(POWER(1+E7,A7)-1),3)),0,ROUND(POWER(1+E7,A7-C7)*(POWER(1+E7,C7)-1)/(POWER(1+E7,A7)-1),4))</f>
        <v>0.77610000000000001</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4.25" thickBot="1">
      <c r="A18" s="3031" t="s">
        <v>2518</v>
      </c>
      <c r="B18" s="3032">
        <f>ROUND(B17*F11/F12,2)</f>
        <v>5541.87</v>
      </c>
      <c r="C18" s="3032">
        <f>ROUND(F11/F12,4)</f>
        <v>1.1521999999999999</v>
      </c>
      <c r="D18" s="3033"/>
      <c r="E18" s="3033"/>
      <c r="F18" s="3034"/>
    </row>
    <row r="19" spans="1:13" ht="14.25" thickBot="1"/>
    <row r="20" spans="1:13" s="3069" customFormat="1" ht="14.2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4.2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Normal="100" zoomScaleSheetLayoutView="100" workbookViewId="0">
      <selection activeCell="G14" sqref="G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31" t="str">
        <f>IF(B10="北京市","北京市",C10)&amp;F10&amp;IF(结果表!G1="在建","出让国有建设用地使用权及在建建筑物",IF(结果表!G1="土地","出让国有建设用地使用权",))&amp;B9&amp;"预评估"</f>
        <v>北京市房地产市场价值预评估</v>
      </c>
      <c r="C1" s="3532"/>
      <c r="D1" s="3532"/>
      <c r="E1" s="3532"/>
      <c r="F1" s="3532"/>
      <c r="G1" s="3532"/>
      <c r="H1" s="3532"/>
      <c r="I1" s="353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45275</v>
      </c>
      <c r="C3" s="2374" t="s">
        <v>2171</v>
      </c>
      <c r="D3" s="2373">
        <f>B3</f>
        <v>45275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3380</v>
      </c>
      <c r="C8" s="2390"/>
      <c r="D8" s="3534" t="s">
        <v>2177</v>
      </c>
      <c r="E8" s="2391"/>
      <c r="F8" s="2392"/>
      <c r="G8" s="2663"/>
      <c r="H8" s="2663"/>
      <c r="I8" s="2663"/>
      <c r="J8" s="2439"/>
      <c r="K8" s="2614"/>
      <c r="L8" s="2613"/>
      <c r="M8" s="2613"/>
      <c r="N8" s="2439"/>
      <c r="O8" s="2450"/>
      <c r="P8" s="2439"/>
      <c r="Q8" s="2439"/>
      <c r="R8" s="2439"/>
    </row>
    <row r="9" spans="1:30" ht="13.5" thickBot="1">
      <c r="A9" s="2393" t="s">
        <v>2178</v>
      </c>
      <c r="B9" s="2394" t="s">
        <v>3381</v>
      </c>
      <c r="C9" s="2395"/>
      <c r="D9" s="3535"/>
      <c r="E9" s="2394"/>
      <c r="F9" s="2396"/>
      <c r="G9" s="2665"/>
      <c r="H9" s="2665"/>
      <c r="I9" s="2665"/>
      <c r="J9" s="2439"/>
      <c r="K9" s="2616"/>
      <c r="L9" s="2613"/>
      <c r="M9" s="2613"/>
      <c r="N9" s="2439"/>
      <c r="O9" s="2450"/>
      <c r="P9" s="2439"/>
      <c r="Q9" s="2439"/>
      <c r="R9" s="2439"/>
    </row>
    <row r="10" spans="1:30" ht="13.5" thickTop="1">
      <c r="A10" s="2397" t="s">
        <v>2179</v>
      </c>
      <c r="B10" s="2398" t="s">
        <v>3382</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3383</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2578</v>
      </c>
      <c r="J12" s="3062"/>
      <c r="K12" s="2613"/>
      <c r="L12" s="2613"/>
      <c r="M12" s="2439"/>
      <c r="N12" s="2450"/>
      <c r="O12" s="2439"/>
      <c r="P12" s="2439"/>
      <c r="Q12" s="2439"/>
      <c r="AD12" s="1745"/>
    </row>
    <row r="13" spans="1:30">
      <c r="A13" s="3423" t="s">
        <v>3333</v>
      </c>
      <c r="B13" s="2407" t="s">
        <v>2190</v>
      </c>
      <c r="C13" s="856"/>
      <c r="D13" s="856"/>
      <c r="E13" s="856">
        <v>50605</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14.6</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41"/>
      <c r="C16" s="3542"/>
      <c r="D16" s="3543"/>
      <c r="E16" s="2413" t="s">
        <v>2194</v>
      </c>
      <c r="F16" s="3544"/>
      <c r="G16" s="3545"/>
      <c r="H16" s="3545"/>
      <c r="I16" s="3546"/>
      <c r="J16" s="2439"/>
      <c r="K16" s="2617"/>
      <c r="L16" s="2451"/>
      <c r="M16" s="2451"/>
      <c r="N16" s="2509"/>
      <c r="O16" s="2451"/>
      <c r="P16" s="2509"/>
      <c r="Q16" s="2439"/>
      <c r="R16" s="2439"/>
    </row>
    <row r="17" spans="1:28">
      <c r="A17" s="313" t="s">
        <v>2195</v>
      </c>
      <c r="B17" s="302" t="s">
        <v>2196</v>
      </c>
      <c r="C17" s="8">
        <f>'数据-汇总表'!E3</f>
        <v>66.03</v>
      </c>
      <c r="D17" s="2322" t="s">
        <v>2197</v>
      </c>
      <c r="E17" s="3547" t="s">
        <v>2198</v>
      </c>
      <c r="F17" s="3548"/>
      <c r="G17" s="3548"/>
      <c r="H17" s="3548"/>
      <c r="I17" s="3549"/>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33.020000000000003</v>
      </c>
      <c r="D18" s="1092" t="s">
        <v>2201</v>
      </c>
      <c r="E18" s="3550" t="s">
        <v>3379</v>
      </c>
      <c r="F18" s="3551"/>
      <c r="G18" s="3551"/>
      <c r="H18" s="3551"/>
      <c r="I18" s="3552"/>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37" t="s">
        <v>2205</v>
      </c>
      <c r="C20" s="3538"/>
      <c r="D20" s="3539" t="s">
        <v>2206</v>
      </c>
      <c r="E20" s="3540"/>
      <c r="F20" s="2647" t="s">
        <v>1056</v>
      </c>
      <c r="G20" s="2664"/>
      <c r="H20" s="2664"/>
      <c r="I20" s="2664"/>
      <c r="J20" s="2439"/>
      <c r="K20" s="3536"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3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3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4"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4"/>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4"/>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5"/>
      <c r="B30" s="302" t="s">
        <v>2217</v>
      </c>
      <c r="C30" s="3526"/>
      <c r="D30" s="3527"/>
      <c r="E30" s="2664"/>
      <c r="F30" s="2664"/>
      <c r="G30" s="2664"/>
      <c r="H30" s="2664"/>
      <c r="I30" s="2664"/>
      <c r="J30" s="2439"/>
      <c r="K30" s="2616"/>
      <c r="L30" s="2613"/>
      <c r="M30" s="2613"/>
      <c r="N30" s="2439"/>
      <c r="O30" s="2450"/>
      <c r="P30" s="2439"/>
      <c r="Q30" s="2439"/>
      <c r="R30" s="2439"/>
      <c r="S30" s="2439"/>
      <c r="T30" s="2439"/>
      <c r="U30" s="2439"/>
      <c r="V30" s="2439"/>
    </row>
    <row r="31" spans="1:28">
      <c r="A31" s="3528"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23" t="s">
        <v>2227</v>
      </c>
      <c r="T34" s="2428" t="str">
        <f>NUMBERSTRING(7-K34,1)&amp;"通"</f>
        <v>七通</v>
      </c>
      <c r="U34" s="2439"/>
      <c r="V34" s="2439"/>
    </row>
    <row r="35" spans="1:30">
      <c r="A35" s="2429"/>
      <c r="B35" s="3530" t="s">
        <v>2228</v>
      </c>
      <c r="C35" s="3530"/>
      <c r="D35" s="3530"/>
      <c r="E35" s="353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2581</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t="s">
        <v>305</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c r="C38" s="2432" t="s">
        <v>3388</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0" sqref="C1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f>B3/2</f>
        <v>33.015000000000001</v>
      </c>
      <c r="B3" s="11">
        <f>IF(C3="否",G5-AT5,G5)</f>
        <v>66.03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66.03</v>
      </c>
      <c r="H5" s="13">
        <f t="shared" ref="H5:AT5" si="0">SUM(H13:H656)</f>
        <v>66.03</v>
      </c>
      <c r="I5" s="13">
        <f t="shared" si="0"/>
        <v>66.03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66.03</v>
      </c>
      <c r="BA5" s="15">
        <f t="shared" si="1"/>
        <v>66.03</v>
      </c>
      <c r="BB5" s="15">
        <f t="shared" si="1"/>
        <v>66.03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33.020000000000003</v>
      </c>
      <c r="F6" s="13" t="s">
        <v>0</v>
      </c>
      <c r="G6" s="13" t="s">
        <v>1</v>
      </c>
      <c r="H6" s="17">
        <f>SUMIF(I$12:AB$12,"总值",I6:AB6)</f>
        <v>33.020000000000003</v>
      </c>
      <c r="I6" s="13">
        <f t="shared" ref="I6:AB6" si="2">ROUND($A$3*I5/$B$3,2)</f>
        <v>33.020000000000003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33.020000000000003</v>
      </c>
      <c r="AZ6" s="13" t="s">
        <v>2</v>
      </c>
      <c r="BA6" s="13">
        <f>ROUND($AY$6*BA5/$AZ$5,2)</f>
        <v>33.020000000000003</v>
      </c>
      <c r="BB6" s="13">
        <f>ROUND($AY$6*BB5/$AZ$5,2)</f>
        <v>33.020000000000003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3385</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3386</v>
      </c>
      <c r="E13" s="13">
        <f>IF($C$3="是",ROUND($A$3*G13/$B$3,2),ROUND($A$3*(G13-AT13)/$B$3,2))</f>
        <v>33.020000000000003</v>
      </c>
      <c r="F13" s="29"/>
      <c r="G13" s="30">
        <f>H13+AC13+AT13</f>
        <v>66.03</v>
      </c>
      <c r="H13" s="17">
        <f>SUMIF(I$12:AB$12,"总值",I13:AB13)</f>
        <v>66.03</v>
      </c>
      <c r="I13" s="1626">
        <v>66.03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33.020000000000003</v>
      </c>
      <c r="AZ13" s="13">
        <f>BA13+BL13</f>
        <v>66.03</v>
      </c>
      <c r="BA13" s="13">
        <f>SUM(BB13:BK13)</f>
        <v>66.03</v>
      </c>
      <c r="BB13" s="13">
        <f>IF($D13="是",I13-J13,0)</f>
        <v>66.03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3" sqref="G2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2" t="s">
        <v>1131</v>
      </c>
      <c r="B2" s="3562"/>
      <c r="C2" s="3562"/>
      <c r="D2" s="796" t="s">
        <v>1107</v>
      </c>
      <c r="E2" s="1639" t="s">
        <v>1108</v>
      </c>
      <c r="F2" s="2659"/>
      <c r="G2" s="2650"/>
      <c r="H2" s="2651"/>
      <c r="I2" s="2325" t="s">
        <v>1132</v>
      </c>
      <c r="J2" s="2659"/>
      <c r="K2" s="2659"/>
      <c r="L2" s="2659"/>
      <c r="M2" s="2659"/>
      <c r="N2" s="2661"/>
      <c r="O2" s="2659"/>
      <c r="P2" s="2659"/>
    </row>
    <row r="3" spans="1:16" ht="15.75" thickBot="1">
      <c r="A3" s="3563" t="s">
        <v>1105</v>
      </c>
      <c r="B3" s="3563"/>
      <c r="C3" s="3563"/>
      <c r="D3" s="43">
        <f>'数据-基础表'!AY6</f>
        <v>33.020000000000003</v>
      </c>
      <c r="E3" s="43">
        <f>'数据-基础表'!AZ5</f>
        <v>66.03</v>
      </c>
      <c r="F3" s="2659"/>
      <c r="G3" s="1145"/>
      <c r="H3" s="1026" t="s">
        <v>1106</v>
      </c>
      <c r="I3" s="855">
        <f>ROUND('数据-基础表'!B3/'数据-基础表'!A3,2)</f>
        <v>2</v>
      </c>
      <c r="J3" s="2659"/>
      <c r="K3" s="2659"/>
      <c r="L3" s="2659"/>
      <c r="M3" s="2659"/>
      <c r="N3" s="2661"/>
      <c r="O3" s="2659"/>
      <c r="P3" s="2659"/>
    </row>
    <row r="4" spans="1:16" ht="15">
      <c r="A4" s="3564"/>
      <c r="B4" s="3565"/>
      <c r="C4" s="3566"/>
      <c r="D4" s="1641" t="s">
        <v>1107</v>
      </c>
      <c r="E4" s="1642" t="s">
        <v>1108</v>
      </c>
      <c r="F4" s="2659"/>
      <c r="G4" s="2652" t="s">
        <v>1133</v>
      </c>
      <c r="H4" s="1026" t="s">
        <v>1113</v>
      </c>
      <c r="I4" s="855">
        <f>ROUND(SUMIF('数据-基础表'!I9:AS9,"地上",'数据-基础表'!I5:AS5)/'数据-基础表'!A3,2)</f>
        <v>2</v>
      </c>
      <c r="J4" s="2659"/>
      <c r="K4" s="2659"/>
      <c r="L4" s="2659"/>
      <c r="M4" s="2659"/>
      <c r="N4" s="2661"/>
      <c r="O4" s="2659"/>
      <c r="P4" s="2659"/>
    </row>
    <row r="5" spans="1:16">
      <c r="A5" s="44" t="s">
        <v>1109</v>
      </c>
      <c r="B5" s="3567" t="s">
        <v>1110</v>
      </c>
      <c r="C5" s="3567"/>
      <c r="D5" s="45">
        <f>ROUND($D$3*E5/$E$3,2)</f>
        <v>0</v>
      </c>
      <c r="E5" s="46">
        <f>SUMIF('数据-基础表'!$11:$11,"住宅",'数据-基础表'!$5:$5)</f>
        <v>0</v>
      </c>
      <c r="F5" s="2659"/>
      <c r="G5" s="1145"/>
      <c r="H5" s="1026" t="s">
        <v>1106</v>
      </c>
      <c r="I5" s="855">
        <f>ROUND(E31/D31,2)</f>
        <v>2</v>
      </c>
      <c r="J5" s="2659"/>
      <c r="K5" s="2659"/>
      <c r="L5" s="2659"/>
      <c r="M5" s="2659"/>
      <c r="N5" s="2659"/>
      <c r="O5" s="2659"/>
      <c r="P5" s="2659"/>
    </row>
    <row r="6" spans="1:16" ht="15" thickBot="1">
      <c r="A6" s="1644"/>
      <c r="B6" s="3567" t="s">
        <v>1111</v>
      </c>
      <c r="C6" s="3567"/>
      <c r="D6" s="45">
        <f>ROUND($D$3*E6/$E$3,2)</f>
        <v>33.020000000000003</v>
      </c>
      <c r="E6" s="46">
        <f>E3-E5</f>
        <v>66.03</v>
      </c>
      <c r="F6" s="2659"/>
      <c r="G6" s="2653" t="s">
        <v>1112</v>
      </c>
      <c r="H6" s="1146" t="s">
        <v>1113</v>
      </c>
      <c r="I6" s="2654">
        <f>ROUND(F31/D31,2)</f>
        <v>2</v>
      </c>
      <c r="J6" s="2659"/>
      <c r="K6" s="2659"/>
      <c r="L6" s="2659"/>
      <c r="M6" s="2659"/>
      <c r="N6" s="2659"/>
      <c r="O6" s="2659"/>
      <c r="P6" s="2659"/>
    </row>
    <row r="7" spans="1:16" ht="15.75" thickBot="1">
      <c r="A7" s="3559"/>
      <c r="B7" s="3560"/>
      <c r="C7" s="3561"/>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33.020000000000003</v>
      </c>
      <c r="E8" s="48">
        <f>SUMIF('数据-基础表'!BB10:BK10,"地上",'数据-基础表'!BB5:BK5)</f>
        <v>66.03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33.020000000000003</v>
      </c>
      <c r="E16" s="50">
        <f>SUM(E8:E15)</f>
        <v>66.03</v>
      </c>
      <c r="F16" s="2659"/>
      <c r="G16" s="2660"/>
      <c r="H16" s="1648" t="s">
        <v>1135</v>
      </c>
      <c r="I16" s="1649"/>
      <c r="J16" s="1139"/>
      <c r="K16" s="3556" t="s">
        <v>1135</v>
      </c>
      <c r="L16" s="3557"/>
      <c r="M16" s="3557"/>
      <c r="N16" s="3557"/>
      <c r="O16" s="3557"/>
      <c r="P16" s="3558"/>
    </row>
    <row r="17" spans="1:19" ht="15">
      <c r="A17" s="1650" t="s">
        <v>1136</v>
      </c>
      <c r="B17" s="1651" t="s">
        <v>1137</v>
      </c>
      <c r="C17" s="1652" t="s">
        <v>1138</v>
      </c>
      <c r="D17" s="1653" t="s">
        <v>1126</v>
      </c>
      <c r="E17" s="1654" t="s">
        <v>1127</v>
      </c>
      <c r="F17" s="1655"/>
      <c r="G17" s="1656"/>
      <c r="H17" s="1657" t="s">
        <v>1139</v>
      </c>
      <c r="I17" s="1658" t="s">
        <v>1124</v>
      </c>
      <c r="J17" s="1139"/>
      <c r="K17" s="3553" t="s">
        <v>1140</v>
      </c>
      <c r="L17" s="3554"/>
      <c r="M17" s="3555"/>
      <c r="N17" s="3553" t="s">
        <v>1141</v>
      </c>
      <c r="O17" s="3554"/>
      <c r="P17" s="355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3387</v>
      </c>
      <c r="D19" s="45">
        <f>ROUND($D$3*E19/$E$3,2)</f>
        <v>33.020000000000003</v>
      </c>
      <c r="E19" s="53">
        <f t="shared" ref="E19:E26" si="1">SUM(F19:G19)</f>
        <v>66.03</v>
      </c>
      <c r="F19" s="2795">
        <f>'数据-基础表'!I13</f>
        <v>66.03</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33.020000000000003</v>
      </c>
      <c r="S19" s="1027">
        <f t="shared" si="5"/>
        <v>66.03</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33.020000000000003</v>
      </c>
      <c r="E27" s="1141">
        <f>IF(SUM(E19:E26)='数据-基础表'!BA5,SUM(E19:E26),IF(F27="地上面积有误","面积有误","地下面积有误"))</f>
        <v>66.03</v>
      </c>
      <c r="F27" s="1140">
        <f>IF(SUM(F19:F26)=E8,SUM(F19:F26),"地上面积有误")</f>
        <v>66.03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33.020000000000003</v>
      </c>
      <c r="S27" s="1026">
        <f>IF(SUM(S19:S26)=$E$3,SUM(S19:S26),SUM(S19:S26)&amp;"误差"&amp;ROUND(SUM(S19:S26)-E3,2))</f>
        <v>66.03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33.020000000000003</v>
      </c>
      <c r="E31" s="676">
        <f>E27+E30</f>
        <v>66.03</v>
      </c>
      <c r="F31" s="677">
        <f>F27+F30</f>
        <v>66.03</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J6" activePane="bottomRight" state="frozen"/>
      <selection activeCell="C50" sqref="C50"/>
      <selection pane="topRight" activeCell="C50" sqref="C50"/>
      <selection pane="bottomLeft" activeCell="C50" sqref="C50"/>
      <selection pane="bottomRight" activeCell="U23" sqref="U2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45275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50605</v>
      </c>
      <c r="F6" s="64">
        <f>SUMIF(项目基本情况!C$12:I$12,C6,项目基本情况!C$15:I$15)</f>
        <v>14.6</v>
      </c>
      <c r="G6" s="65">
        <f>IF(ISERROR(ROUND(POWER(1+H6,D6-F6)*(POWER(1+H6,F6)-1)/(POWER(1+H6,D6)-1),3)),0,ROUND(POWER(1+H6,D6-F6)*(POWER(1+H6,F6)-1)/(POWER(1+H6,D6)-1),3))</f>
        <v>0.48099999999999998</v>
      </c>
      <c r="H6" s="732">
        <v>3.5000000000000003E-2</v>
      </c>
      <c r="I6" s="732">
        <v>0.05</v>
      </c>
      <c r="J6" s="66">
        <v>6.5000000000000002E-2</v>
      </c>
      <c r="K6" s="1030">
        <f>SUMIF('数据-汇总表'!C$19:C$33,A6,'数据-汇总表'!E$19:E$33)</f>
        <v>66.03</v>
      </c>
      <c r="L6" s="733">
        <v>4000</v>
      </c>
      <c r="M6" s="67">
        <f t="shared" ref="M6:M14" si="0">ROUND(K6*L6/10000,0)</f>
        <v>26</v>
      </c>
      <c r="N6" s="731">
        <v>0.65</v>
      </c>
      <c r="O6" s="67" t="str">
        <f>IF($N$5="成新度","——",ROUND(M6*N6,0))</f>
        <v>——</v>
      </c>
      <c r="P6" s="68" t="str">
        <f>IF($N$5="成新度","——",M6-O6)</f>
        <v>——</v>
      </c>
      <c r="Q6" s="734">
        <v>0.15</v>
      </c>
      <c r="R6" s="69">
        <f ca="1">SUMIF('数据-汇总表'!C$19:C$33,A6,'数据-汇总表'!R$19:R$27)</f>
        <v>33.020000000000003</v>
      </c>
      <c r="S6" s="51">
        <f>IF('数据-汇总表'!$I$17="按面积比例",SUMIF('数据-汇总表'!C$19:C$33,A6,'数据-汇总表'!K$19:K$33),SUMIF('数据-汇总表'!C$19:C$33,A6,'数据-汇总表'!N$19:N$33))</f>
        <v>0</v>
      </c>
      <c r="T6" s="1172">
        <f>ROUND($L$14*S6/10000,0)</f>
        <v>0</v>
      </c>
      <c r="U6" s="3428">
        <f>'比较法-租金'!C49</f>
        <v>2.4900000000000002</v>
      </c>
      <c r="V6" s="70">
        <v>0.02</v>
      </c>
      <c r="W6" s="70">
        <v>0.15</v>
      </c>
      <c r="X6" s="1040"/>
      <c r="Y6" s="71">
        <f>N6</f>
        <v>0.65</v>
      </c>
      <c r="Z6" s="72"/>
      <c r="AA6" s="66"/>
      <c r="AB6" s="66"/>
      <c r="AC6" s="1040"/>
      <c r="AD6" s="73"/>
      <c r="AE6" s="1041">
        <f ca="1">IF(AN6="",0,SUMIF(INDIRECT("'"&amp;AN6&amp;"'"&amp;"!E:E"),$AE$5,INDIRECT("'"&amp;AN6&amp;"'"&amp;"!F:F")))</f>
        <v>14.6</v>
      </c>
      <c r="AF6" s="1348"/>
      <c r="AG6" s="138">
        <f>IF(AF6="",0,AE6-AF6)</f>
        <v>0</v>
      </c>
      <c r="AH6" s="74">
        <f>'数据-汇总表'!E19</f>
        <v>66.03</v>
      </c>
      <c r="AI6" s="76">
        <v>365</v>
      </c>
      <c r="AJ6" s="77"/>
      <c r="AK6" s="78">
        <v>1.4999999999999999E-2</v>
      </c>
      <c r="AL6" s="79">
        <v>1.5E-3</v>
      </c>
      <c r="AM6" s="80">
        <v>0.01</v>
      </c>
      <c r="AN6" s="1715" t="s">
        <v>3394</v>
      </c>
      <c r="AO6" s="52">
        <f ca="1">SUMIF(INDIRECT("'"&amp;AN6&amp;"'"&amp;"!A:A"),"总价",INDIRECT("'"&amp;AN6&amp;"'"&amp;"!B:B"))</f>
        <v>46.944000000000003</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0.48099999999999998</v>
      </c>
      <c r="H16" s="90">
        <f>ROUND(SUMPRODUCT(H6:H13,K6:K13)/SUMPRODUCT((H6:H13&gt;0)*(K6:K13)),3)</f>
        <v>3.5000000000000003E-2</v>
      </c>
      <c r="I16" s="91"/>
      <c r="J16" s="91"/>
      <c r="K16" s="92">
        <f>SUM(K6:K15)</f>
        <v>66.03</v>
      </c>
      <c r="L16" s="93">
        <f>ROUND(M16*10000/SUM(K6:K14),0)</f>
        <v>3938</v>
      </c>
      <c r="M16" s="93">
        <f>SUM(M6:M14)</f>
        <v>26</v>
      </c>
      <c r="N16" s="94">
        <f>ROUND(SUMPRODUCT(M6:M14,N6:N14)/M16,3)</f>
        <v>0.65</v>
      </c>
      <c r="O16" s="93">
        <f>SUM(O6:O14)</f>
        <v>0</v>
      </c>
      <c r="P16" s="93">
        <f>SUM(P6:P14)</f>
        <v>0</v>
      </c>
      <c r="Q16" s="95">
        <f>ROUND(SUMPRODUCT(Q6:Q13,K6:K13)/SUMPRODUCT((Q6:Q13&gt;0)*(K6:K13)),2)</f>
        <v>0.15</v>
      </c>
      <c r="R16" s="1034">
        <f ca="1">SUM(R6:R13)</f>
        <v>33.020000000000003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2304</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2302</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c r="N21" s="2671" t="s">
        <v>3390</v>
      </c>
      <c r="O21" s="2671" t="s">
        <v>3391</v>
      </c>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v>1998</v>
      </c>
      <c r="O22" s="2671">
        <f>2023-N22</f>
        <v>25</v>
      </c>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f>ROUND(O22/60,2)</f>
        <v>0.42</v>
      </c>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3449" t="s">
        <v>3392</v>
      </c>
      <c r="O24" s="2671">
        <f>1-O23</f>
        <v>0.58000000000000007</v>
      </c>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3449" t="s">
        <v>3393</v>
      </c>
      <c r="O25" s="2671">
        <v>0.6</v>
      </c>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f>(O24+O25)/2</f>
        <v>0.59000000000000008</v>
      </c>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2306</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v>200</v>
      </c>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300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300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3" t="s">
        <v>2295</v>
      </c>
      <c r="D34" s="2684" t="s">
        <v>2303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0.05</v>
      </c>
      <c r="C38" s="2803" t="s">
        <v>2298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3409</v>
      </c>
      <c r="B40" s="1078">
        <f ca="1">IF(A40="利息：取LPR",存贷款利率!G1,存贷款利率!G1+C40)</f>
        <v>4.3500000000000004E-2</v>
      </c>
      <c r="C40" s="2814">
        <v>8.9999999999999993E-3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8" t="s">
        <v>2285</v>
      </c>
      <c r="B1" s="3569"/>
      <c r="C1" s="3569"/>
      <c r="D1" s="3569"/>
      <c r="E1" s="3569"/>
      <c r="F1" s="3569"/>
      <c r="G1" s="356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 zoomScale="90" zoomScaleNormal="100" zoomScaleSheetLayoutView="90" zoomScalePageLayoutView="80" workbookViewId="0">
      <selection activeCell="F25" sqref="F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21</v>
      </c>
      <c r="D1" s="1747"/>
      <c r="E1" s="1747"/>
      <c r="F1" s="1749" t="s">
        <v>1263</v>
      </c>
      <c r="G1" s="1561" t="s">
        <v>3575</v>
      </c>
      <c r="H1" s="1750" t="str">
        <f>IF(G1="现房","——","估价对象范围")</f>
        <v>——</v>
      </c>
      <c r="I1" s="1751"/>
    </row>
    <row r="2" spans="1:12" ht="21.75" customHeight="1" thickBot="1">
      <c r="A2" s="3604" t="str">
        <f>项目基本情况!S2</f>
        <v>北京市房地产</v>
      </c>
      <c r="B2" s="3605"/>
      <c r="C2" s="3605"/>
      <c r="D2" s="3605"/>
      <c r="E2" s="3605"/>
      <c r="F2" s="3605"/>
      <c r="G2" s="3605"/>
      <c r="H2" s="3605"/>
      <c r="I2" s="3606"/>
    </row>
    <row r="3" spans="1:12" ht="12.75">
      <c r="A3" s="3608" t="s">
        <v>1264</v>
      </c>
      <c r="B3" s="3609"/>
      <c r="C3" s="3609"/>
      <c r="D3" s="3609"/>
      <c r="E3" s="3609"/>
      <c r="F3" s="3609"/>
      <c r="G3" s="3609"/>
      <c r="H3" s="3609"/>
      <c r="I3" s="3609"/>
    </row>
    <row r="4" spans="1:12" ht="14.25">
      <c r="A4" s="1754" t="s">
        <v>1265</v>
      </c>
      <c r="B4" s="1755" t="s">
        <v>1266</v>
      </c>
      <c r="C4" s="1756" t="s">
        <v>3640</v>
      </c>
      <c r="D4" s="1756" t="s">
        <v>3394</v>
      </c>
      <c r="E4" s="3610" t="s">
        <v>1267</v>
      </c>
      <c r="F4" s="3611"/>
      <c r="G4" s="3611"/>
      <c r="H4" s="3611"/>
      <c r="I4" s="361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4" t="s">
        <v>1268</v>
      </c>
      <c r="B5" s="3571">
        <v>25</v>
      </c>
      <c r="C5" s="3587">
        <v>80</v>
      </c>
      <c r="D5" s="3607">
        <f>100-C5</f>
        <v>20</v>
      </c>
      <c r="E5" s="131" t="s">
        <v>1269</v>
      </c>
      <c r="F5" s="1757"/>
      <c r="G5" s="1757"/>
      <c r="H5" s="1757"/>
      <c r="I5" s="1373"/>
    </row>
    <row r="6" spans="1:12" ht="12.75">
      <c r="A6" s="3584"/>
      <c r="B6" s="3571"/>
      <c r="C6" s="3588"/>
      <c r="D6" s="3607"/>
      <c r="E6" s="131" t="s">
        <v>1270</v>
      </c>
      <c r="F6" s="1757"/>
      <c r="G6" s="1757"/>
      <c r="H6" s="1757"/>
      <c r="I6" s="1373"/>
    </row>
    <row r="7" spans="1:12" ht="12.75">
      <c r="A7" s="3584"/>
      <c r="B7" s="3571"/>
      <c r="C7" s="3589"/>
      <c r="D7" s="3607"/>
      <c r="E7" s="131" t="s">
        <v>1271</v>
      </c>
      <c r="F7" s="1757"/>
      <c r="G7" s="1757"/>
      <c r="H7" s="1757"/>
      <c r="I7" s="1373"/>
    </row>
    <row r="8" spans="1:12" ht="12.75">
      <c r="A8" s="3584" t="s">
        <v>1272</v>
      </c>
      <c r="B8" s="3571">
        <v>15</v>
      </c>
      <c r="C8" s="3587"/>
      <c r="D8" s="3607"/>
      <c r="E8" s="131" t="s">
        <v>1273</v>
      </c>
      <c r="F8" s="1757"/>
      <c r="G8" s="1757"/>
      <c r="H8" s="1757"/>
      <c r="I8" s="1373"/>
    </row>
    <row r="9" spans="1:12" ht="12.75">
      <c r="A9" s="3584"/>
      <c r="B9" s="3571"/>
      <c r="C9" s="3589"/>
      <c r="D9" s="3607"/>
      <c r="E9" s="131" t="s">
        <v>1274</v>
      </c>
      <c r="F9" s="1757"/>
      <c r="G9" s="1757"/>
      <c r="H9" s="1757"/>
      <c r="I9" s="1373"/>
    </row>
    <row r="10" spans="1:12" ht="12.75">
      <c r="A10" s="3584" t="s">
        <v>1275</v>
      </c>
      <c r="B10" s="3571">
        <v>15</v>
      </c>
      <c r="C10" s="3587"/>
      <c r="D10" s="3607"/>
      <c r="E10" s="131" t="s">
        <v>1276</v>
      </c>
      <c r="F10" s="1757"/>
      <c r="G10" s="1757"/>
      <c r="H10" s="1757"/>
      <c r="I10" s="1373"/>
    </row>
    <row r="11" spans="1:12" ht="12.75">
      <c r="A11" s="3584"/>
      <c r="B11" s="3571"/>
      <c r="C11" s="3589"/>
      <c r="D11" s="3607"/>
      <c r="E11" s="131" t="s">
        <v>1277</v>
      </c>
      <c r="F11" s="1757"/>
      <c r="G11" s="1757"/>
      <c r="H11" s="1757"/>
      <c r="I11" s="1373"/>
    </row>
    <row r="12" spans="1:12" ht="12.75">
      <c r="A12" s="3584" t="s">
        <v>1278</v>
      </c>
      <c r="B12" s="3571">
        <v>15</v>
      </c>
      <c r="C12" s="3587"/>
      <c r="D12" s="3607"/>
      <c r="E12" s="131" t="s">
        <v>1279</v>
      </c>
      <c r="F12" s="1757"/>
      <c r="G12" s="1757"/>
      <c r="H12" s="1757"/>
      <c r="I12" s="1373"/>
    </row>
    <row r="13" spans="1:12" ht="12.75">
      <c r="A13" s="3584"/>
      <c r="B13" s="3571"/>
      <c r="C13" s="3589"/>
      <c r="D13" s="3607"/>
      <c r="E13" s="131" t="s">
        <v>1280</v>
      </c>
      <c r="F13" s="1757"/>
      <c r="G13" s="1757"/>
      <c r="H13" s="1757"/>
      <c r="I13" s="1373"/>
    </row>
    <row r="14" spans="1:12" ht="12.75">
      <c r="A14" s="3584" t="s">
        <v>1281</v>
      </c>
      <c r="B14" s="3571">
        <v>30</v>
      </c>
      <c r="C14" s="3587"/>
      <c r="D14" s="3607"/>
      <c r="E14" s="131" t="s">
        <v>1282</v>
      </c>
      <c r="F14" s="1757"/>
      <c r="G14" s="1757"/>
      <c r="H14" s="1757"/>
      <c r="I14" s="1373"/>
    </row>
    <row r="15" spans="1:12" ht="12.75">
      <c r="A15" s="3584"/>
      <c r="B15" s="3571"/>
      <c r="C15" s="3588"/>
      <c r="D15" s="3607"/>
      <c r="E15" s="131" t="s">
        <v>1283</v>
      </c>
      <c r="F15" s="1757"/>
      <c r="G15" s="1757"/>
      <c r="H15" s="1757"/>
      <c r="I15" s="1373"/>
    </row>
    <row r="16" spans="1:12" ht="12.75">
      <c r="A16" s="3584"/>
      <c r="B16" s="3571"/>
      <c r="C16" s="3589"/>
      <c r="D16" s="3607"/>
      <c r="E16" s="131" t="s">
        <v>1284</v>
      </c>
      <c r="F16" s="1757"/>
      <c r="G16" s="1757"/>
      <c r="H16" s="1757"/>
      <c r="I16" s="1373"/>
    </row>
    <row r="17" spans="1:36" ht="15">
      <c r="A17" s="1758" t="s">
        <v>1285</v>
      </c>
      <c r="B17" s="56"/>
      <c r="C17" s="132">
        <f>SUM(C5:C16)</f>
        <v>80</v>
      </c>
      <c r="D17" s="132">
        <f>SUM(D5:D16)</f>
        <v>20</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594" t="s">
        <v>2131</v>
      </c>
      <c r="F18" s="3595"/>
      <c r="G18" s="3595"/>
      <c r="H18" s="3595"/>
      <c r="I18" s="3595"/>
      <c r="K18" s="302" t="s">
        <v>1289</v>
      </c>
      <c r="L18" s="302">
        <f>IF(C1="",'数据-汇总表'!E3,SUMIF(项目类型,C1,'数据-汇总表'!E17:E26)+SUMIF(项目类型,C1,'数据-汇总表'!I17:I26))</f>
        <v>66.03</v>
      </c>
      <c r="M18" s="302">
        <f>IF(C1="",'数据-汇总表'!E3,SUMIF(项目类型,C1,'数据-汇总表'!E17:E26))</f>
        <v>66.03</v>
      </c>
    </row>
    <row r="19" spans="1:36" ht="15">
      <c r="A19" s="1761" t="s">
        <v>1290</v>
      </c>
      <c r="B19" s="1762" t="s">
        <v>1291</v>
      </c>
      <c r="C19" s="134">
        <f ca="1">SUMIF(INDIRECT("'"&amp;C4&amp;"'"&amp;"!A:A"),结果表!B19,INDIRECT("'"&amp;C4&amp;"'"&amp;"!B:B"))</f>
        <v>163</v>
      </c>
      <c r="D19" s="135">
        <f ca="1">SUMIF(INDIRECT("'"&amp;D4&amp;"'"&amp;"!A:A"),结果表!B19,INDIRECT("'"&amp;D4&amp;"'"&amp;"!B:B"))</f>
        <v>46.944000000000003</v>
      </c>
      <c r="E19" s="1761" t="s">
        <v>1292</v>
      </c>
      <c r="F19" s="1762" t="s">
        <v>1291</v>
      </c>
      <c r="G19" s="136">
        <f ca="1">ROUND(C19*$C$18+D19*$D$18,0)</f>
        <v>140</v>
      </c>
      <c r="H19" s="1763" t="s">
        <v>1293</v>
      </c>
      <c r="I19" s="129"/>
      <c r="K19" s="302" t="s">
        <v>1294</v>
      </c>
      <c r="L19" s="302">
        <f>IF(C1="",'数据-汇总表'!D3,SUMIF(项目类型,C1,'数据-汇总表'!D17:D26)+SUMIF(项目类型,C1,'数据-汇总表'!H17:H27))</f>
        <v>33.020000000000003</v>
      </c>
      <c r="M19" s="302">
        <f>IF(C1="",'数据-汇总表'!D3,SUMIF(项目类型,C1,'数据-汇总表'!D17:D26))</f>
        <v>33.020000000000003</v>
      </c>
    </row>
    <row r="20" spans="1:36" ht="15">
      <c r="A20" s="1764"/>
      <c r="B20" s="1026" t="s">
        <v>1295</v>
      </c>
      <c r="C20" s="137">
        <f ca="1">SUMIF(INDIRECT("'"&amp;C4&amp;"'"&amp;"!A:A"),结果表!B20,INDIRECT("'"&amp;C4&amp;"'"&amp;"!B:B"))</f>
        <v>24623</v>
      </c>
      <c r="D20" s="138">
        <f ca="1">SUMIF(INDIRECT("'"&amp;D4&amp;"'"&amp;"!A:A"),结果表!B20,INDIRECT("'"&amp;D4&amp;"'"&amp;"!B:B"))</f>
        <v>7109</v>
      </c>
      <c r="E20" s="1764"/>
      <c r="F20" s="1026" t="s">
        <v>1295</v>
      </c>
      <c r="G20" s="139">
        <f ca="1">ROUND(C20*$C$18+D20*$D$18,0)</f>
        <v>21120</v>
      </c>
      <c r="H20" s="808" t="s">
        <v>1296</v>
      </c>
      <c r="I20" s="129"/>
    </row>
    <row r="21" spans="1:36" ht="15" customHeight="1" thickBot="1">
      <c r="A21" s="828"/>
      <c r="B21" s="1765" t="s">
        <v>1297</v>
      </c>
      <c r="C21" s="719">
        <f ca="1">ROUND(C19*10000/L19,0)</f>
        <v>49364</v>
      </c>
      <c r="D21" s="720">
        <f ca="1">ROUND(D19*10000/L19,0)</f>
        <v>14217</v>
      </c>
      <c r="E21" s="828"/>
      <c r="F21" s="1765" t="s">
        <v>1297</v>
      </c>
      <c r="G21" s="140">
        <f ca="1">ROUND(G19*10000/L19,0)</f>
        <v>42399</v>
      </c>
      <c r="H21" s="1766" t="s">
        <v>1296</v>
      </c>
      <c r="I21" s="129"/>
    </row>
    <row r="22" spans="1:36" ht="15" thickBot="1">
      <c r="A22" s="1688" t="s">
        <v>1298</v>
      </c>
      <c r="B22" s="1767"/>
      <c r="C22" s="1768"/>
      <c r="D22" s="721">
        <f ca="1">IF(C19&lt;D19,D19/C19-1,C19/D19-1)</f>
        <v>2.4722222222222219</v>
      </c>
      <c r="E22" s="129"/>
      <c r="F22" s="129"/>
      <c r="G22" s="129">
        <f ca="1">ROUND(G20*'数据-汇总表'!E19,0)</f>
        <v>1394554</v>
      </c>
      <c r="H22" s="129"/>
      <c r="I22" s="129"/>
    </row>
    <row r="23" spans="1:36" ht="13.5" thickBot="1">
      <c r="A23" s="1747"/>
      <c r="B23" s="1747"/>
      <c r="C23" s="1747"/>
      <c r="D23" s="1747"/>
      <c r="E23" s="129"/>
      <c r="F23" s="129"/>
      <c r="G23" s="129"/>
      <c r="H23" s="129"/>
      <c r="I23" s="129"/>
    </row>
    <row r="24" spans="1:36" ht="14.25">
      <c r="A24" s="3578" t="s">
        <v>1299</v>
      </c>
      <c r="B24" s="1762" t="s">
        <v>1291</v>
      </c>
      <c r="C24" s="136">
        <f>IF(B30=0,0,D30)</f>
        <v>0</v>
      </c>
      <c r="D24" s="1769"/>
      <c r="E24" s="129"/>
      <c r="F24" s="129"/>
      <c r="G24" s="129"/>
      <c r="H24" s="129"/>
      <c r="I24" s="129"/>
    </row>
    <row r="25" spans="1:36" ht="14.25">
      <c r="A25" s="357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21120</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98" t="s">
        <v>1312</v>
      </c>
      <c r="B36" s="1787" t="s">
        <v>1313</v>
      </c>
      <c r="C36" s="145"/>
      <c r="D36" s="1788"/>
      <c r="E36" s="1789"/>
      <c r="F36" s="1790"/>
      <c r="G36" s="129"/>
      <c r="H36" s="129"/>
      <c r="I36" s="129"/>
    </row>
    <row r="37" spans="1:15" ht="15.75" thickBot="1">
      <c r="A37" s="3599"/>
      <c r="B37" s="1674" t="s">
        <v>1314</v>
      </c>
      <c r="C37" s="147"/>
      <c r="D37" s="1139"/>
      <c r="E37" s="1139"/>
      <c r="F37" s="1790"/>
      <c r="G37" s="129"/>
      <c r="H37" s="129"/>
      <c r="I37" s="129"/>
    </row>
    <row r="38" spans="1:15" ht="15.75" thickBot="1">
      <c r="A38" s="360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5" t="s">
        <v>1326</v>
      </c>
      <c r="B45" s="3576"/>
      <c r="C45" s="3577"/>
      <c r="D45" s="155" t="e">
        <f ca="1">ROUND(H101*F45,0)</f>
        <v>#REF!</v>
      </c>
      <c r="E45" s="156" t="s">
        <v>1327</v>
      </c>
      <c r="F45" s="157">
        <v>1</v>
      </c>
      <c r="G45" s="158" t="s">
        <v>1328</v>
      </c>
      <c r="H45" s="129"/>
      <c r="I45" s="129"/>
      <c r="J45" s="3653" t="s">
        <v>1329</v>
      </c>
      <c r="K45" s="3653"/>
      <c r="L45" s="3653"/>
      <c r="M45" s="3653"/>
      <c r="N45" s="3653"/>
      <c r="O45" s="3653"/>
    </row>
    <row r="46" spans="1:15" ht="14.25" customHeight="1">
      <c r="A46" s="3572" t="s">
        <v>1330</v>
      </c>
      <c r="B46" s="3573"/>
      <c r="C46" s="3573"/>
      <c r="D46" s="3573"/>
      <c r="E46" s="3573"/>
      <c r="F46" s="3573"/>
      <c r="G46" s="3574"/>
      <c r="H46" s="1806"/>
      <c r="I46" s="159"/>
      <c r="J46" s="2523">
        <v>1</v>
      </c>
      <c r="K46" s="3634" t="s">
        <v>1331</v>
      </c>
      <c r="L46" s="3634"/>
      <c r="M46" s="3654"/>
      <c r="N46" s="3654"/>
      <c r="O46" s="3654"/>
    </row>
    <row r="47" spans="1:15" ht="12" customHeight="1">
      <c r="A47" s="160" t="s">
        <v>1332</v>
      </c>
      <c r="B47" s="161"/>
      <c r="C47" s="162"/>
      <c r="D47" s="1087" t="s">
        <v>1333</v>
      </c>
      <c r="E47" s="302" t="s">
        <v>1334</v>
      </c>
      <c r="F47" s="163" t="s">
        <v>1335</v>
      </c>
      <c r="G47" s="2546" t="s">
        <v>1336</v>
      </c>
      <c r="H47" s="2547"/>
      <c r="I47" s="159"/>
      <c r="J47" s="2523">
        <v>2</v>
      </c>
      <c r="K47" s="3634" t="s">
        <v>1337</v>
      </c>
      <c r="L47" s="3634"/>
      <c r="M47" s="3655">
        <f>'数据-取费表'!B2</f>
        <v>45275</v>
      </c>
      <c r="N47" s="3655"/>
      <c r="O47" s="3655"/>
    </row>
    <row r="48" spans="1:15" ht="25.5">
      <c r="A48" s="3603" t="s">
        <v>1338</v>
      </c>
      <c r="B48" s="3586"/>
      <c r="C48" s="3586"/>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34" t="s">
        <v>1340</v>
      </c>
      <c r="L48" s="3634"/>
      <c r="M48" s="3656" t="e">
        <f ca="1">H101</f>
        <v>#REF!</v>
      </c>
      <c r="N48" s="3656"/>
      <c r="O48" s="3656"/>
    </row>
    <row r="49" spans="1:35" ht="25.5" customHeight="1">
      <c r="A49" s="2333" t="s">
        <v>1341</v>
      </c>
      <c r="B49" s="3570" t="s">
        <v>1342</v>
      </c>
      <c r="C49" s="3570"/>
      <c r="D49" s="1590">
        <v>0</v>
      </c>
      <c r="E49" s="324" t="s">
        <v>1343</v>
      </c>
      <c r="F49" s="2424" t="s">
        <v>28</v>
      </c>
      <c r="G49" s="3640"/>
      <c r="H49" s="2310" t="s">
        <v>2134</v>
      </c>
      <c r="I49" s="2311"/>
      <c r="J49" s="2523">
        <v>4</v>
      </c>
      <c r="K49" s="3634" t="str">
        <f>IF(项目基本情况!E8="房地产抵押价值","房地产抵押价值","抵押担保权已注销时的房地产抵押价值")</f>
        <v>抵押担保权已注销时的房地产抵押价值</v>
      </c>
      <c r="L49" s="3634"/>
      <c r="M49" s="3656" t="str">
        <f>IF(项目基本情况!E8="房地产抵押价值",H107,H109)</f>
        <v>——</v>
      </c>
      <c r="N49" s="3656"/>
      <c r="O49" s="3656"/>
    </row>
    <row r="50" spans="1:35" ht="25.5" customHeight="1">
      <c r="A50" s="2551"/>
      <c r="B50" s="3570" t="s">
        <v>1344</v>
      </c>
      <c r="C50" s="3570"/>
      <c r="D50" s="2552"/>
      <c r="E50" s="332"/>
      <c r="F50" s="2424"/>
      <c r="G50" s="3641"/>
      <c r="H50" s="2312" t="s">
        <v>2135</v>
      </c>
      <c r="I50" s="2311"/>
      <c r="J50" s="3653" t="s">
        <v>1345</v>
      </c>
      <c r="K50" s="3653"/>
      <c r="L50" s="3653"/>
      <c r="M50" s="3653"/>
      <c r="N50" s="3653"/>
      <c r="O50" s="3653"/>
    </row>
    <row r="51" spans="1:35" ht="20.45" customHeight="1">
      <c r="A51" s="2553"/>
      <c r="B51" s="3570" t="s">
        <v>1346</v>
      </c>
      <c r="C51" s="3570"/>
      <c r="D51" s="1087"/>
      <c r="E51" s="327"/>
      <c r="F51" s="2424"/>
      <c r="G51" s="3642"/>
      <c r="H51" s="2312" t="s">
        <v>2136</v>
      </c>
      <c r="I51" s="2311"/>
      <c r="J51" s="2524" t="s">
        <v>1347</v>
      </c>
      <c r="K51" s="3634" t="s">
        <v>1348</v>
      </c>
      <c r="L51" s="3634"/>
      <c r="M51" s="2524" t="s">
        <v>1349</v>
      </c>
      <c r="N51" s="2524" t="s">
        <v>1350</v>
      </c>
      <c r="O51" s="2524" t="s">
        <v>1351</v>
      </c>
    </row>
    <row r="52" spans="1:35" ht="24" customHeight="1">
      <c r="A52" s="2335" t="s">
        <v>1352</v>
      </c>
      <c r="B52" s="3570" t="s">
        <v>1353</v>
      </c>
      <c r="C52" s="3570"/>
      <c r="D52" s="1087" t="e">
        <f ca="1">ROUND(D45*'数据-取费表'!B41/(1+'数据-取费表'!C42),0)</f>
        <v>#REF!</v>
      </c>
      <c r="E52" s="2334" t="s">
        <v>1354</v>
      </c>
      <c r="F52" s="2554">
        <f>'数据-取费表'!B41</f>
        <v>5.5000000000000007E-2</v>
      </c>
      <c r="G52" s="2555"/>
      <c r="H52" s="2544"/>
      <c r="I52" s="1807"/>
      <c r="J52" s="2523">
        <v>1</v>
      </c>
      <c r="K52" s="3635" t="s">
        <v>1355</v>
      </c>
      <c r="L52" s="3635"/>
      <c r="M52" s="2525" t="b">
        <f>D48</f>
        <v>0</v>
      </c>
      <c r="N52" s="2523" t="str">
        <f>E48</f>
        <v>销售额×税（费）率</v>
      </c>
      <c r="O52" s="2526">
        <f>F48</f>
        <v>5.5000000000000007E-2</v>
      </c>
    </row>
    <row r="53" spans="1:35" ht="12" customHeight="1">
      <c r="A53" s="2335" t="s">
        <v>1356</v>
      </c>
      <c r="B53" s="3596" t="s">
        <v>2290</v>
      </c>
      <c r="C53" s="3597"/>
      <c r="D53" s="1087" t="e">
        <f ca="1">ROUND(D45*'数据-取费表'!B41/(1+'数据-取费表'!C42),0)</f>
        <v>#REF!</v>
      </c>
      <c r="E53" s="2334" t="s">
        <v>1354</v>
      </c>
      <c r="F53" s="2554">
        <f>'数据-取费表'!B41</f>
        <v>5.5000000000000007E-2</v>
      </c>
      <c r="G53" s="2555"/>
      <c r="H53" s="2544"/>
      <c r="I53" s="1807"/>
      <c r="J53" s="2523">
        <v>2</v>
      </c>
      <c r="K53" s="3635" t="s">
        <v>1357</v>
      </c>
      <c r="L53" s="3635"/>
      <c r="M53" s="2525" t="e">
        <f t="shared" ref="M53:O54" ca="1" si="0">D55</f>
        <v>#REF!</v>
      </c>
      <c r="N53" s="2523" t="str">
        <f t="shared" si="0"/>
        <v>销售额×税（费）率</v>
      </c>
      <c r="O53" s="2526" t="str">
        <f t="shared" si="0"/>
        <v>免征</v>
      </c>
    </row>
    <row r="54" spans="1:35" ht="12" customHeight="1">
      <c r="A54" s="2335" t="s">
        <v>1358</v>
      </c>
      <c r="B54" s="3596" t="s">
        <v>2291</v>
      </c>
      <c r="C54" s="3597"/>
      <c r="D54" s="1087" t="e">
        <f ca="1">C68</f>
        <v>#REF!</v>
      </c>
      <c r="E54" s="327" t="s">
        <v>1359</v>
      </c>
      <c r="F54" s="2554">
        <f>'数据-取费表'!B41</f>
        <v>5.5000000000000007E-2</v>
      </c>
      <c r="G54" s="2555"/>
      <c r="H54" s="2556"/>
      <c r="I54" s="1807"/>
      <c r="J54" s="2523">
        <v>3</v>
      </c>
      <c r="K54" s="3635" t="s">
        <v>1360</v>
      </c>
      <c r="L54" s="3635"/>
      <c r="M54" s="2525" t="e">
        <f t="shared" ca="1" si="0"/>
        <v>#REF!</v>
      </c>
      <c r="N54" s="2523" t="str">
        <f t="shared" si="0"/>
        <v>增值额×税（费）率</v>
      </c>
      <c r="O54" s="2527" t="str">
        <f t="shared" si="0"/>
        <v>免征</v>
      </c>
    </row>
    <row r="55" spans="1:35" ht="24" customHeight="1">
      <c r="A55" s="3585" t="s">
        <v>1361</v>
      </c>
      <c r="B55" s="3586"/>
      <c r="C55" s="3586"/>
      <c r="D55" s="2324" t="e">
        <f ca="1">IF(H55="个人住宅",0,ROUND(D45*I55,0))</f>
        <v>#REF!</v>
      </c>
      <c r="E55" s="2334" t="s">
        <v>1362</v>
      </c>
      <c r="F55" s="2554" t="str">
        <f>IF(H55="正常",I55,"免征")</f>
        <v>免征</v>
      </c>
      <c r="G55" s="2555"/>
      <c r="H55" s="2550"/>
      <c r="I55" s="165">
        <f>'数据-取费表'!B49</f>
        <v>5.0000000000000001E-4</v>
      </c>
      <c r="J55" s="2523">
        <f>IF(H59="非个人房产","",4)</f>
        <v>4</v>
      </c>
      <c r="K55" s="3635" t="str">
        <f>IF(H59="非个人房产","——","个人所得税")</f>
        <v>个人所得税</v>
      </c>
      <c r="L55" s="3635"/>
      <c r="M55" s="2528" t="e">
        <f ca="1">D59</f>
        <v>#REF!</v>
      </c>
      <c r="N55" s="2040" t="str">
        <f>E59</f>
        <v>差额计税</v>
      </c>
      <c r="O55" s="2529">
        <f>F59</f>
        <v>0.01</v>
      </c>
    </row>
    <row r="56" spans="1:35" ht="24.75">
      <c r="A56" s="3585" t="s">
        <v>1363</v>
      </c>
      <c r="B56" s="3586"/>
      <c r="C56" s="3586"/>
      <c r="D56" s="2324" t="e">
        <f ca="1">IF(H56="个人住宅",D57,D58)</f>
        <v>#REF!</v>
      </c>
      <c r="E56" s="2334" t="s">
        <v>1364</v>
      </c>
      <c r="F56" s="2554" t="str">
        <f>IF(H56="正常",F58,"免征")</f>
        <v>免征</v>
      </c>
      <c r="G56" s="2557" t="s">
        <v>1365</v>
      </c>
      <c r="H56" s="2558"/>
      <c r="I56" s="1808"/>
      <c r="J56" s="2523" t="str">
        <f>IF(项目基本情况!K6="上海银行",IF(J55="",4,J55+1),"")</f>
        <v/>
      </c>
      <c r="K56" s="3658" t="str">
        <f>IF(项目基本情况!K6="上海银行","其他处置费用","")</f>
        <v/>
      </c>
      <c r="L56" s="3659"/>
      <c r="M56" s="2525" t="str">
        <f>IF(项目基本情况!K6="上海银行",M69,"")</f>
        <v/>
      </c>
      <c r="N56" s="3658" t="str">
        <f>IF(项目基本情况!K6="上海银行","包含处置中涉及的律师、诉讼、拍卖、评估等费用","")</f>
        <v/>
      </c>
      <c r="O56" s="3661"/>
    </row>
    <row r="57" spans="1:35" ht="12.75">
      <c r="A57" s="2335" t="s">
        <v>1341</v>
      </c>
      <c r="B57" s="3596" t="s">
        <v>1366</v>
      </c>
      <c r="C57" s="3597"/>
      <c r="D57" s="1590">
        <v>0</v>
      </c>
      <c r="E57" s="324" t="s">
        <v>1343</v>
      </c>
      <c r="F57" s="302"/>
      <c r="G57" s="2555"/>
      <c r="H57" s="2559"/>
      <c r="I57" s="1808"/>
      <c r="J57" s="3635">
        <f>IF(AND(J55="",J56=""),4,IF(项目基本情况!K6="上海银行",结果表!J56+1,结果表!J55+1))</f>
        <v>5</v>
      </c>
      <c r="K57" s="3635" t="s">
        <v>1367</v>
      </c>
      <c r="L57" s="2530" t="s">
        <v>1368</v>
      </c>
      <c r="M57" s="2531"/>
      <c r="N57" s="2532">
        <f ca="1">SUMIF(M52:M56,"&lt;9e307")</f>
        <v>0</v>
      </c>
      <c r="O57" s="2533"/>
      <c r="P57" s="2690" t="e">
        <f ca="1">N57/M49</f>
        <v>#VALUE!</v>
      </c>
    </row>
    <row r="58" spans="1:35" ht="24.75">
      <c r="A58" s="2335" t="s">
        <v>1352</v>
      </c>
      <c r="B58" s="3596" t="s">
        <v>1369</v>
      </c>
      <c r="C58" s="3570"/>
      <c r="D58" s="2324" t="e">
        <f ca="1">IF(H58="转让取得",C81,C97)</f>
        <v>#REF!</v>
      </c>
      <c r="E58" s="2334" t="s">
        <v>1364</v>
      </c>
      <c r="F58" s="302" t="s">
        <v>28</v>
      </c>
      <c r="G58" s="2555"/>
      <c r="H58" s="2558"/>
      <c r="I58" s="1808"/>
      <c r="J58" s="3635"/>
      <c r="K58" s="3635"/>
      <c r="L58" s="2530" t="s">
        <v>1370</v>
      </c>
      <c r="M58" s="2534"/>
      <c r="N58" s="2535" t="str">
        <f ca="1">NUMBERSTRING(INT(N57*10000),2)&amp;"元整"</f>
        <v>零元整</v>
      </c>
      <c r="O58" s="2536"/>
    </row>
    <row r="59" spans="1:35" ht="24.75" thickBot="1">
      <c r="A59" s="3638" t="s">
        <v>1371</v>
      </c>
      <c r="B59" s="3639"/>
      <c r="C59" s="3639"/>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6">
        <f>J57+1</f>
        <v>6</v>
      </c>
      <c r="K59" s="3635" t="s">
        <v>1372</v>
      </c>
      <c r="L59" s="2523" t="s">
        <v>1368</v>
      </c>
      <c r="M59" s="2537"/>
      <c r="N59" s="2538" t="e">
        <f ca="1">M49-N57</f>
        <v>#VALUE!</v>
      </c>
      <c r="O59" s="2539"/>
    </row>
    <row r="60" spans="1:35" ht="12" customHeight="1">
      <c r="A60" s="1809"/>
      <c r="B60" s="1747"/>
      <c r="C60" s="1747"/>
      <c r="D60" s="1747"/>
      <c r="E60" s="1578"/>
      <c r="F60" s="1808"/>
      <c r="G60" s="1808"/>
      <c r="H60" s="1810"/>
      <c r="I60" s="129"/>
      <c r="J60" s="3637"/>
      <c r="K60" s="3635"/>
      <c r="L60" s="2530" t="s">
        <v>1370</v>
      </c>
      <c r="M60" s="2534"/>
      <c r="N60" s="2535" t="e">
        <f ca="1">NUMBERSTRING(INT(N59*10000),2)&amp;"元整"</f>
        <v>#VALUE!</v>
      </c>
      <c r="O60" s="2536"/>
    </row>
    <row r="61" spans="1:35" ht="13.5" thickBot="1">
      <c r="A61" s="3583" t="s">
        <v>1373</v>
      </c>
      <c r="B61" s="3583"/>
      <c r="C61" s="3583"/>
      <c r="D61" s="3583"/>
      <c r="E61" s="3583"/>
      <c r="F61" s="1808"/>
      <c r="G61" s="1808"/>
      <c r="H61" s="1810"/>
      <c r="I61" s="129"/>
      <c r="J61" s="2523">
        <f>J59+1</f>
        <v>7</v>
      </c>
      <c r="K61" s="3635" t="s">
        <v>1374</v>
      </c>
      <c r="L61" s="3635"/>
      <c r="M61" s="2540"/>
      <c r="N61" s="2541" t="e">
        <f ca="1">ROUND(N59*10000/'数据-汇总表'!E3,0)</f>
        <v>#VALUE!</v>
      </c>
      <c r="O61" s="2542"/>
    </row>
    <row r="62" spans="1:35" ht="12.75">
      <c r="A62" s="3601" t="s">
        <v>1375</v>
      </c>
      <c r="B62" s="3602"/>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60"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60"/>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60"/>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60"/>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60"/>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5.5000000000000007E-2</v>
      </c>
      <c r="E68" s="178"/>
      <c r="F68" s="1808"/>
      <c r="G68" s="1808"/>
      <c r="H68" s="1810"/>
      <c r="I68" s="129"/>
      <c r="J68" s="3660"/>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60"/>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2" t="s">
        <v>1394</v>
      </c>
      <c r="B70" s="3623"/>
      <c r="C70" s="3623"/>
      <c r="D70" s="3623"/>
      <c r="E70" s="3623"/>
      <c r="F70" s="3623"/>
      <c r="G70" s="3623"/>
      <c r="H70" s="362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1" t="s">
        <v>1375</v>
      </c>
      <c r="B71" s="3602"/>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6" t="s">
        <v>1402</v>
      </c>
      <c r="F76" s="3570"/>
      <c r="G76" s="3570"/>
      <c r="H76" s="362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5.000000000000001E-3</v>
      </c>
      <c r="E78" s="3580" t="s">
        <v>1406</v>
      </c>
      <c r="F78" s="3581"/>
      <c r="G78" s="3581"/>
      <c r="H78" s="359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2" t="s">
        <v>1410</v>
      </c>
      <c r="B83" s="3623"/>
      <c r="C83" s="3623"/>
      <c r="D83" s="3623"/>
      <c r="E83" s="3623"/>
      <c r="F83" s="3623"/>
      <c r="G83" s="3623"/>
      <c r="H83" s="362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1" t="s">
        <v>1375</v>
      </c>
      <c r="B84" s="360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62" t="s">
        <v>2129</v>
      </c>
      <c r="H90" s="3663"/>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0" t="s">
        <v>1419</v>
      </c>
      <c r="F91" s="3581"/>
      <c r="G91" s="358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0" t="s">
        <v>1422</v>
      </c>
      <c r="F92" s="3581"/>
      <c r="G92" s="3581"/>
      <c r="H92" s="3590"/>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5.000000000000001E-3</v>
      </c>
      <c r="E93" s="3580" t="s">
        <v>1406</v>
      </c>
      <c r="F93" s="3581"/>
      <c r="G93" s="3581"/>
      <c r="H93" s="359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1" t="s">
        <v>1426</v>
      </c>
      <c r="F94" s="3592"/>
      <c r="G94" s="3592"/>
      <c r="H94" s="359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4" t="s">
        <v>1428</v>
      </c>
      <c r="B100" s="3565"/>
      <c r="C100" s="3565"/>
      <c r="D100" s="3582"/>
      <c r="E100" s="3565" t="s">
        <v>1429</v>
      </c>
      <c r="F100" s="3565"/>
      <c r="G100" s="3565"/>
      <c r="H100" s="3582"/>
      <c r="I100" s="129"/>
    </row>
    <row r="101" spans="1:35" ht="18.75" customHeight="1">
      <c r="A101" s="3643" t="s">
        <v>1430</v>
      </c>
      <c r="B101" s="3644"/>
      <c r="C101" s="2585" t="str">
        <f>C4</f>
        <v>比较法-办公</v>
      </c>
      <c r="D101" s="2586" t="str">
        <f>D4</f>
        <v>收益法 (元)</v>
      </c>
      <c r="E101" s="3657" t="s">
        <v>1431</v>
      </c>
      <c r="F101" s="3614"/>
      <c r="G101" s="1827" t="s">
        <v>1432</v>
      </c>
      <c r="H101" s="2595" t="e">
        <f ca="1">H118</f>
        <v>#REF!</v>
      </c>
      <c r="I101" s="129"/>
    </row>
    <row r="102" spans="1:35" ht="18.75" customHeight="1">
      <c r="A102" s="3616" t="s">
        <v>1433</v>
      </c>
      <c r="B102" s="2584" t="s">
        <v>1432</v>
      </c>
      <c r="C102" s="2585">
        <f ca="1">IF(D32="楼面单价",ROUND(C19,0),C19)</f>
        <v>163</v>
      </c>
      <c r="D102" s="2586">
        <f ca="1">IF(D32="楼面单价",ROUND(D19,0),D19)</f>
        <v>46.944000000000003</v>
      </c>
      <c r="E102" s="3657"/>
      <c r="F102" s="3614"/>
      <c r="G102" s="1827" t="s">
        <v>1434</v>
      </c>
      <c r="H102" s="2555" t="e">
        <f ca="1">I118</f>
        <v>#REF!</v>
      </c>
      <c r="I102" s="129"/>
    </row>
    <row r="103" spans="1:35" ht="42.75" customHeight="1">
      <c r="A103" s="3616"/>
      <c r="B103" s="2584" t="s">
        <v>1434</v>
      </c>
      <c r="C103" s="2587">
        <f ca="1">C20</f>
        <v>24623</v>
      </c>
      <c r="D103" s="2588">
        <f ca="1">D20</f>
        <v>7109</v>
      </c>
      <c r="E103" s="3651" t="s">
        <v>1435</v>
      </c>
      <c r="F103" s="3652"/>
      <c r="G103" s="1828" t="s">
        <v>1436</v>
      </c>
      <c r="H103" s="2595">
        <f>IF(D36="正常操作",H104+H105+H106,H105+H106)</f>
        <v>0</v>
      </c>
      <c r="I103" s="129"/>
    </row>
    <row r="104" spans="1:35" ht="18.75" customHeight="1">
      <c r="A104" s="3616"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7"/>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3" t="str">
        <f>IF(项目基本情况!E8="已注销","——","3.房地产抵押价值")</f>
        <v>3.房地产抵押价值</v>
      </c>
      <c r="F107" s="3614"/>
      <c r="G107" s="1827" t="s">
        <v>1432</v>
      </c>
      <c r="H107" s="2595" t="e">
        <f ca="1">IF(E107="——","——",H101-H103)</f>
        <v>#REF!</v>
      </c>
      <c r="I107" s="129"/>
    </row>
    <row r="108" spans="1:35" ht="18.75" customHeight="1">
      <c r="A108" s="129"/>
      <c r="B108" s="129"/>
      <c r="C108" s="129"/>
      <c r="D108" s="129"/>
      <c r="E108" s="3613"/>
      <c r="F108" s="3614"/>
      <c r="G108" s="1827" t="s">
        <v>1434</v>
      </c>
      <c r="H108" s="2555">
        <f ca="1">IF(H107=H101,H102,ROUND(H107*10000/'数据-汇总表'!E3,0))</f>
        <v>0</v>
      </c>
      <c r="I108" s="129"/>
    </row>
    <row r="109" spans="1:35" ht="18.75" customHeight="1">
      <c r="A109" s="129"/>
      <c r="B109" s="129"/>
      <c r="C109" s="129"/>
      <c r="D109" s="129"/>
      <c r="E109" s="3613" t="str">
        <f>IF(项目基本情况!E8="已注销及未注销","4.抵押担保权已注销时的房地产抵押价值",IF(项目基本情况!E8="已注销","3.抵押担保权已注销时的房地产抵押价值","——"))</f>
        <v>——</v>
      </c>
      <c r="F109" s="3614"/>
      <c r="G109" s="1827" t="s">
        <v>1432</v>
      </c>
      <c r="H109" s="2598" t="str">
        <f>IF(E109="——","——",H101-H105-H106)</f>
        <v>——</v>
      </c>
      <c r="I109" s="129"/>
    </row>
    <row r="110" spans="1:35" ht="18.75" customHeight="1">
      <c r="A110" s="129"/>
      <c r="B110" s="129"/>
      <c r="C110" s="129"/>
      <c r="D110" s="129"/>
      <c r="E110" s="3613"/>
      <c r="F110" s="3614"/>
      <c r="G110" s="1827" t="s">
        <v>1434</v>
      </c>
      <c r="H110" s="2555" t="str">
        <f>IF(H109="——","——",ROUND(H109*10000/'数据-汇总表'!E3,0))</f>
        <v>——</v>
      </c>
      <c r="I110" s="129"/>
    </row>
    <row r="111" spans="1:35" ht="18.75" customHeight="1">
      <c r="A111" s="129"/>
      <c r="B111" s="129"/>
      <c r="C111" s="129"/>
      <c r="D111" s="129"/>
      <c r="E111" s="3645" t="str">
        <f>IF(项目基本情况!E9="抵押净值",IF(OR(项目基本情况!E8="已注销",项目基本情况!E8="房地产抵押价值"),"4.抵押净值","5.抵押净值"),"——")</f>
        <v>——</v>
      </c>
      <c r="F111" s="3615"/>
      <c r="G111" s="1827" t="s">
        <v>1432</v>
      </c>
      <c r="H111" s="2595" t="str">
        <f>IF(E111="——","——",N59)</f>
        <v>——</v>
      </c>
      <c r="I111" s="129"/>
    </row>
    <row r="112" spans="1:35" ht="18.75" customHeight="1" thickBot="1">
      <c r="A112" s="129"/>
      <c r="B112" s="129"/>
      <c r="C112" s="129"/>
      <c r="D112" s="129"/>
      <c r="E112" s="3646"/>
      <c r="F112" s="3647"/>
      <c r="G112" s="1830" t="s">
        <v>1434</v>
      </c>
      <c r="H112" s="2599" t="str">
        <f>IF(E111="——","——",N61)</f>
        <v>——</v>
      </c>
      <c r="I112" s="129"/>
    </row>
    <row r="113" spans="1:27" ht="18.75" customHeight="1">
      <c r="A113" s="129"/>
      <c r="B113" s="129"/>
      <c r="C113" s="129"/>
      <c r="D113" s="129"/>
      <c r="E113" s="3618" t="s">
        <v>1440</v>
      </c>
      <c r="F113" s="3618"/>
      <c r="G113" s="3618"/>
      <c r="H113" s="3618"/>
      <c r="I113" s="129"/>
    </row>
    <row r="114" spans="1:27" ht="3.75" customHeight="1">
      <c r="A114" s="1747"/>
      <c r="B114" s="1747"/>
      <c r="C114" s="1747"/>
      <c r="D114" s="1747"/>
      <c r="E114" s="1809"/>
      <c r="F114" s="1809"/>
      <c r="G114" s="1809"/>
      <c r="H114" s="1809"/>
      <c r="I114" s="1747"/>
    </row>
    <row r="115" spans="1:27" ht="18.75" customHeight="1">
      <c r="A115" s="3628" t="s">
        <v>1442</v>
      </c>
      <c r="B115" s="3629"/>
      <c r="C115" s="3629"/>
      <c r="D115" s="3629"/>
      <c r="E115" s="3629"/>
      <c r="F115" s="3629"/>
      <c r="G115" s="3629"/>
      <c r="H115" s="3629"/>
      <c r="I115" s="3630"/>
    </row>
    <row r="116" spans="1:27" ht="27" customHeight="1">
      <c r="A116" s="3584" t="s">
        <v>1443</v>
      </c>
      <c r="B116" s="3619" t="s">
        <v>1444</v>
      </c>
      <c r="C116" s="3619" t="s">
        <v>1445</v>
      </c>
      <c r="D116" s="3632" t="s">
        <v>1446</v>
      </c>
      <c r="E116" s="3633"/>
      <c r="F116" s="3627" t="s">
        <v>1447</v>
      </c>
      <c r="G116" s="3627"/>
      <c r="H116" s="3584" t="s">
        <v>1448</v>
      </c>
      <c r="I116" s="3584"/>
    </row>
    <row r="117" spans="1:27" ht="18.75" customHeight="1">
      <c r="A117" s="3584"/>
      <c r="B117" s="3620"/>
      <c r="C117" s="3620"/>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66.03</v>
      </c>
      <c r="C118" s="2329">
        <f>M19</f>
        <v>33.020000000000003</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4" t="s">
        <v>1452</v>
      </c>
      <c r="B119" s="3584"/>
      <c r="C119" s="3584"/>
      <c r="D119" s="3624" t="e">
        <f ca="1">NUMBERSTRING(INT(D118*10000),2)&amp;"元整"</f>
        <v>#REF!</v>
      </c>
      <c r="E119" s="3626"/>
      <c r="F119" s="3624" t="e">
        <f ca="1">NUMBERSTRING(INT(F118*10000),2)&amp;"元整"</f>
        <v>#REF!</v>
      </c>
      <c r="G119" s="3626"/>
      <c r="H119" s="3624" t="e">
        <f ca="1">NUMBERSTRING(INT(H118*10000),2)&amp;"元整"</f>
        <v>#REF!</v>
      </c>
      <c r="I119" s="3626"/>
    </row>
    <row r="120" spans="1:27" ht="18.75" customHeight="1">
      <c r="A120" s="3648" t="str">
        <f>IF(项目基本情况!B9="房地产市场价值","",MID(E103,3,LEN(E103)-2))</f>
        <v/>
      </c>
      <c r="B120" s="3649"/>
      <c r="C120" s="3650"/>
      <c r="D120" s="3648">
        <f>H103</f>
        <v>0</v>
      </c>
      <c r="E120" s="3649"/>
      <c r="F120" s="3649"/>
      <c r="G120" s="3649"/>
      <c r="H120" s="3649"/>
      <c r="I120" s="3650"/>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24" t="s">
        <v>1452</v>
      </c>
      <c r="B121" s="3625"/>
      <c r="C121" s="3626"/>
      <c r="D121" s="3624" t="str">
        <f>IF(D120=0,"零元整",NUMBERSTRING(INT(D120*10000),2)&amp;"元整")</f>
        <v>零元整</v>
      </c>
      <c r="E121" s="3625"/>
      <c r="F121" s="3625"/>
      <c r="G121" s="3625"/>
      <c r="H121" s="3625"/>
      <c r="I121" s="3626"/>
      <c r="AA121" s="725"/>
    </row>
    <row r="122" spans="1:27" ht="18.75" customHeight="1">
      <c r="A122" s="3615" t="str">
        <f>IF(项目基本情况!B9="房地产市场价值","",MID(E107,3,LEN(E107)-2))</f>
        <v/>
      </c>
      <c r="B122" s="3615"/>
      <c r="C122" s="3615"/>
      <c r="D122" s="3648" t="e">
        <f ca="1">H107</f>
        <v>#REF!</v>
      </c>
      <c r="E122" s="3649"/>
      <c r="F122" s="3649"/>
      <c r="G122" s="3649"/>
      <c r="H122" s="3649"/>
      <c r="I122" s="3650"/>
      <c r="AA122" s="725"/>
    </row>
    <row r="123" spans="1:27" ht="18.75" customHeight="1">
      <c r="A123" s="3584" t="s">
        <v>1452</v>
      </c>
      <c r="B123" s="3584"/>
      <c r="C123" s="3584"/>
      <c r="D123" s="3624" t="e">
        <f ca="1">NUMBERSTRING(INT(D122*10000),2)&amp;"元整"</f>
        <v>#REF!</v>
      </c>
      <c r="E123" s="3625"/>
      <c r="F123" s="3625"/>
      <c r="G123" s="3625"/>
      <c r="H123" s="3625"/>
      <c r="I123" s="3626"/>
      <c r="AA123" s="725"/>
    </row>
    <row r="124" spans="1:27" ht="18.75" customHeight="1">
      <c r="A124" s="3615" t="str">
        <f>IF(项目基本情况!B9="房地产市场价值","",MID(E109,3,LEN(E109)-2))</f>
        <v/>
      </c>
      <c r="B124" s="3615"/>
      <c r="C124" s="3615"/>
      <c r="D124" s="3648" t="str">
        <f>H109</f>
        <v>——</v>
      </c>
      <c r="E124" s="3649"/>
      <c r="F124" s="3649"/>
      <c r="G124" s="3649"/>
      <c r="H124" s="3649"/>
      <c r="I124" s="3650"/>
      <c r="AA124" s="725"/>
    </row>
    <row r="125" spans="1:27" ht="18.75" customHeight="1">
      <c r="A125" s="3584" t="s">
        <v>1452</v>
      </c>
      <c r="B125" s="3584"/>
      <c r="C125" s="3584"/>
      <c r="D125" s="3624" t="e">
        <f>NUMBERSTRING(INT(D124*10000),2)&amp;"元整"</f>
        <v>#VALUE!</v>
      </c>
      <c r="E125" s="3625"/>
      <c r="F125" s="3625"/>
      <c r="G125" s="3625"/>
      <c r="H125" s="3625"/>
      <c r="I125" s="3626"/>
      <c r="AA125" s="725"/>
    </row>
    <row r="126" spans="1:27" ht="18.75" customHeight="1">
      <c r="A126" s="3615" t="str">
        <f>IF(项目基本情况!B9="房地产市场价值","",MID(E111,3,LEN(E111)-2))</f>
        <v/>
      </c>
      <c r="B126" s="3615"/>
      <c r="C126" s="3615"/>
      <c r="D126" s="3648" t="str">
        <f>H111</f>
        <v>——</v>
      </c>
      <c r="E126" s="3649"/>
      <c r="F126" s="3649"/>
      <c r="G126" s="3649"/>
      <c r="H126" s="3649"/>
      <c r="I126" s="3650"/>
      <c r="AA126" s="725"/>
    </row>
    <row r="127" spans="1:27" ht="18.75" customHeight="1">
      <c r="A127" s="3584" t="s">
        <v>1452</v>
      </c>
      <c r="B127" s="3584"/>
      <c r="C127" s="3584"/>
      <c r="D127" s="3624" t="e">
        <f>NUMBERSTRING(INT(D126*10000),2)&amp;"元整"</f>
        <v>#VALUE!</v>
      </c>
      <c r="E127" s="3625"/>
      <c r="F127" s="3625"/>
      <c r="G127" s="3625"/>
      <c r="H127" s="3625"/>
      <c r="I127" s="3626"/>
      <c r="AA127" s="725"/>
    </row>
    <row r="128" spans="1:27" ht="21.75" customHeight="1">
      <c r="A128" s="3631" t="s">
        <v>1453</v>
      </c>
      <c r="B128" s="3631"/>
      <c r="C128" s="3631"/>
      <c r="D128" s="3631"/>
      <c r="E128" s="3631"/>
      <c r="F128" s="3631"/>
      <c r="G128" s="3631"/>
      <c r="H128" s="3631"/>
      <c r="I128" s="363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302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45737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200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200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66.03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66.03</v>
      </c>
      <c r="E19" s="211">
        <f>'数据-取费表'!B31</f>
        <v>300</v>
      </c>
      <c r="F19" s="231"/>
      <c r="G19" s="1856"/>
    </row>
    <row r="20" spans="1:7" s="214" customFormat="1" ht="13.5" customHeight="1">
      <c r="A20" s="255" t="s">
        <v>1493</v>
      </c>
      <c r="B20" s="210" t="s">
        <v>1494</v>
      </c>
      <c r="C20" s="232">
        <f ca="1">ROUND((C5+C19)*F20,0)</f>
        <v>4</v>
      </c>
      <c r="D20" s="232"/>
      <c r="E20" s="232"/>
      <c r="F20" s="233">
        <f>'数据-取费表'!B37</f>
        <v>0.02</v>
      </c>
      <c r="G20" s="234" t="s">
        <v>1495</v>
      </c>
    </row>
    <row r="21" spans="1:7" s="214" customFormat="1" ht="13.5" customHeight="1">
      <c r="A21" s="255" t="s">
        <v>1496</v>
      </c>
      <c r="B21" s="210" t="s">
        <v>1497</v>
      </c>
      <c r="C21" s="235">
        <f>F21</f>
        <v>0.05</v>
      </c>
      <c r="D21" s="236" t="s">
        <v>1498</v>
      </c>
      <c r="E21" s="232"/>
      <c r="F21" s="233">
        <f>'数据-取费表'!B38</f>
        <v>0.05</v>
      </c>
      <c r="G21" s="234" t="s">
        <v>1499</v>
      </c>
    </row>
    <row r="22" spans="1:7" s="214" customFormat="1" ht="13.5" customHeight="1">
      <c r="A22" s="255" t="s">
        <v>1500</v>
      </c>
      <c r="B22" s="210" t="s">
        <v>1501</v>
      </c>
      <c r="C22" s="1104">
        <f ca="1">ROUND(SUM(C23:C25),0)</f>
        <v>9</v>
      </c>
      <c r="D22" s="235">
        <f ca="1">C26</f>
        <v>1.1000000000000001E-3</v>
      </c>
      <c r="E22" s="236" t="s">
        <v>1498</v>
      </c>
      <c r="F22" s="237">
        <f ca="1">'数据-取费表'!B40</f>
        <v>4.3500000000000004E-2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1.1000000000000001E-3</v>
      </c>
      <c r="D26" s="238"/>
      <c r="E26" s="241"/>
      <c r="F26" s="239"/>
      <c r="G26" s="243"/>
    </row>
    <row r="27" spans="1:7" s="214" customFormat="1" ht="24.75">
      <c r="A27" s="255" t="s">
        <v>1512</v>
      </c>
      <c r="B27" s="244" t="s">
        <v>1513</v>
      </c>
      <c r="C27" s="245">
        <f ca="1">C28</f>
        <v>31</v>
      </c>
      <c r="D27" s="235">
        <f ca="1">C29</f>
        <v>7.4999999999999997E-3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31</v>
      </c>
      <c r="D28" s="235"/>
      <c r="E28" s="236"/>
      <c r="F28" s="246"/>
      <c r="G28" s="247"/>
    </row>
    <row r="29" spans="1:7" s="214" customFormat="1" ht="13.5" customHeight="1">
      <c r="A29" s="780" t="s">
        <v>347</v>
      </c>
      <c r="B29" s="248" t="s">
        <v>1517</v>
      </c>
      <c r="C29" s="238">
        <f ca="1">ROUND(C21*F27*'数据-取费表'!B21/'数据-取费表'!B20,4)</f>
        <v>7.4999999999999997E-3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277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26</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1</v>
      </c>
      <c r="D37" s="217">
        <f ca="1">D19</f>
        <v>66.03</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0.05</v>
      </c>
      <c r="D40" s="236" t="s">
        <v>1539</v>
      </c>
      <c r="E40" s="232"/>
      <c r="F40" s="233">
        <f>F21</f>
        <v>0.05</v>
      </c>
      <c r="G40" s="234" t="s">
        <v>1540</v>
      </c>
    </row>
    <row r="41" spans="1:7" s="214" customFormat="1" ht="13.5" customHeight="1">
      <c r="A41" s="255" t="s">
        <v>1541</v>
      </c>
      <c r="B41" s="210" t="s">
        <v>1542</v>
      </c>
      <c r="C41" s="232">
        <f ca="1">ROUND(SUM(C42:C43),0)</f>
        <v>1</v>
      </c>
      <c r="D41" s="235">
        <f ca="1">C44</f>
        <v>1.1000000000000001E-3</v>
      </c>
      <c r="E41" s="236" t="s">
        <v>1539</v>
      </c>
      <c r="F41" s="237">
        <f ca="1">F22</f>
        <v>4.3500000000000004E-2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v>
      </c>
      <c r="D42" s="238"/>
      <c r="E42" s="238"/>
      <c r="F42" s="239"/>
      <c r="G42" s="3664" t="s">
        <v>1544</v>
      </c>
    </row>
    <row r="43" spans="1:7" ht="13.5" customHeight="1">
      <c r="A43" s="780" t="s">
        <v>347</v>
      </c>
      <c r="B43" s="215" t="s">
        <v>1545</v>
      </c>
      <c r="C43" s="238">
        <f ca="1">ROUND(IF('数据-取费表'!B22&lt;=1,C39*F22*'数据-取费表'!B21/2,C39*(POWER((1+F22),'数据-取费表'!B21/2)-1)),0)</f>
        <v>0</v>
      </c>
      <c r="D43" s="238"/>
      <c r="E43" s="238"/>
      <c r="F43" s="239"/>
      <c r="G43" s="3665"/>
    </row>
    <row r="44" spans="1:7" ht="13.5" customHeight="1">
      <c r="A44" s="780" t="s">
        <v>348</v>
      </c>
      <c r="B44" s="215" t="s">
        <v>1546</v>
      </c>
      <c r="C44" s="238">
        <f ca="1">ROUND(IF('数据-取费表'!B22&lt;=1,C40*F22*'数据-取费表'!B21/2,C40*(POWER((1+F22),'数据-取费表'!B21/2)-1)),4)</f>
        <v>1.1000000000000001E-3</v>
      </c>
      <c r="D44" s="238"/>
      <c r="E44" s="238"/>
      <c r="F44" s="239"/>
      <c r="G44" s="3666"/>
    </row>
    <row r="45" spans="1:7" s="214" customFormat="1" ht="13.5" customHeight="1">
      <c r="A45" s="255" t="s">
        <v>1547</v>
      </c>
      <c r="B45" s="244" t="s">
        <v>1513</v>
      </c>
      <c r="C45" s="245">
        <f ca="1">C46</f>
        <v>4</v>
      </c>
      <c r="D45" s="235">
        <f ca="1">C47</f>
        <v>7.4999999999999997E-3</v>
      </c>
      <c r="E45" s="236" t="s">
        <v>1539</v>
      </c>
      <c r="F45" s="246">
        <f ca="1">F27</f>
        <v>0.15</v>
      </c>
      <c r="G45" s="247" t="s">
        <v>1548</v>
      </c>
    </row>
    <row r="46" spans="1:7" s="214" customFormat="1" ht="13.5" customHeight="1">
      <c r="A46" s="780" t="s">
        <v>346</v>
      </c>
      <c r="B46" s="248" t="s">
        <v>1549</v>
      </c>
      <c r="C46" s="249">
        <f ca="1">ROUND((C33+C39)*F27,0)</f>
        <v>4</v>
      </c>
      <c r="D46" s="263"/>
      <c r="E46" s="236"/>
      <c r="F46" s="246"/>
      <c r="G46" s="247"/>
    </row>
    <row r="47" spans="1:7" s="214" customFormat="1" ht="13.5" customHeight="1">
      <c r="A47" s="780" t="s">
        <v>347</v>
      </c>
      <c r="B47" s="248" t="s">
        <v>1550</v>
      </c>
      <c r="C47" s="238">
        <f ca="1">ROUND(C40*F27,4)</f>
        <v>7.4999999999999997E-3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38</v>
      </c>
      <c r="D49" s="232"/>
      <c r="E49" s="232"/>
      <c r="F49" s="264"/>
      <c r="G49" s="234" t="s">
        <v>1554</v>
      </c>
    </row>
    <row r="50" spans="1:7" s="258" customFormat="1" ht="24">
      <c r="A50" s="255" t="s">
        <v>1555</v>
      </c>
      <c r="B50" s="210" t="s">
        <v>1556</v>
      </c>
      <c r="C50" s="232"/>
      <c r="D50" s="232"/>
      <c r="E50" s="232"/>
      <c r="F50" s="264">
        <f>IF('数据-取费表'!B24=0,'数据-取费表'!N16,1)</f>
        <v>0.65</v>
      </c>
      <c r="G50" s="247" t="s">
        <v>1557</v>
      </c>
    </row>
    <row r="51" spans="1:7" ht="16.5" customHeight="1">
      <c r="A51" s="255" t="s">
        <v>1558</v>
      </c>
      <c r="B51" s="210" t="s">
        <v>1559</v>
      </c>
      <c r="C51" s="232">
        <f ca="1">ROUND(C49*F50,0)</f>
        <v>25</v>
      </c>
      <c r="D51" s="232"/>
      <c r="E51" s="232"/>
      <c r="F51" s="264"/>
      <c r="G51" s="234" t="s">
        <v>1560</v>
      </c>
    </row>
    <row r="52" spans="1:7" s="208" customFormat="1" ht="16.5" thickBot="1">
      <c r="A52" s="265" t="s">
        <v>1561</v>
      </c>
      <c r="B52" s="266"/>
      <c r="C52" s="267">
        <f ca="1">C31+C51</f>
        <v>302</v>
      </c>
      <c r="D52" s="266"/>
      <c r="E52" s="266"/>
      <c r="F52" s="266"/>
      <c r="G52" s="268"/>
    </row>
    <row r="55" spans="1:7" ht="15">
      <c r="B55" s="270" t="s">
        <v>1562</v>
      </c>
      <c r="C55" s="271"/>
    </row>
    <row r="56" spans="1:7">
      <c r="B56" s="273" t="s">
        <v>802</v>
      </c>
      <c r="C56" s="275">
        <f ca="1">1-C57</f>
        <v>0.91700000000000004</v>
      </c>
    </row>
    <row r="57" spans="1:7">
      <c r="B57" s="273" t="s">
        <v>803</v>
      </c>
      <c r="C57" s="274">
        <f ca="1">ROUND(C51/C52,3)</f>
        <v>8.3000000000000004E-2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1" t="str">
        <f>项目基本情况!B1</f>
        <v>北京市房地产市场价值预评估</v>
      </c>
      <c r="C37" s="3481"/>
      <c r="D37" s="3481"/>
      <c r="E37" s="3481"/>
      <c r="F37" s="3481"/>
      <c r="G37" s="3481"/>
      <c r="H37" s="3481"/>
      <c r="I37" s="348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226</v>
      </c>
      <c r="C2" s="276" t="s">
        <v>1595</v>
      </c>
      <c r="D2" s="276"/>
      <c r="E2" s="2806"/>
      <c r="F2" s="2806"/>
      <c r="G2" s="2806"/>
      <c r="H2" s="2806"/>
      <c r="I2" s="2806"/>
      <c r="J2" s="2806"/>
      <c r="K2" s="2806"/>
    </row>
    <row r="3" spans="1:33" ht="18" customHeight="1" thickBot="1">
      <c r="A3" s="203" t="s">
        <v>1464</v>
      </c>
      <c r="B3" s="204">
        <f ca="1">ROUND(B2*10000/IF(C1="",'数据-汇总表'!E3,INDIRECT("'数据-取费表'!K"&amp;$K$1)),0)</f>
        <v>34227</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66.03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66.03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-199</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66.03</v>
      </c>
      <c r="E20" s="21">
        <f>'数据-取费表'!B28</f>
        <v>200</v>
      </c>
      <c r="F20" s="804"/>
      <c r="G20" s="12"/>
      <c r="H20" s="809"/>
      <c r="I20" s="809"/>
      <c r="J20" s="809"/>
      <c r="K20" s="810"/>
    </row>
    <row r="21" spans="1:33" s="803" customFormat="1" ht="13.5" customHeight="1">
      <c r="A21" s="790" t="s">
        <v>357</v>
      </c>
      <c r="B21" s="813" t="s">
        <v>1628</v>
      </c>
      <c r="C21" s="814">
        <f ca="1">C16+C17+C18</f>
        <v>-199</v>
      </c>
      <c r="D21" s="815"/>
      <c r="E21" s="281"/>
      <c r="F21" s="281"/>
      <c r="G21" s="131" t="s">
        <v>1629</v>
      </c>
      <c r="H21" s="807"/>
      <c r="I21" s="807"/>
      <c r="J21" s="807"/>
      <c r="K21" s="808"/>
    </row>
    <row r="22" spans="1:33" s="803" customFormat="1" ht="13.5" customHeight="1">
      <c r="A22" s="790" t="s">
        <v>1601</v>
      </c>
      <c r="B22" s="813" t="s">
        <v>1630</v>
      </c>
      <c r="C22" s="814">
        <f ca="1">ROUND(C21*F22,0)</f>
        <v>-4</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0.05</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4.3500000000000004E-2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-30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226</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9" t="s">
        <v>694</v>
      </c>
      <c r="C6" s="1074">
        <f ca="1">ROUND(F6*F8*F7*(1-F9)/10000,0)</f>
        <v>0</v>
      </c>
      <c r="D6" s="155" t="s">
        <v>2109</v>
      </c>
      <c r="E6" s="302" t="s">
        <v>696</v>
      </c>
      <c r="F6" s="303">
        <f ca="1">INDIRECT("'数据-取费表'!u"&amp;$G$1)</f>
        <v>0</v>
      </c>
      <c r="G6" s="1384"/>
      <c r="H6" s="1069" t="s">
        <v>398</v>
      </c>
      <c r="I6" s="3669" t="s">
        <v>694</v>
      </c>
      <c r="J6" s="301">
        <f ca="1">ROUND(M6*M8*M7*(1-M9)/10000,0)</f>
        <v>0</v>
      </c>
      <c r="K6" s="155" t="s">
        <v>2108</v>
      </c>
      <c r="L6" s="302" t="s">
        <v>696</v>
      </c>
      <c r="M6" s="303">
        <f ca="1">INDIRECT("'数据-取费表'!z"&amp;$G$1)</f>
        <v>0</v>
      </c>
    </row>
    <row r="7" spans="1:37" ht="18" customHeight="1">
      <c r="A7" s="1073"/>
      <c r="B7" s="3670"/>
      <c r="C7" s="1075"/>
      <c r="D7" s="307"/>
      <c r="E7" s="1076" t="s">
        <v>697</v>
      </c>
      <c r="F7" s="303">
        <f ca="1">IF(INDIRECT("'数据-取费表'!ah"&amp;$G$1)="",INDIRECT("'数据-取费表'!k"&amp;$G$1),INDIRECT("'数据-取费表'!ah"&amp;$G$1))</f>
        <v>0</v>
      </c>
      <c r="G7" s="1384"/>
      <c r="H7" s="304"/>
      <c r="I7" s="3670"/>
      <c r="J7" s="306"/>
      <c r="K7" s="307"/>
      <c r="L7" s="302" t="s">
        <v>697</v>
      </c>
      <c r="M7" s="303">
        <f ca="1">F7</f>
        <v>0</v>
      </c>
    </row>
    <row r="8" spans="1:37" ht="18" customHeight="1">
      <c r="A8" s="304"/>
      <c r="B8" s="3670"/>
      <c r="C8" s="306"/>
      <c r="D8" s="307"/>
      <c r="E8" s="302" t="s">
        <v>698</v>
      </c>
      <c r="F8" s="303">
        <f ca="1">INDIRECT("'数据-取费表'!ai"&amp;$G$1)</f>
        <v>0</v>
      </c>
      <c r="G8" s="1384"/>
      <c r="H8" s="304"/>
      <c r="I8" s="3670"/>
      <c r="J8" s="306"/>
      <c r="K8" s="307"/>
      <c r="L8" s="302" t="s">
        <v>698</v>
      </c>
      <c r="M8" s="303">
        <f ca="1">INDIRECT("'数据-取费表'!ai"&amp;$G$1)</f>
        <v>0</v>
      </c>
    </row>
    <row r="9" spans="1:37" ht="18" customHeight="1">
      <c r="A9" s="304"/>
      <c r="B9" s="3671"/>
      <c r="C9" s="306"/>
      <c r="D9" s="307"/>
      <c r="E9" s="302" t="s">
        <v>699</v>
      </c>
      <c r="F9" s="312">
        <f ca="1">INDIRECT("'数据-取费表'!w"&amp;$G$1)</f>
        <v>0</v>
      </c>
      <c r="G9" s="1384"/>
      <c r="H9" s="304"/>
      <c r="I9" s="367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0.05</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1.1000000000000001E-3</v>
      </c>
      <c r="D24" s="329" t="str">
        <f>IF(F23&lt;=1,"销售费用×利率×(建设周期÷2)","销售费用×((1+利率)^(建设周期÷2)-1)")</f>
        <v>销售费用×利率×(建设周期÷2)</v>
      </c>
      <c r="E24" s="302" t="s">
        <v>747</v>
      </c>
      <c r="F24" s="331">
        <f ca="1">'数据-取费表'!B40</f>
        <v>4.3500000000000004E-2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7" t="s">
        <v>837</v>
      </c>
      <c r="L53" s="3668"/>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15" customHeight="1">
      <c r="A2" s="1385" t="s">
        <v>2317</v>
      </c>
      <c r="B2" s="2843" t="e">
        <f>IF(D2="——",C40,C40+E2)</f>
        <v>#DIV/0!</v>
      </c>
      <c r="C2" s="2844" t="s">
        <v>2318</v>
      </c>
      <c r="D2" s="3443" t="s">
        <v>3359</v>
      </c>
      <c r="E2" s="3444"/>
      <c r="F2" s="2846"/>
      <c r="G2" s="2847"/>
      <c r="H2" s="2848"/>
      <c r="I2" s="2849"/>
      <c r="J2" s="3678" t="s">
        <v>2319</v>
      </c>
      <c r="K2" s="3679"/>
      <c r="L2" s="2850" t="s">
        <v>2320</v>
      </c>
      <c r="M2" s="2850" t="s">
        <v>2321</v>
      </c>
      <c r="N2" s="2850" t="s">
        <v>2322</v>
      </c>
      <c r="O2" s="2850" t="s">
        <v>2323</v>
      </c>
      <c r="P2" s="2850" t="s">
        <v>2324</v>
      </c>
      <c r="Q2" s="2851" t="s">
        <v>2325</v>
      </c>
      <c r="R2" s="2852" t="s">
        <v>2326</v>
      </c>
      <c r="S2" s="2841"/>
      <c r="T2" s="2841"/>
      <c r="U2" s="2841"/>
      <c r="V2" s="2849"/>
    </row>
    <row r="3" spans="1:22" s="2853" customFormat="1" ht="13.15" customHeight="1">
      <c r="A3" s="2854" t="s">
        <v>2327</v>
      </c>
      <c r="B3" s="2855" t="e">
        <f>ROUND(B2*10000/B4,0)</f>
        <v>#DIV/0!</v>
      </c>
      <c r="C3" s="2844" t="s">
        <v>2328</v>
      </c>
      <c r="D3" s="2844"/>
      <c r="E3" s="2845"/>
      <c r="F3" s="2846"/>
      <c r="G3" s="2847"/>
      <c r="H3" s="2848"/>
      <c r="I3" s="2849"/>
      <c r="J3" s="3680" t="s">
        <v>2329</v>
      </c>
      <c r="K3" s="3681"/>
      <c r="L3" s="2856"/>
      <c r="M3" s="2856"/>
      <c r="N3" s="2856"/>
      <c r="O3" s="2856"/>
      <c r="P3" s="2856"/>
      <c r="Q3" s="2857"/>
      <c r="R3" s="2858">
        <f>SUM(L3:Q3)</f>
        <v>0</v>
      </c>
      <c r="S3" s="2841"/>
      <c r="T3" s="2841"/>
      <c r="U3" s="2841"/>
      <c r="V3" s="2849"/>
    </row>
    <row r="4" spans="1:22" s="2853" customFormat="1" ht="13.15" customHeight="1">
      <c r="A4" s="2859" t="s">
        <v>2330</v>
      </c>
      <c r="B4" s="2860"/>
      <c r="C4" s="2844"/>
      <c r="D4" s="2844"/>
      <c r="E4" s="2845"/>
      <c r="F4" s="2846"/>
      <c r="G4" s="2847"/>
      <c r="H4" s="2848"/>
      <c r="I4" s="2849"/>
      <c r="J4" s="3680" t="s">
        <v>2331</v>
      </c>
      <c r="K4" s="3681"/>
      <c r="L4" s="2861"/>
      <c r="M4" s="2861"/>
      <c r="N4" s="2861"/>
      <c r="O4" s="2861"/>
      <c r="P4" s="2861"/>
      <c r="Q4" s="2862"/>
      <c r="R4" s="2863">
        <f>SUM(L4:Q4)</f>
        <v>0</v>
      </c>
      <c r="S4" s="2841"/>
      <c r="T4" s="2841"/>
      <c r="U4" s="2841"/>
      <c r="V4" s="2849"/>
    </row>
    <row r="5" spans="1:22" s="2853" customFormat="1" ht="13.15"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15" customHeight="1" thickBot="1">
      <c r="A6" s="3686" t="s">
        <v>2335</v>
      </c>
      <c r="B6" s="3687"/>
      <c r="C6" s="3688"/>
      <c r="D6" s="2870"/>
      <c r="E6" s="2871"/>
      <c r="F6" s="2872"/>
      <c r="G6" s="2873"/>
      <c r="H6" s="2848"/>
      <c r="I6" s="2849"/>
      <c r="J6" s="3672">
        <v>1</v>
      </c>
      <c r="K6" s="3673"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15" customHeight="1">
      <c r="A7" s="2876" t="s">
        <v>2345</v>
      </c>
      <c r="B7" s="2877"/>
      <c r="C7" s="2878"/>
      <c r="D7" s="2879">
        <f>SUM(D9,D10,D11,D17,0)</f>
        <v>0</v>
      </c>
      <c r="E7" s="2880" t="e">
        <f>E9+E10+E11+E17</f>
        <v>#DIV/0!</v>
      </c>
      <c r="F7" s="2881"/>
      <c r="G7" s="2882"/>
      <c r="H7" s="2848"/>
      <c r="I7" s="2849"/>
      <c r="J7" s="3672"/>
      <c r="K7" s="3674"/>
      <c r="L7" s="2883" t="s">
        <v>2346</v>
      </c>
      <c r="M7" s="2884"/>
      <c r="N7" s="2860"/>
      <c r="O7" s="2885"/>
      <c r="P7" s="2885"/>
      <c r="Q7" s="2886">
        <v>365</v>
      </c>
      <c r="R7" s="2887">
        <f>ROUND(M7*N7*O7*P7*Q7/10000,0)</f>
        <v>0</v>
      </c>
      <c r="S7" s="2841"/>
      <c r="T7" s="2841" t="s">
        <v>2347</v>
      </c>
      <c r="U7" s="2841"/>
      <c r="V7" s="2849"/>
    </row>
    <row r="8" spans="1:22" s="2853" customFormat="1" ht="13.15" customHeight="1">
      <c r="A8" s="2888" t="s">
        <v>2348</v>
      </c>
      <c r="B8" s="3689" t="s">
        <v>2349</v>
      </c>
      <c r="C8" s="3690"/>
      <c r="D8" s="2889" t="s">
        <v>2350</v>
      </c>
      <c r="E8" s="2890" t="s">
        <v>2351</v>
      </c>
      <c r="F8" s="2891" t="s">
        <v>2352</v>
      </c>
      <c r="G8" s="2892"/>
      <c r="H8" s="2848"/>
      <c r="I8" s="2849"/>
      <c r="J8" s="3672"/>
      <c r="K8" s="3674"/>
      <c r="L8" s="2883" t="s">
        <v>2353</v>
      </c>
      <c r="M8" s="2884"/>
      <c r="N8" s="2860"/>
      <c r="O8" s="2885"/>
      <c r="P8" s="2885"/>
      <c r="Q8" s="2886">
        <v>365</v>
      </c>
      <c r="R8" s="2887">
        <f t="shared" ref="R8:R13" si="0">ROUND(M8*N8*O8*P8*Q8/10000,0)</f>
        <v>0</v>
      </c>
      <c r="S8" s="2841"/>
      <c r="T8" s="2841" t="s">
        <v>2354</v>
      </c>
      <c r="U8" s="2841"/>
      <c r="V8" s="2849"/>
    </row>
    <row r="9" spans="1:22" s="2853" customFormat="1" ht="13.15" customHeight="1">
      <c r="A9" s="2888">
        <v>1</v>
      </c>
      <c r="B9" s="3689" t="s">
        <v>2355</v>
      </c>
      <c r="C9" s="3690"/>
      <c r="D9" s="2889">
        <f>ROUND(D6*E9,0)</f>
        <v>0</v>
      </c>
      <c r="E9" s="2893"/>
      <c r="F9" s="2894" t="s">
        <v>2356</v>
      </c>
      <c r="G9" s="2873"/>
      <c r="H9" s="2848"/>
      <c r="I9" s="2849"/>
      <c r="J9" s="3672"/>
      <c r="K9" s="3674"/>
      <c r="L9" s="2883" t="s">
        <v>2357</v>
      </c>
      <c r="M9" s="2884"/>
      <c r="N9" s="2860"/>
      <c r="O9" s="2885"/>
      <c r="P9" s="2885"/>
      <c r="Q9" s="2886">
        <v>365</v>
      </c>
      <c r="R9" s="2887">
        <f t="shared" si="0"/>
        <v>0</v>
      </c>
      <c r="S9" s="2841"/>
      <c r="T9" s="2841"/>
      <c r="U9" s="2841"/>
      <c r="V9" s="2849"/>
    </row>
    <row r="10" spans="1:22" s="2853" customFormat="1" ht="13.15" customHeight="1">
      <c r="A10" s="2888">
        <v>2</v>
      </c>
      <c r="B10" s="3689" t="s">
        <v>2358</v>
      </c>
      <c r="C10" s="3690"/>
      <c r="D10" s="2889">
        <f>ROUND(D6*E10,0)</f>
        <v>0</v>
      </c>
      <c r="E10" s="2893"/>
      <c r="F10" s="2894" t="s">
        <v>2359</v>
      </c>
      <c r="G10" s="2873"/>
      <c r="H10" s="2848"/>
      <c r="I10" s="2849"/>
      <c r="J10" s="3672"/>
      <c r="K10" s="3674"/>
      <c r="L10" s="2883" t="s">
        <v>2360</v>
      </c>
      <c r="M10" s="2884"/>
      <c r="N10" s="2860"/>
      <c r="O10" s="2885"/>
      <c r="P10" s="2885"/>
      <c r="Q10" s="2886">
        <v>365</v>
      </c>
      <c r="R10" s="2887">
        <f t="shared" si="0"/>
        <v>0</v>
      </c>
      <c r="S10" s="2841"/>
      <c r="T10" s="2841"/>
      <c r="U10" s="2841"/>
      <c r="V10" s="2849"/>
    </row>
    <row r="11" spans="1:22" s="2853" customFormat="1" ht="13.15" customHeight="1">
      <c r="A11" s="2888">
        <v>3</v>
      </c>
      <c r="B11" s="3689" t="s">
        <v>2361</v>
      </c>
      <c r="C11" s="3690"/>
      <c r="D11" s="2889">
        <f>D12+D14+D15+D16</f>
        <v>0</v>
      </c>
      <c r="E11" s="2895" t="e">
        <f>D11/D6</f>
        <v>#DIV/0!</v>
      </c>
      <c r="F11" s="2891"/>
      <c r="G11" s="2892"/>
      <c r="H11" s="2848"/>
      <c r="I11" s="2849"/>
      <c r="J11" s="3672"/>
      <c r="K11" s="3674"/>
      <c r="L11" s="2883" t="s">
        <v>2362</v>
      </c>
      <c r="M11" s="2884"/>
      <c r="N11" s="2860"/>
      <c r="O11" s="2885"/>
      <c r="P11" s="2885"/>
      <c r="Q11" s="2886">
        <v>365</v>
      </c>
      <c r="R11" s="2887">
        <f t="shared" si="0"/>
        <v>0</v>
      </c>
      <c r="S11" s="2841"/>
      <c r="T11" s="2841"/>
      <c r="U11" s="2841"/>
      <c r="V11" s="2849"/>
    </row>
    <row r="12" spans="1:22" s="2853" customFormat="1" ht="13.15" customHeight="1">
      <c r="A12" s="2896" t="s">
        <v>2363</v>
      </c>
      <c r="B12" s="3682" t="s">
        <v>2364</v>
      </c>
      <c r="C12" s="3683"/>
      <c r="D12" s="2897">
        <f>ROUND(D13*1.2%*(1-30%),0)</f>
        <v>0</v>
      </c>
      <c r="E12" s="2898">
        <v>1.2E-2</v>
      </c>
      <c r="F12" s="2891" t="s">
        <v>2365</v>
      </c>
      <c r="G12" s="2892"/>
      <c r="H12" s="2848"/>
      <c r="I12" s="2849"/>
      <c r="J12" s="3672"/>
      <c r="K12" s="3674"/>
      <c r="L12" s="2883" t="s">
        <v>2366</v>
      </c>
      <c r="M12" s="2884"/>
      <c r="N12" s="2860"/>
      <c r="O12" s="2885"/>
      <c r="P12" s="2885"/>
      <c r="Q12" s="2886">
        <v>365</v>
      </c>
      <c r="R12" s="2887">
        <f t="shared" si="0"/>
        <v>0</v>
      </c>
      <c r="S12" s="2841"/>
      <c r="T12" s="2841"/>
      <c r="U12" s="2841"/>
      <c r="V12" s="2849"/>
    </row>
    <row r="13" spans="1:22" s="2853" customFormat="1" ht="13.15" customHeight="1">
      <c r="A13" s="2896"/>
      <c r="B13" s="2899"/>
      <c r="C13" s="2900" t="s">
        <v>2367</v>
      </c>
      <c r="D13" s="2901"/>
      <c r="E13" s="2902"/>
      <c r="F13" s="2891"/>
      <c r="G13" s="2892"/>
      <c r="H13" s="2848"/>
      <c r="I13" s="2849"/>
      <c r="J13" s="3672"/>
      <c r="K13" s="3674"/>
      <c r="L13" s="2883" t="s">
        <v>2368</v>
      </c>
      <c r="M13" s="2884"/>
      <c r="N13" s="2860"/>
      <c r="O13" s="2885"/>
      <c r="P13" s="2885"/>
      <c r="Q13" s="2886">
        <v>365</v>
      </c>
      <c r="R13" s="2887">
        <f t="shared" si="0"/>
        <v>0</v>
      </c>
      <c r="S13" s="2841"/>
      <c r="T13" s="2841"/>
      <c r="U13" s="2841"/>
      <c r="V13" s="2849"/>
    </row>
    <row r="14" spans="1:22" s="2853" customFormat="1" ht="13.15" customHeight="1">
      <c r="A14" s="2896" t="s">
        <v>2369</v>
      </c>
      <c r="B14" s="3682" t="s">
        <v>2370</v>
      </c>
      <c r="C14" s="3683"/>
      <c r="D14" s="2897">
        <f>ROUND(E14*B5/10000,0)</f>
        <v>0</v>
      </c>
      <c r="E14" s="2886"/>
      <c r="F14" s="2891" t="s">
        <v>2371</v>
      </c>
      <c r="G14" s="2892"/>
      <c r="H14" s="2848"/>
      <c r="I14" s="2849"/>
      <c r="J14" s="3672"/>
      <c r="K14" s="3675"/>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2373</v>
      </c>
      <c r="B15" s="3682" t="s">
        <v>2374</v>
      </c>
      <c r="C15" s="3683"/>
      <c r="D15" s="2897">
        <f>ROUND(D6*E15,0)</f>
        <v>0</v>
      </c>
      <c r="E15" s="2898">
        <v>5.5E-2</v>
      </c>
      <c r="F15" s="2891" t="s">
        <v>2375</v>
      </c>
      <c r="G15" s="2873"/>
      <c r="H15" s="2848"/>
      <c r="I15" s="2849"/>
      <c r="J15" s="3672">
        <v>2</v>
      </c>
      <c r="K15" s="3673"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15" customHeight="1">
      <c r="A16" s="2896" t="s">
        <v>2382</v>
      </c>
      <c r="B16" s="3682" t="s">
        <v>2383</v>
      </c>
      <c r="C16" s="3683"/>
      <c r="D16" s="2908">
        <f>D6*E16</f>
        <v>0</v>
      </c>
      <c r="E16" s="2909"/>
      <c r="F16" s="2894" t="s">
        <v>2384</v>
      </c>
      <c r="G16" s="2873"/>
      <c r="H16" s="2848"/>
      <c r="I16" s="2849"/>
      <c r="J16" s="3672"/>
      <c r="K16" s="3674"/>
      <c r="L16" s="2883" t="s">
        <v>2385</v>
      </c>
      <c r="M16" s="2884"/>
      <c r="N16" s="2884"/>
      <c r="O16" s="2885"/>
      <c r="P16" s="2886">
        <v>365</v>
      </c>
      <c r="Q16" s="2860"/>
      <c r="R16" s="2907">
        <f>ROUND(M16*N16*O16*P16/10000,0)</f>
        <v>0</v>
      </c>
      <c r="S16" s="2841"/>
      <c r="T16" s="2841"/>
      <c r="U16" s="2841"/>
      <c r="V16" s="2849"/>
    </row>
    <row r="17" spans="1:22" s="2853" customFormat="1" ht="13.15" customHeight="1" thickBot="1">
      <c r="A17" s="2910">
        <v>4</v>
      </c>
      <c r="B17" s="3684" t="s">
        <v>2386</v>
      </c>
      <c r="C17" s="3685"/>
      <c r="D17" s="2911">
        <f>ROUND(D6*E17,0)</f>
        <v>0</v>
      </c>
      <c r="E17" s="2912"/>
      <c r="F17" s="2913" t="s">
        <v>2387</v>
      </c>
      <c r="G17" s="2873"/>
      <c r="H17" s="2848"/>
      <c r="I17" s="2849"/>
      <c r="J17" s="3672"/>
      <c r="K17" s="3674"/>
      <c r="L17" s="2883" t="s">
        <v>2388</v>
      </c>
      <c r="M17" s="2884"/>
      <c r="N17" s="2884"/>
      <c r="O17" s="2885"/>
      <c r="P17" s="2886">
        <v>365</v>
      </c>
      <c r="Q17" s="2860"/>
      <c r="R17" s="2907">
        <f>ROUND(M17*N17*O17*P17/10000,0)</f>
        <v>0</v>
      </c>
      <c r="S17" s="2841"/>
      <c r="T17" s="2841"/>
      <c r="U17" s="2841"/>
      <c r="V17" s="2849"/>
    </row>
    <row r="18" spans="1:22" s="2853" customFormat="1" ht="13.15" customHeight="1" thickBot="1">
      <c r="A18" s="2876" t="s">
        <v>2389</v>
      </c>
      <c r="B18" s="2877"/>
      <c r="C18" s="2877"/>
      <c r="D18" s="2914">
        <f>ROUND(D6*E18,0)</f>
        <v>0</v>
      </c>
      <c r="E18" s="2915"/>
      <c r="F18" s="2916" t="s">
        <v>2390</v>
      </c>
      <c r="G18" s="2873"/>
      <c r="H18" s="2848"/>
      <c r="I18" s="2849"/>
      <c r="J18" s="3672"/>
      <c r="K18" s="3674"/>
      <c r="L18" s="2883" t="s">
        <v>2391</v>
      </c>
      <c r="M18" s="2884"/>
      <c r="N18" s="2884"/>
      <c r="O18" s="2885"/>
      <c r="P18" s="2886">
        <v>365</v>
      </c>
      <c r="Q18" s="2860"/>
      <c r="R18" s="2907">
        <f>ROUND(M18*N18*O18*P18/10000,0)</f>
        <v>0</v>
      </c>
      <c r="S18" s="2841"/>
      <c r="T18" s="2841"/>
      <c r="U18" s="2841"/>
      <c r="V18" s="2849"/>
    </row>
    <row r="19" spans="1:22" s="2853" customFormat="1" ht="13.15" customHeight="1" thickBot="1">
      <c r="A19" s="2917" t="s">
        <v>2392</v>
      </c>
      <c r="B19" s="2871"/>
      <c r="C19" s="2871"/>
      <c r="D19" s="2871"/>
      <c r="E19" s="2871"/>
      <c r="F19" s="2872"/>
      <c r="G19" s="2892"/>
      <c r="H19" s="2848"/>
      <c r="I19" s="2849"/>
      <c r="J19" s="3672"/>
      <c r="K19" s="3675"/>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2">
        <v>3</v>
      </c>
      <c r="K20" s="3673"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15" customHeight="1">
      <c r="A21" s="2876"/>
      <c r="B21" s="2877"/>
      <c r="C21" s="2923" t="s">
        <v>2401</v>
      </c>
      <c r="D21" s="2924" t="s">
        <v>2402</v>
      </c>
      <c r="E21" s="2925" t="s">
        <v>2403</v>
      </c>
      <c r="F21" s="2920"/>
      <c r="G21" s="2892"/>
      <c r="H21" s="2848"/>
      <c r="I21" s="2849"/>
      <c r="J21" s="3672"/>
      <c r="K21" s="3674"/>
      <c r="L21" s="2883" t="s">
        <v>2404</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2405</v>
      </c>
      <c r="D22" s="2928" t="s">
        <v>2406</v>
      </c>
      <c r="E22" s="2929" t="s">
        <v>2407</v>
      </c>
      <c r="F22" s="2920"/>
      <c r="G22" s="2930"/>
      <c r="H22" s="2848"/>
      <c r="I22" s="2849"/>
      <c r="J22" s="3672"/>
      <c r="K22" s="3674"/>
      <c r="L22" s="2883" t="s">
        <v>2408</v>
      </c>
      <c r="M22" s="2884"/>
      <c r="N22" s="2884"/>
      <c r="O22" s="2885"/>
      <c r="P22" s="2886">
        <v>365</v>
      </c>
      <c r="Q22" s="2860"/>
      <c r="R22" s="2926">
        <f>ROUND(M22*N22*O22*P22/10000,0)</f>
        <v>0</v>
      </c>
      <c r="S22" s="2922"/>
      <c r="T22" s="2922"/>
      <c r="U22" s="2922"/>
      <c r="V22" s="2849"/>
    </row>
    <row r="23" spans="1:22" s="2853" customFormat="1" ht="13.15" customHeight="1">
      <c r="A23" s="2931">
        <v>1</v>
      </c>
      <c r="B23" s="2932" t="s">
        <v>2409</v>
      </c>
      <c r="C23" s="2933">
        <f>D6</f>
        <v>0</v>
      </c>
      <c r="D23" s="2934">
        <f>C23*(1+D24)</f>
        <v>0</v>
      </c>
      <c r="E23" s="2935">
        <f>D23*(1+E24)</f>
        <v>0</v>
      </c>
      <c r="F23" s="2936"/>
      <c r="G23" s="2937"/>
      <c r="H23" s="2848"/>
      <c r="I23" s="2849"/>
      <c r="J23" s="3672"/>
      <c r="K23" s="3674"/>
      <c r="L23" s="2883" t="s">
        <v>2410</v>
      </c>
      <c r="M23" s="2884"/>
      <c r="N23" s="2884"/>
      <c r="O23" s="2885"/>
      <c r="P23" s="2886">
        <v>365</v>
      </c>
      <c r="Q23" s="2860"/>
      <c r="R23" s="2926">
        <f>ROUND(M23*N23*O23*P23/10000,0)</f>
        <v>0</v>
      </c>
      <c r="S23" s="2841"/>
      <c r="T23" s="2841"/>
      <c r="U23" s="2841"/>
      <c r="V23" s="2849"/>
    </row>
    <row r="24" spans="1:22" s="2853" customFormat="1" ht="13.15" customHeight="1">
      <c r="A24" s="2938"/>
      <c r="B24" s="2939" t="s">
        <v>2411</v>
      </c>
      <c r="C24" s="2940"/>
      <c r="D24" s="2941"/>
      <c r="E24" s="2942"/>
      <c r="F24" s="2943"/>
      <c r="G24" s="2937"/>
      <c r="H24" s="2848"/>
      <c r="I24" s="2849"/>
      <c r="J24" s="3672"/>
      <c r="K24" s="3675"/>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15" customHeight="1">
      <c r="A26" s="2931">
        <v>2</v>
      </c>
      <c r="B26" s="2932" t="s">
        <v>2413</v>
      </c>
      <c r="C26" s="2933">
        <f>D7</f>
        <v>0</v>
      </c>
      <c r="D26" s="2934">
        <f>D23*D27</f>
        <v>0</v>
      </c>
      <c r="E26" s="2935">
        <f>E23*E27</f>
        <v>0</v>
      </c>
      <c r="F26" s="2936"/>
      <c r="G26" s="2937"/>
      <c r="H26" s="2848"/>
      <c r="I26" s="2849"/>
      <c r="J26" s="3676">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15" customHeight="1">
      <c r="A27" s="2938"/>
      <c r="B27" s="2939" t="s">
        <v>2419</v>
      </c>
      <c r="C27" s="2957" t="e">
        <f>E7</f>
        <v>#DIV/0!</v>
      </c>
      <c r="D27" s="2941"/>
      <c r="E27" s="2942"/>
      <c r="F27" s="2943"/>
      <c r="G27" s="2937"/>
      <c r="H27" s="2958"/>
      <c r="I27" s="2949"/>
      <c r="J27" s="3677"/>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15"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15" customHeight="1">
      <c r="A32" s="2931">
        <v>4</v>
      </c>
      <c r="B32" s="2932" t="s">
        <v>2427</v>
      </c>
      <c r="C32" s="2933">
        <f>C23-C26-C29</f>
        <v>0</v>
      </c>
      <c r="D32" s="2934">
        <f>D23-D26-D29</f>
        <v>0</v>
      </c>
      <c r="E32" s="2935">
        <f>E23-E26-E29</f>
        <v>0</v>
      </c>
      <c r="F32" s="2936"/>
      <c r="G32" s="2930"/>
      <c r="H32" s="2848"/>
      <c r="I32" s="2849"/>
      <c r="J32" s="3678" t="s">
        <v>2319</v>
      </c>
      <c r="K32" s="3679"/>
      <c r="L32" s="2850" t="s">
        <v>2320</v>
      </c>
      <c r="M32" s="2850" t="s">
        <v>2321</v>
      </c>
      <c r="N32" s="2850" t="s">
        <v>2322</v>
      </c>
      <c r="O32" s="2850" t="s">
        <v>2323</v>
      </c>
      <c r="P32" s="2850" t="s">
        <v>2324</v>
      </c>
      <c r="Q32" s="2851" t="s">
        <v>2325</v>
      </c>
      <c r="R32" s="2973" t="s">
        <v>2326</v>
      </c>
      <c r="S32" s="2922"/>
      <c r="T32" s="2841"/>
      <c r="U32" s="2841"/>
      <c r="V32" s="2949"/>
    </row>
    <row r="33" spans="1:23" s="2853" customFormat="1" ht="13.15" customHeight="1">
      <c r="A33" s="2931"/>
      <c r="B33" s="2932"/>
      <c r="C33" s="2933"/>
      <c r="D33" s="2974"/>
      <c r="E33" s="2975"/>
      <c r="F33" s="2936"/>
      <c r="G33" s="2930"/>
      <c r="H33" s="2958"/>
      <c r="I33" s="2949"/>
      <c r="J33" s="3680" t="s">
        <v>2329</v>
      </c>
      <c r="K33" s="3681"/>
      <c r="L33" s="2856"/>
      <c r="M33" s="2856"/>
      <c r="N33" s="2856"/>
      <c r="O33" s="2856"/>
      <c r="P33" s="2856"/>
      <c r="Q33" s="2857"/>
      <c r="R33" s="2976">
        <f>SUM(L33:Q33)</f>
        <v>0</v>
      </c>
      <c r="S33" s="2922"/>
      <c r="T33" s="2841"/>
      <c r="U33" s="2841"/>
      <c r="V33" s="2849"/>
    </row>
    <row r="34" spans="1:23" s="2853" customFormat="1" ht="13.15" customHeight="1">
      <c r="A34" s="2931">
        <v>5</v>
      </c>
      <c r="B34" s="2932" t="s">
        <v>2428</v>
      </c>
      <c r="C34" s="2977"/>
      <c r="D34" s="2978"/>
      <c r="E34" s="2979"/>
      <c r="F34" s="2936"/>
      <c r="G34" s="2930"/>
      <c r="H34" s="2958"/>
      <c r="I34" s="2949"/>
      <c r="J34" s="3680" t="s">
        <v>2331</v>
      </c>
      <c r="K34" s="3681"/>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15" customHeight="1" thickBot="1">
      <c r="A36" s="2931">
        <v>7</v>
      </c>
      <c r="B36" s="2986" t="s">
        <v>2430</v>
      </c>
      <c r="C36" s="2987"/>
      <c r="D36" s="2988"/>
      <c r="E36" s="2989"/>
      <c r="F36" s="2990">
        <f>C36+D36+E36</f>
        <v>0</v>
      </c>
      <c r="G36" s="2930"/>
      <c r="H36" s="2848"/>
      <c r="I36" s="2849"/>
      <c r="J36" s="3672">
        <v>1</v>
      </c>
      <c r="K36" s="3673" t="s">
        <v>2431</v>
      </c>
      <c r="L36" s="2874"/>
      <c r="M36" s="2875"/>
      <c r="N36" s="2875"/>
      <c r="O36" s="2875"/>
      <c r="P36" s="2875"/>
      <c r="Q36" s="2875"/>
      <c r="R36" s="2858" t="s">
        <v>2343</v>
      </c>
      <c r="S36" s="2922"/>
      <c r="T36" s="2841" t="s">
        <v>2344</v>
      </c>
      <c r="U36" s="2841"/>
      <c r="V36" s="2849"/>
    </row>
    <row r="37" spans="1:23" s="2853" customFormat="1" ht="13.15" customHeight="1">
      <c r="A37" s="2931"/>
      <c r="B37" s="2932"/>
      <c r="C37" s="2932"/>
      <c r="D37" s="2932"/>
      <c r="E37" s="2932"/>
      <c r="F37" s="2936"/>
      <c r="G37" s="2930"/>
      <c r="H37" s="2848"/>
      <c r="I37" s="2849"/>
      <c r="J37" s="3672"/>
      <c r="K37" s="3674"/>
      <c r="L37" s="2883"/>
      <c r="M37" s="2884"/>
      <c r="N37" s="2860"/>
      <c r="O37" s="2885"/>
      <c r="P37" s="2885"/>
      <c r="Q37" s="2886"/>
      <c r="R37" s="2887"/>
      <c r="S37" s="2922"/>
      <c r="T37" s="2841" t="s">
        <v>2347</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2"/>
      <c r="K38" s="3674"/>
      <c r="L38" s="2883"/>
      <c r="M38" s="2884"/>
      <c r="N38" s="2860"/>
      <c r="O38" s="2885"/>
      <c r="P38" s="2885"/>
      <c r="Q38" s="2886"/>
      <c r="R38" s="2887"/>
      <c r="S38" s="2922"/>
      <c r="T38" s="2841" t="s">
        <v>2354</v>
      </c>
      <c r="U38" s="2841"/>
      <c r="V38" s="2849"/>
    </row>
    <row r="39" spans="1:23" s="2853" customFormat="1" ht="13.15" customHeight="1">
      <c r="A39" s="2931">
        <v>9</v>
      </c>
      <c r="B39" s="2932" t="s">
        <v>2432</v>
      </c>
      <c r="C39" s="2897" t="e">
        <f>C38</f>
        <v>#DIV/0!</v>
      </c>
      <c r="D39" s="2932">
        <f>D38/(1+D34)^C36</f>
        <v>0</v>
      </c>
      <c r="E39" s="2932">
        <f>E38/(1+E34)^(C36+D36)</f>
        <v>0</v>
      </c>
      <c r="F39" s="2936"/>
      <c r="G39" s="2991"/>
      <c r="H39" s="2848"/>
      <c r="I39" s="2849"/>
      <c r="J39" s="3672"/>
      <c r="K39" s="3674"/>
      <c r="L39" s="2883"/>
      <c r="M39" s="2884"/>
      <c r="N39" s="2860"/>
      <c r="O39" s="2885"/>
      <c r="P39" s="2885"/>
      <c r="Q39" s="2886"/>
      <c r="R39" s="2887"/>
      <c r="S39" s="2922"/>
      <c r="T39" s="2841"/>
      <c r="U39" s="2841"/>
      <c r="V39" s="2849"/>
    </row>
    <row r="40" spans="1:23" s="2853" customFormat="1" ht="13.15" customHeight="1">
      <c r="A40" s="2992">
        <v>10</v>
      </c>
      <c r="B40" s="2932" t="s">
        <v>2433</v>
      </c>
      <c r="C40" s="2993" t="e">
        <f>C39+D39+E39</f>
        <v>#DIV/0!</v>
      </c>
      <c r="D40" s="2994"/>
      <c r="E40" s="2994"/>
      <c r="F40" s="2995"/>
      <c r="G40" s="2930"/>
      <c r="H40" s="2848"/>
      <c r="I40" s="2849"/>
      <c r="J40" s="3672"/>
      <c r="K40" s="3675"/>
      <c r="L40" s="2903" t="s">
        <v>2372</v>
      </c>
      <c r="M40" s="2904"/>
      <c r="N40" s="2904"/>
      <c r="O40" s="2905"/>
      <c r="P40" s="2905"/>
      <c r="Q40" s="2906"/>
      <c r="R40" s="2852">
        <f>SUM(R37:R39)</f>
        <v>0</v>
      </c>
      <c r="S40" s="2922"/>
      <c r="T40" s="2841"/>
      <c r="U40" s="2841"/>
      <c r="V40" s="2849"/>
    </row>
    <row r="41" spans="1:23" s="2853" customFormat="1" ht="13.15"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6">
        <v>3</v>
      </c>
      <c r="K42" s="2951" t="s">
        <v>2414</v>
      </c>
      <c r="L42" s="2952"/>
      <c r="M42" s="2953"/>
      <c r="N42" s="2954" t="s">
        <v>2415</v>
      </c>
      <c r="O42" s="2954" t="s">
        <v>2416</v>
      </c>
      <c r="P42" s="2955" t="s">
        <v>2417</v>
      </c>
      <c r="Q42" s="2955" t="s">
        <v>2418</v>
      </c>
      <c r="R42" s="2858" t="s">
        <v>2343</v>
      </c>
      <c r="S42" s="2956"/>
      <c r="T42" s="2956"/>
      <c r="U42" s="2841"/>
      <c r="V42" s="2849"/>
    </row>
    <row r="43" spans="1:23" ht="13.15" customHeight="1">
      <c r="A43" s="2853"/>
      <c r="B43" s="2853"/>
      <c r="C43" s="2853"/>
      <c r="D43" s="2853"/>
      <c r="E43" s="2853"/>
      <c r="F43" s="2853"/>
      <c r="I43" s="2836"/>
      <c r="J43" s="3677"/>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46.944000000000003</v>
      </c>
      <c r="C2" s="1872" t="s">
        <v>1651</v>
      </c>
      <c r="D2" s="1873" t="s">
        <v>1652</v>
      </c>
      <c r="E2" s="2607">
        <f>SUM(E6:E13)</f>
        <v>66.03</v>
      </c>
      <c r="F2" s="2707"/>
      <c r="G2" s="1489"/>
      <c r="H2" s="1489"/>
      <c r="I2" s="1489"/>
      <c r="J2" s="1489"/>
      <c r="K2" s="1489"/>
      <c r="L2" s="1489"/>
      <c r="M2" s="1489"/>
      <c r="N2" s="1489"/>
      <c r="O2" s="1489"/>
      <c r="P2" s="1489"/>
      <c r="Q2" s="1489"/>
      <c r="R2" s="1489"/>
      <c r="S2" s="1489"/>
    </row>
    <row r="3" spans="1:22" ht="15.75">
      <c r="A3" s="1870" t="s">
        <v>686</v>
      </c>
      <c r="B3" s="2601">
        <f ca="1">ROUND(B2*10000/E2,0)</f>
        <v>7109</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91" t="s">
        <v>1654</v>
      </c>
      <c r="C5" s="3692"/>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46.944000000000003</v>
      </c>
      <c r="C6" s="1872" t="s">
        <v>1651</v>
      </c>
      <c r="D6" s="2709"/>
      <c r="E6" s="2606">
        <f>IF(OR(A6=0,F6="否"),0,'数据-取费表'!K6+'数据-取费表'!S6)</f>
        <v>66.03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66.03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1" t="s">
        <v>1667</v>
      </c>
      <c r="D4" s="3712"/>
      <c r="E4" s="3713" t="s">
        <v>1668</v>
      </c>
      <c r="F4" s="3714"/>
      <c r="G4" s="3711" t="s">
        <v>1669</v>
      </c>
      <c r="H4" s="3712"/>
      <c r="I4" s="3711" t="s">
        <v>1670</v>
      </c>
      <c r="J4" s="3712"/>
      <c r="K4" s="1889" t="s">
        <v>1671</v>
      </c>
      <c r="L4" s="2715"/>
      <c r="M4" s="2716"/>
      <c r="N4" s="2716"/>
      <c r="O4" s="2716"/>
      <c r="P4" s="3715" t="s">
        <v>1672</v>
      </c>
      <c r="Q4" s="3716"/>
      <c r="R4" s="3721" t="s">
        <v>1668</v>
      </c>
      <c r="S4" s="3722"/>
      <c r="T4" s="3721" t="s">
        <v>1669</v>
      </c>
      <c r="U4" s="3722"/>
      <c r="V4" s="3727" t="s">
        <v>1670</v>
      </c>
      <c r="W4" s="3727"/>
      <c r="X4" s="1355"/>
      <c r="Y4" s="3721" t="s">
        <v>1672</v>
      </c>
      <c r="Z4" s="3722"/>
      <c r="AA4" s="3708" t="s">
        <v>1668</v>
      </c>
      <c r="AB4" s="3708" t="s">
        <v>1669</v>
      </c>
      <c r="AC4" s="3708" t="s">
        <v>1670</v>
      </c>
    </row>
    <row r="5" spans="1:29" ht="15">
      <c r="A5" s="358"/>
      <c r="B5" s="359"/>
      <c r="C5" s="3730" t="s">
        <v>1673</v>
      </c>
      <c r="D5" s="3731"/>
      <c r="E5" s="3737" t="s">
        <v>1674</v>
      </c>
      <c r="F5" s="3738"/>
      <c r="G5" s="3730" t="s">
        <v>1675</v>
      </c>
      <c r="H5" s="3731"/>
      <c r="I5" s="3730" t="s">
        <v>1676</v>
      </c>
      <c r="J5" s="3731"/>
      <c r="K5" s="1890"/>
      <c r="L5" s="2715"/>
      <c r="M5" s="2716"/>
      <c r="N5" s="2716"/>
      <c r="O5" s="2716"/>
      <c r="P5" s="3717"/>
      <c r="Q5" s="3718"/>
      <c r="R5" s="3723"/>
      <c r="S5" s="3724"/>
      <c r="T5" s="3723"/>
      <c r="U5" s="3724"/>
      <c r="V5" s="3727"/>
      <c r="W5" s="3727"/>
      <c r="X5" s="1355"/>
      <c r="Y5" s="3723"/>
      <c r="Z5" s="3724"/>
      <c r="AA5" s="3709"/>
      <c r="AB5" s="3709"/>
      <c r="AC5" s="3709"/>
    </row>
    <row r="6" spans="1:29" ht="15.75" thickBot="1">
      <c r="A6" s="360"/>
      <c r="B6" s="361"/>
      <c r="C6" s="3728" t="s">
        <v>1677</v>
      </c>
      <c r="D6" s="3729"/>
      <c r="E6" s="3735" t="s">
        <v>1677</v>
      </c>
      <c r="F6" s="3736"/>
      <c r="G6" s="3728" t="s">
        <v>1677</v>
      </c>
      <c r="H6" s="3729"/>
      <c r="I6" s="3728" t="s">
        <v>1677</v>
      </c>
      <c r="J6" s="3729"/>
      <c r="K6" s="1890" t="s">
        <v>1678</v>
      </c>
      <c r="L6" s="2715"/>
      <c r="M6" s="2716"/>
      <c r="N6" s="2716"/>
      <c r="O6" s="2716"/>
      <c r="P6" s="3719"/>
      <c r="Q6" s="3720"/>
      <c r="R6" s="3723"/>
      <c r="S6" s="3724"/>
      <c r="T6" s="3725"/>
      <c r="U6" s="3726"/>
      <c r="V6" s="3727"/>
      <c r="W6" s="3727"/>
      <c r="X6" s="1355"/>
      <c r="Y6" s="3725"/>
      <c r="Z6" s="3726"/>
      <c r="AA6" s="3710"/>
      <c r="AB6" s="3710"/>
      <c r="AC6" s="3710"/>
    </row>
    <row r="7" spans="1:29" s="108" customFormat="1" ht="15.75" thickBot="1">
      <c r="A7" s="362" t="s">
        <v>1679</v>
      </c>
      <c r="B7" s="363"/>
      <c r="C7" s="364">
        <f>'数据-取费表'!B2</f>
        <v>45275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32" t="s">
        <v>1680</v>
      </c>
      <c r="Q7" s="3734"/>
      <c r="R7" s="701" t="s">
        <v>20</v>
      </c>
      <c r="S7" s="702">
        <f t="shared" ref="S7:S15" si="0">F7</f>
        <v>0</v>
      </c>
      <c r="T7" s="701" t="s">
        <v>20</v>
      </c>
      <c r="U7" s="702">
        <f t="shared" ref="U7:U15" si="1">H7</f>
        <v>0</v>
      </c>
      <c r="V7" s="701" t="s">
        <v>20</v>
      </c>
      <c r="W7" s="702">
        <f t="shared" ref="W7:W15" si="2">J7</f>
        <v>0</v>
      </c>
      <c r="X7" s="703"/>
      <c r="Y7" s="3732" t="s">
        <v>1680</v>
      </c>
      <c r="Z7" s="373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32" t="s">
        <v>1683</v>
      </c>
      <c r="Q8" s="3733"/>
      <c r="R8" s="701" t="s">
        <v>20</v>
      </c>
      <c r="S8" s="702">
        <f t="shared" si="0"/>
        <v>100</v>
      </c>
      <c r="T8" s="701" t="s">
        <v>20</v>
      </c>
      <c r="U8" s="702">
        <f t="shared" si="1"/>
        <v>100</v>
      </c>
      <c r="V8" s="701" t="s">
        <v>20</v>
      </c>
      <c r="W8" s="702">
        <f t="shared" si="2"/>
        <v>100</v>
      </c>
      <c r="X8" s="703"/>
      <c r="Y8" s="3732" t="s">
        <v>1683</v>
      </c>
      <c r="Z8" s="373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7"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7"/>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7"/>
      <c r="Q11" s="1343" t="str">
        <f t="shared" si="6"/>
        <v>容积率</v>
      </c>
      <c r="R11" s="701" t="s">
        <v>18</v>
      </c>
      <c r="S11" s="702" t="e">
        <f t="shared" si="0"/>
        <v>#N/A</v>
      </c>
      <c r="T11" s="701" t="s">
        <v>18</v>
      </c>
      <c r="U11" s="702" t="e">
        <f t="shared" si="1"/>
        <v>#N/A</v>
      </c>
      <c r="V11" s="701" t="s">
        <v>18</v>
      </c>
      <c r="W11" s="702" t="e">
        <f t="shared" si="2"/>
        <v>#N/A</v>
      </c>
      <c r="X11" s="703"/>
      <c r="Y11" s="357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7"/>
      <c r="Q12" s="1343">
        <f t="shared" si="6"/>
        <v>111</v>
      </c>
      <c r="R12" s="701" t="s">
        <v>18</v>
      </c>
      <c r="S12" s="702">
        <f t="shared" si="0"/>
        <v>100</v>
      </c>
      <c r="T12" s="701" t="s">
        <v>18</v>
      </c>
      <c r="U12" s="702">
        <f t="shared" si="1"/>
        <v>100</v>
      </c>
      <c r="V12" s="701" t="s">
        <v>18</v>
      </c>
      <c r="W12" s="702">
        <f t="shared" si="2"/>
        <v>100</v>
      </c>
      <c r="X12" s="703"/>
      <c r="Y12" s="357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7"/>
      <c r="Q13" s="1343">
        <f t="shared" si="6"/>
        <v>111</v>
      </c>
      <c r="R13" s="701" t="s">
        <v>18</v>
      </c>
      <c r="S13" s="702">
        <f t="shared" si="0"/>
        <v>100</v>
      </c>
      <c r="T13" s="701" t="s">
        <v>18</v>
      </c>
      <c r="U13" s="702">
        <f t="shared" si="1"/>
        <v>100</v>
      </c>
      <c r="V13" s="701" t="s">
        <v>18</v>
      </c>
      <c r="W13" s="702">
        <f t="shared" si="2"/>
        <v>100</v>
      </c>
      <c r="X13" s="703"/>
      <c r="Y13" s="357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7"/>
      <c r="Q14" s="1343">
        <f t="shared" si="6"/>
        <v>111</v>
      </c>
      <c r="R14" s="701" t="s">
        <v>18</v>
      </c>
      <c r="S14" s="702">
        <f t="shared" si="0"/>
        <v>100</v>
      </c>
      <c r="T14" s="701" t="s">
        <v>18</v>
      </c>
      <c r="U14" s="702">
        <f t="shared" si="1"/>
        <v>100</v>
      </c>
      <c r="V14" s="701" t="s">
        <v>18</v>
      </c>
      <c r="W14" s="702">
        <f t="shared" si="2"/>
        <v>100</v>
      </c>
      <c r="X14" s="703"/>
      <c r="Y14" s="357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5" t="s">
        <v>1691</v>
      </c>
      <c r="Q15" s="1352" t="str">
        <f t="shared" si="6"/>
        <v>居住社区成熟度</v>
      </c>
      <c r="R15" s="705" t="s">
        <v>18</v>
      </c>
      <c r="S15" s="706">
        <f t="shared" si="0"/>
        <v>100</v>
      </c>
      <c r="T15" s="705" t="s">
        <v>18</v>
      </c>
      <c r="U15" s="706">
        <f t="shared" si="1"/>
        <v>100</v>
      </c>
      <c r="V15" s="705" t="s">
        <v>18</v>
      </c>
      <c r="W15" s="706">
        <f t="shared" si="2"/>
        <v>100</v>
      </c>
      <c r="X15" s="1355"/>
      <c r="Y15" s="369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6"/>
      <c r="Q16" s="1352"/>
      <c r="R16" s="705"/>
      <c r="S16" s="706"/>
      <c r="T16" s="705"/>
      <c r="U16" s="706"/>
      <c r="V16" s="705"/>
      <c r="W16" s="706"/>
      <c r="X16" s="1355"/>
      <c r="Y16" s="369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6"/>
      <c r="Q17" s="1352" t="str">
        <f>B17</f>
        <v>交通便捷度</v>
      </c>
      <c r="R17" s="705" t="s">
        <v>18</v>
      </c>
      <c r="S17" s="706">
        <f>F17</f>
        <v>100</v>
      </c>
      <c r="T17" s="705" t="s">
        <v>18</v>
      </c>
      <c r="U17" s="706">
        <f>H17</f>
        <v>100</v>
      </c>
      <c r="V17" s="705" t="s">
        <v>18</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6"/>
      <c r="Q19" s="1352" t="str">
        <f>B19</f>
        <v>公共配套设施</v>
      </c>
      <c r="R19" s="705" t="s">
        <v>18</v>
      </c>
      <c r="S19" s="706">
        <f>F19</f>
        <v>100</v>
      </c>
      <c r="T19" s="705" t="s">
        <v>18</v>
      </c>
      <c r="U19" s="706">
        <f>H19</f>
        <v>100</v>
      </c>
      <c r="V19" s="705" t="s">
        <v>18</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6"/>
      <c r="Q22" s="1352"/>
      <c r="R22" s="705"/>
      <c r="S22" s="706"/>
      <c r="T22" s="705"/>
      <c r="U22" s="706"/>
      <c r="V22" s="705"/>
      <c r="W22" s="706"/>
      <c r="X22" s="1355"/>
      <c r="Y22" s="369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6"/>
      <c r="Q23" s="1352" t="str">
        <f>B23</f>
        <v>自然及人文环境</v>
      </c>
      <c r="R23" s="705" t="s">
        <v>18</v>
      </c>
      <c r="S23" s="706">
        <f>F23</f>
        <v>100</v>
      </c>
      <c r="T23" s="705" t="s">
        <v>18</v>
      </c>
      <c r="U23" s="706">
        <f>H23</f>
        <v>100</v>
      </c>
      <c r="V23" s="705" t="s">
        <v>18</v>
      </c>
      <c r="W23" s="706">
        <f>J23</f>
        <v>100</v>
      </c>
      <c r="X23" s="1355"/>
      <c r="Y23" s="369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6"/>
      <c r="Q26" s="1352" t="str">
        <f t="shared" si="11"/>
        <v>朝向</v>
      </c>
      <c r="R26" s="705" t="s">
        <v>18</v>
      </c>
      <c r="S26" s="706">
        <f t="shared" si="12"/>
        <v>100</v>
      </c>
      <c r="T26" s="705" t="s">
        <v>18</v>
      </c>
      <c r="U26" s="706">
        <f t="shared" si="13"/>
        <v>100</v>
      </c>
      <c r="V26" s="705" t="s">
        <v>18</v>
      </c>
      <c r="W26" s="706">
        <f t="shared" si="14"/>
        <v>100</v>
      </c>
      <c r="X26" s="1355"/>
      <c r="Y26" s="369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6"/>
      <c r="Q27" s="1343">
        <f t="shared" si="11"/>
        <v>111</v>
      </c>
      <c r="R27" s="701" t="s">
        <v>18</v>
      </c>
      <c r="S27" s="702">
        <f t="shared" si="12"/>
        <v>100</v>
      </c>
      <c r="T27" s="701" t="s">
        <v>18</v>
      </c>
      <c r="U27" s="702">
        <f t="shared" si="13"/>
        <v>100</v>
      </c>
      <c r="V27" s="701" t="s">
        <v>18</v>
      </c>
      <c r="W27" s="702">
        <f t="shared" si="14"/>
        <v>100</v>
      </c>
      <c r="X27" s="703"/>
      <c r="Y27" s="369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6"/>
      <c r="Q28" s="1352">
        <f t="shared" si="11"/>
        <v>111</v>
      </c>
      <c r="R28" s="705" t="s">
        <v>18</v>
      </c>
      <c r="S28" s="706">
        <f t="shared" si="12"/>
        <v>100</v>
      </c>
      <c r="T28" s="705" t="s">
        <v>18</v>
      </c>
      <c r="U28" s="706">
        <f t="shared" si="13"/>
        <v>100</v>
      </c>
      <c r="V28" s="705" t="s">
        <v>18</v>
      </c>
      <c r="W28" s="706">
        <f t="shared" si="14"/>
        <v>100</v>
      </c>
      <c r="X28" s="1355"/>
      <c r="Y28" s="369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6"/>
      <c r="Q29" s="1352">
        <f t="shared" si="11"/>
        <v>111</v>
      </c>
      <c r="R29" s="705" t="s">
        <v>18</v>
      </c>
      <c r="S29" s="706">
        <f t="shared" si="12"/>
        <v>100</v>
      </c>
      <c r="T29" s="705" t="s">
        <v>18</v>
      </c>
      <c r="U29" s="706">
        <f t="shared" si="13"/>
        <v>100</v>
      </c>
      <c r="V29" s="705" t="s">
        <v>18</v>
      </c>
      <c r="W29" s="706">
        <f t="shared" si="14"/>
        <v>100</v>
      </c>
      <c r="X29" s="1355"/>
      <c r="Y29" s="369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6"/>
      <c r="Q30" s="1352">
        <f t="shared" si="11"/>
        <v>111</v>
      </c>
      <c r="R30" s="705" t="s">
        <v>18</v>
      </c>
      <c r="S30" s="706">
        <f t="shared" si="12"/>
        <v>100</v>
      </c>
      <c r="T30" s="705" t="s">
        <v>18</v>
      </c>
      <c r="U30" s="706">
        <f t="shared" si="13"/>
        <v>100</v>
      </c>
      <c r="V30" s="705" t="s">
        <v>18</v>
      </c>
      <c r="W30" s="706">
        <f t="shared" si="14"/>
        <v>100</v>
      </c>
      <c r="X30" s="1355"/>
      <c r="Y30" s="369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6"/>
      <c r="Q31" s="1352">
        <f t="shared" si="11"/>
        <v>111</v>
      </c>
      <c r="R31" s="705" t="s">
        <v>18</v>
      </c>
      <c r="S31" s="706">
        <f t="shared" si="12"/>
        <v>100</v>
      </c>
      <c r="T31" s="705" t="s">
        <v>18</v>
      </c>
      <c r="U31" s="706">
        <f t="shared" si="13"/>
        <v>100</v>
      </c>
      <c r="V31" s="705" t="s">
        <v>18</v>
      </c>
      <c r="W31" s="706">
        <f t="shared" si="14"/>
        <v>100</v>
      </c>
      <c r="X31" s="1355"/>
      <c r="Y31" s="369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0" t="s">
        <v>1696</v>
      </c>
      <c r="Q32" s="1352" t="str">
        <f t="shared" si="11"/>
        <v>建筑类型</v>
      </c>
      <c r="R32" s="705" t="s">
        <v>18</v>
      </c>
      <c r="S32" s="706">
        <f t="shared" si="12"/>
        <v>100</v>
      </c>
      <c r="T32" s="705" t="s">
        <v>18</v>
      </c>
      <c r="U32" s="706">
        <f t="shared" si="13"/>
        <v>100</v>
      </c>
      <c r="V32" s="705" t="s">
        <v>18</v>
      </c>
      <c r="W32" s="706">
        <f t="shared" si="14"/>
        <v>100</v>
      </c>
      <c r="X32" s="1355"/>
      <c r="Y32" s="370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1"/>
      <c r="Q33" s="707" t="str">
        <f t="shared" si="11"/>
        <v>项目建筑规模</v>
      </c>
      <c r="R33" s="708" t="s">
        <v>18</v>
      </c>
      <c r="S33" s="709" t="e">
        <f t="shared" si="12"/>
        <v>#N/A</v>
      </c>
      <c r="T33" s="708" t="s">
        <v>18</v>
      </c>
      <c r="U33" s="709" t="e">
        <f t="shared" si="13"/>
        <v>#N/A</v>
      </c>
      <c r="V33" s="708" t="s">
        <v>18</v>
      </c>
      <c r="W33" s="709" t="e">
        <f t="shared" si="14"/>
        <v>#N/A</v>
      </c>
      <c r="X33" s="710"/>
      <c r="Y33" s="370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1"/>
      <c r="Q34" s="1352" t="str">
        <f t="shared" si="11"/>
        <v>建筑结构</v>
      </c>
      <c r="R34" s="705" t="s">
        <v>18</v>
      </c>
      <c r="S34" s="706">
        <f t="shared" si="12"/>
        <v>100</v>
      </c>
      <c r="T34" s="705" t="s">
        <v>18</v>
      </c>
      <c r="U34" s="706">
        <f t="shared" si="13"/>
        <v>100</v>
      </c>
      <c r="V34" s="705" t="s">
        <v>18</v>
      </c>
      <c r="W34" s="706">
        <f t="shared" si="14"/>
        <v>100</v>
      </c>
      <c r="X34" s="1355"/>
      <c r="Y34" s="370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1"/>
      <c r="Q35" s="1352" t="str">
        <f t="shared" si="11"/>
        <v>建筑品质</v>
      </c>
      <c r="R35" s="705" t="s">
        <v>18</v>
      </c>
      <c r="S35" s="706">
        <f t="shared" si="12"/>
        <v>100</v>
      </c>
      <c r="T35" s="705" t="s">
        <v>18</v>
      </c>
      <c r="U35" s="706">
        <f t="shared" si="13"/>
        <v>100</v>
      </c>
      <c r="V35" s="705" t="s">
        <v>18</v>
      </c>
      <c r="W35" s="706">
        <f t="shared" si="14"/>
        <v>100</v>
      </c>
      <c r="X35" s="1355"/>
      <c r="Y35" s="370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1"/>
      <c r="Q36" s="1352" t="str">
        <f t="shared" si="11"/>
        <v>公共部分装修</v>
      </c>
      <c r="R36" s="705" t="s">
        <v>18</v>
      </c>
      <c r="S36" s="706">
        <f t="shared" si="12"/>
        <v>100</v>
      </c>
      <c r="T36" s="705" t="s">
        <v>18</v>
      </c>
      <c r="U36" s="706">
        <f t="shared" si="13"/>
        <v>100</v>
      </c>
      <c r="V36" s="705" t="s">
        <v>18</v>
      </c>
      <c r="W36" s="706">
        <f t="shared" si="14"/>
        <v>100</v>
      </c>
      <c r="X36" s="1355"/>
      <c r="Y36" s="370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1"/>
      <c r="Q37" s="1343" t="str">
        <f t="shared" si="11"/>
        <v>成新度</v>
      </c>
      <c r="R37" s="701" t="s">
        <v>18</v>
      </c>
      <c r="S37" s="702" t="e">
        <f t="shared" si="12"/>
        <v>#N/A</v>
      </c>
      <c r="T37" s="701" t="s">
        <v>18</v>
      </c>
      <c r="U37" s="702" t="e">
        <f t="shared" si="13"/>
        <v>#N/A</v>
      </c>
      <c r="V37" s="701" t="s">
        <v>18</v>
      </c>
      <c r="W37" s="702" t="e">
        <f t="shared" si="14"/>
        <v>#N/A</v>
      </c>
      <c r="X37" s="703"/>
      <c r="Y37" s="370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1" t="s">
        <v>1696</v>
      </c>
      <c r="Q38" s="1352" t="str">
        <f t="shared" si="11"/>
        <v>物业管理</v>
      </c>
      <c r="R38" s="705" t="s">
        <v>18</v>
      </c>
      <c r="S38" s="706">
        <f t="shared" si="12"/>
        <v>100</v>
      </c>
      <c r="T38" s="705" t="s">
        <v>18</v>
      </c>
      <c r="U38" s="706">
        <f t="shared" si="13"/>
        <v>100</v>
      </c>
      <c r="V38" s="705" t="s">
        <v>18</v>
      </c>
      <c r="W38" s="706">
        <f t="shared" si="14"/>
        <v>100</v>
      </c>
      <c r="X38" s="1355"/>
      <c r="Y38" s="370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1"/>
      <c r="Q39" s="1352" t="str">
        <f t="shared" si="11"/>
        <v>市政基础设施</v>
      </c>
      <c r="R39" s="705" t="s">
        <v>18</v>
      </c>
      <c r="S39" s="706">
        <f t="shared" si="12"/>
        <v>100</v>
      </c>
      <c r="T39" s="705" t="s">
        <v>18</v>
      </c>
      <c r="U39" s="706">
        <f t="shared" si="13"/>
        <v>100</v>
      </c>
      <c r="V39" s="705" t="s">
        <v>18</v>
      </c>
      <c r="W39" s="706">
        <f t="shared" si="14"/>
        <v>100</v>
      </c>
      <c r="X39" s="1355"/>
      <c r="Y39" s="370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1"/>
      <c r="Q40" s="1352" t="str">
        <f t="shared" si="11"/>
        <v>房型</v>
      </c>
      <c r="R40" s="705" t="s">
        <v>18</v>
      </c>
      <c r="S40" s="706">
        <f t="shared" si="12"/>
        <v>100</v>
      </c>
      <c r="T40" s="705" t="s">
        <v>18</v>
      </c>
      <c r="U40" s="706">
        <f t="shared" si="13"/>
        <v>100</v>
      </c>
      <c r="V40" s="705" t="s">
        <v>18</v>
      </c>
      <c r="W40" s="706">
        <f t="shared" si="14"/>
        <v>100</v>
      </c>
      <c r="X40" s="1355"/>
      <c r="Y40" s="370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1"/>
      <c r="Q41" s="707" t="str">
        <f t="shared" si="11"/>
        <v>单套/主力户型建筑面积</v>
      </c>
      <c r="R41" s="708" t="s">
        <v>18</v>
      </c>
      <c r="S41" s="709">
        <f t="shared" si="12"/>
        <v>100</v>
      </c>
      <c r="T41" s="708" t="s">
        <v>18</v>
      </c>
      <c r="U41" s="709">
        <f t="shared" si="13"/>
        <v>100</v>
      </c>
      <c r="V41" s="708" t="s">
        <v>18</v>
      </c>
      <c r="W41" s="709">
        <f t="shared" si="14"/>
        <v>100</v>
      </c>
      <c r="X41" s="710"/>
      <c r="Y41" s="370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1"/>
      <c r="Q42" s="1352" t="str">
        <f t="shared" si="11"/>
        <v>内部装修</v>
      </c>
      <c r="R42" s="705" t="s">
        <v>18</v>
      </c>
      <c r="S42" s="706">
        <f t="shared" si="12"/>
        <v>100</v>
      </c>
      <c r="T42" s="705" t="s">
        <v>18</v>
      </c>
      <c r="U42" s="706">
        <f t="shared" si="13"/>
        <v>100</v>
      </c>
      <c r="V42" s="705" t="s">
        <v>18</v>
      </c>
      <c r="W42" s="706">
        <f t="shared" si="14"/>
        <v>100</v>
      </c>
      <c r="X42" s="1355"/>
      <c r="Y42" s="370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1"/>
      <c r="Q43" s="1352" t="str">
        <f t="shared" si="11"/>
        <v>内部装修维护情况</v>
      </c>
      <c r="R43" s="705" t="s">
        <v>18</v>
      </c>
      <c r="S43" s="706">
        <f t="shared" si="12"/>
        <v>100</v>
      </c>
      <c r="T43" s="705" t="s">
        <v>18</v>
      </c>
      <c r="U43" s="706">
        <f t="shared" si="13"/>
        <v>100</v>
      </c>
      <c r="V43" s="705" t="s">
        <v>18</v>
      </c>
      <c r="W43" s="706">
        <f t="shared" si="14"/>
        <v>100</v>
      </c>
      <c r="X43" s="1355"/>
      <c r="Y43" s="370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1"/>
      <c r="Q44" s="1343">
        <f t="shared" si="11"/>
        <v>111</v>
      </c>
      <c r="R44" s="701" t="s">
        <v>18</v>
      </c>
      <c r="S44" s="702">
        <f t="shared" si="12"/>
        <v>100</v>
      </c>
      <c r="T44" s="701" t="s">
        <v>18</v>
      </c>
      <c r="U44" s="702">
        <f t="shared" si="13"/>
        <v>100</v>
      </c>
      <c r="V44" s="701" t="s">
        <v>18</v>
      </c>
      <c r="W44" s="702">
        <f t="shared" si="14"/>
        <v>100</v>
      </c>
      <c r="X44" s="703"/>
      <c r="Y44" s="370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1"/>
      <c r="Q45" s="1352">
        <f t="shared" si="11"/>
        <v>111</v>
      </c>
      <c r="R45" s="705" t="s">
        <v>18</v>
      </c>
      <c r="S45" s="706">
        <f t="shared" si="12"/>
        <v>100</v>
      </c>
      <c r="T45" s="705" t="s">
        <v>18</v>
      </c>
      <c r="U45" s="706">
        <f t="shared" si="13"/>
        <v>100</v>
      </c>
      <c r="V45" s="705" t="s">
        <v>18</v>
      </c>
      <c r="W45" s="706">
        <f t="shared" si="14"/>
        <v>100</v>
      </c>
      <c r="X45" s="1355"/>
      <c r="Y45" s="370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2"/>
      <c r="Q46" s="1352">
        <f t="shared" si="11"/>
        <v>111</v>
      </c>
      <c r="R46" s="705" t="s">
        <v>17</v>
      </c>
      <c r="S46" s="706">
        <f t="shared" si="12"/>
        <v>100</v>
      </c>
      <c r="T46" s="705" t="s">
        <v>17</v>
      </c>
      <c r="U46" s="706">
        <f t="shared" si="13"/>
        <v>100</v>
      </c>
      <c r="V46" s="705" t="s">
        <v>17</v>
      </c>
      <c r="W46" s="706">
        <f t="shared" si="14"/>
        <v>100</v>
      </c>
      <c r="X46" s="1355"/>
      <c r="Y46" s="370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6" t="str">
        <f>A47</f>
        <v>成交单价（元/平方米）</v>
      </c>
      <c r="Q47" s="3696"/>
      <c r="R47" s="3697">
        <f>E47</f>
        <v>0</v>
      </c>
      <c r="S47" s="3697"/>
      <c r="T47" s="3697">
        <f>G47</f>
        <v>0</v>
      </c>
      <c r="U47" s="3697"/>
      <c r="V47" s="3697">
        <f>I47</f>
        <v>0</v>
      </c>
      <c r="W47" s="369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2023-12</v>
      </c>
      <c r="D58" s="1185">
        <f>EDATE(C58,-1)</f>
        <v>45231</v>
      </c>
      <c r="E58" s="1185">
        <f>EDATE(D58,-1)</f>
        <v>45200</v>
      </c>
      <c r="F58" s="1185">
        <f t="shared" ref="F58:O58" si="19">EDATE(E58,-1)</f>
        <v>45170</v>
      </c>
      <c r="G58" s="1185">
        <f t="shared" si="19"/>
        <v>45139</v>
      </c>
      <c r="H58" s="1185">
        <f t="shared" si="19"/>
        <v>45108</v>
      </c>
      <c r="I58" s="1185">
        <f t="shared" si="19"/>
        <v>45078</v>
      </c>
      <c r="J58" s="1185">
        <f t="shared" si="19"/>
        <v>45047</v>
      </c>
      <c r="K58" s="1185">
        <f t="shared" si="19"/>
        <v>45017</v>
      </c>
      <c r="L58" s="1185">
        <f t="shared" si="19"/>
        <v>44986</v>
      </c>
      <c r="M58" s="1185">
        <f t="shared" si="19"/>
        <v>44958</v>
      </c>
      <c r="N58" s="1185">
        <f t="shared" si="19"/>
        <v>44927</v>
      </c>
      <c r="O58" s="1185">
        <f t="shared" si="19"/>
        <v>44896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81" priority="19" stopIfTrue="1" operator="containsText" text="超过">
      <formula>NOT(ISERROR(SEARCH("超过",F52)))</formula>
    </cfRule>
  </conditionalFormatting>
  <conditionalFormatting sqref="J54">
    <cfRule type="containsText" dxfId="180" priority="18" stopIfTrue="1" operator="containsText" text="超过">
      <formula>NOT(ISERROR(SEARCH("超过",J54)))</formula>
    </cfRule>
  </conditionalFormatting>
  <conditionalFormatting sqref="H54">
    <cfRule type="containsText" dxfId="179" priority="17" stopIfTrue="1" operator="containsText" text="超过">
      <formula>NOT(ISERROR(SEARCH("超过",H54)))</formula>
    </cfRule>
  </conditionalFormatting>
  <conditionalFormatting sqref="F54">
    <cfRule type="containsText" dxfId="178" priority="16" stopIfTrue="1" operator="containsText" text="超过">
      <formula>NOT(ISERROR(SEARCH("超过",F54)))</formula>
    </cfRule>
  </conditionalFormatting>
  <conditionalFormatting sqref="F53 H53 J53">
    <cfRule type="containsText" dxfId="177" priority="15" stopIfTrue="1" operator="containsText" text="超过">
      <formula>NOT(ISERROR(SEARCH("超过",F53)))</formula>
    </cfRule>
  </conditionalFormatting>
  <conditionalFormatting sqref="E52">
    <cfRule type="expression" dxfId="176" priority="14" stopIfTrue="1">
      <formula>$F$52="超过30%"</formula>
    </cfRule>
  </conditionalFormatting>
  <conditionalFormatting sqref="G54">
    <cfRule type="expression" dxfId="175" priority="12" stopIfTrue="1">
      <formula>$H$54="超过30%"</formula>
    </cfRule>
  </conditionalFormatting>
  <conditionalFormatting sqref="E53">
    <cfRule type="expression" dxfId="174" priority="11" stopIfTrue="1">
      <formula>$F$53="超过20%"</formula>
    </cfRule>
  </conditionalFormatting>
  <conditionalFormatting sqref="E54">
    <cfRule type="expression" dxfId="173" priority="10" stopIfTrue="1">
      <formula>$F$54="超过30%"</formula>
    </cfRule>
  </conditionalFormatting>
  <conditionalFormatting sqref="G52">
    <cfRule type="expression" dxfId="172" priority="9" stopIfTrue="1">
      <formula>$H$52="超过30%"</formula>
    </cfRule>
  </conditionalFormatting>
  <conditionalFormatting sqref="G53">
    <cfRule type="expression" dxfId="171" priority="8" stopIfTrue="1">
      <formula>$H$53="超过20%"</formula>
    </cfRule>
  </conditionalFormatting>
  <conditionalFormatting sqref="I52">
    <cfRule type="expression" dxfId="170" priority="7" stopIfTrue="1">
      <formula>$J$52="超过30%"</formula>
    </cfRule>
  </conditionalFormatting>
  <conditionalFormatting sqref="I53">
    <cfRule type="expression" dxfId="169" priority="6" stopIfTrue="1">
      <formula>$J$53="超过20%"</formula>
    </cfRule>
  </conditionalFormatting>
  <conditionalFormatting sqref="I54">
    <cfRule type="expression" dxfId="168" priority="5" stopIfTrue="1">
      <formula>$J$54="超过30%"</formula>
    </cfRule>
  </conditionalFormatting>
  <conditionalFormatting sqref="F48">
    <cfRule type="expression" dxfId="167" priority="4">
      <formula>$D$48="简单平均"</formula>
    </cfRule>
  </conditionalFormatting>
  <conditionalFormatting sqref="H48">
    <cfRule type="expression" dxfId="166" priority="3">
      <formula>$D$48="简单平均"</formula>
    </cfRule>
  </conditionalFormatting>
  <conditionalFormatting sqref="J48">
    <cfRule type="expression" dxfId="165" priority="2">
      <formula>$D$48="简单平均"</formula>
    </cfRule>
  </conditionalFormatting>
  <conditionalFormatting sqref="F7:F46 H7:H46 J7:J46">
    <cfRule type="cellIs" dxfId="16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66.03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1" t="s">
        <v>1770</v>
      </c>
      <c r="D4" s="3712"/>
      <c r="E4" s="3713" t="s">
        <v>1771</v>
      </c>
      <c r="F4" s="3714"/>
      <c r="G4" s="3711" t="s">
        <v>1772</v>
      </c>
      <c r="H4" s="3712"/>
      <c r="I4" s="3711" t="s">
        <v>1773</v>
      </c>
      <c r="J4" s="3712"/>
      <c r="K4" s="559" t="s">
        <v>1774</v>
      </c>
      <c r="L4" s="2715"/>
      <c r="M4" s="2716"/>
      <c r="N4" s="2716"/>
      <c r="O4" s="2716"/>
      <c r="P4" s="3715" t="s">
        <v>1775</v>
      </c>
      <c r="Q4" s="3716"/>
      <c r="R4" s="3721" t="s">
        <v>1771</v>
      </c>
      <c r="S4" s="3722"/>
      <c r="T4" s="3721" t="s">
        <v>1772</v>
      </c>
      <c r="U4" s="3722"/>
      <c r="V4" s="3727" t="s">
        <v>1773</v>
      </c>
      <c r="W4" s="3727"/>
      <c r="X4" s="1355"/>
      <c r="Y4" s="3721" t="s">
        <v>1775</v>
      </c>
      <c r="Z4" s="3722"/>
      <c r="AA4" s="3708" t="s">
        <v>1771</v>
      </c>
      <c r="AB4" s="3727" t="s">
        <v>1772</v>
      </c>
      <c r="AC4" s="3708" t="s">
        <v>1773</v>
      </c>
    </row>
    <row r="5" spans="1:29" ht="15">
      <c r="A5" s="358"/>
      <c r="B5" s="359"/>
      <c r="C5" s="3730" t="s">
        <v>1673</v>
      </c>
      <c r="D5" s="3731"/>
      <c r="E5" s="3737" t="s">
        <v>1674</v>
      </c>
      <c r="F5" s="3738"/>
      <c r="G5" s="3730" t="s">
        <v>1675</v>
      </c>
      <c r="H5" s="3731"/>
      <c r="I5" s="3730" t="s">
        <v>1676</v>
      </c>
      <c r="J5" s="3731"/>
      <c r="K5" s="559"/>
      <c r="L5" s="2715"/>
      <c r="M5" s="2716"/>
      <c r="N5" s="2716"/>
      <c r="O5" s="2716"/>
      <c r="P5" s="3717"/>
      <c r="Q5" s="3718"/>
      <c r="R5" s="3723"/>
      <c r="S5" s="3724"/>
      <c r="T5" s="3723"/>
      <c r="U5" s="3724"/>
      <c r="V5" s="3727"/>
      <c r="W5" s="3727"/>
      <c r="X5" s="1355"/>
      <c r="Y5" s="3723"/>
      <c r="Z5" s="3724"/>
      <c r="AA5" s="3709"/>
      <c r="AB5" s="3727"/>
      <c r="AC5" s="3709"/>
    </row>
    <row r="6" spans="1:29" ht="15.75" thickBot="1">
      <c r="A6" s="360"/>
      <c r="B6" s="361"/>
      <c r="C6" s="3728" t="s">
        <v>1677</v>
      </c>
      <c r="D6" s="3729"/>
      <c r="E6" s="3735" t="s">
        <v>1677</v>
      </c>
      <c r="F6" s="3736"/>
      <c r="G6" s="3728" t="s">
        <v>1677</v>
      </c>
      <c r="H6" s="3729"/>
      <c r="I6" s="3728" t="s">
        <v>1677</v>
      </c>
      <c r="J6" s="3729"/>
      <c r="K6" s="559" t="s">
        <v>1678</v>
      </c>
      <c r="L6" s="2715"/>
      <c r="M6" s="2716"/>
      <c r="N6" s="2716"/>
      <c r="O6" s="2716"/>
      <c r="P6" s="3719"/>
      <c r="Q6" s="3720"/>
      <c r="R6" s="3723"/>
      <c r="S6" s="3724"/>
      <c r="T6" s="3725"/>
      <c r="U6" s="3726"/>
      <c r="V6" s="3727"/>
      <c r="W6" s="3727"/>
      <c r="X6" s="1355"/>
      <c r="Y6" s="3725"/>
      <c r="Z6" s="3726"/>
      <c r="AA6" s="3710"/>
      <c r="AB6" s="3727"/>
      <c r="AC6" s="3710"/>
    </row>
    <row r="7" spans="1:29" s="108" customFormat="1" ht="15.75" thickBot="1">
      <c r="A7" s="362" t="s">
        <v>1679</v>
      </c>
      <c r="B7" s="363"/>
      <c r="C7" s="364">
        <f>'数据-取费表'!B2</f>
        <v>45275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32" t="s">
        <v>1680</v>
      </c>
      <c r="Q7" s="3734"/>
      <c r="R7" s="701" t="s">
        <v>14</v>
      </c>
      <c r="S7" s="702">
        <f t="shared" ref="S7:S15" si="0">F7</f>
        <v>0</v>
      </c>
      <c r="T7" s="701" t="s">
        <v>14</v>
      </c>
      <c r="U7" s="702">
        <f t="shared" ref="U7:U15" si="1">H7</f>
        <v>0</v>
      </c>
      <c r="V7" s="701" t="s">
        <v>14</v>
      </c>
      <c r="W7" s="702">
        <f t="shared" ref="W7:W15" si="2">J7</f>
        <v>0</v>
      </c>
      <c r="X7" s="703"/>
      <c r="Y7" s="3732" t="s">
        <v>1680</v>
      </c>
      <c r="Z7" s="373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32" t="s">
        <v>1683</v>
      </c>
      <c r="Q8" s="3733"/>
      <c r="R8" s="701" t="s">
        <v>14</v>
      </c>
      <c r="S8" s="702">
        <f t="shared" si="0"/>
        <v>100</v>
      </c>
      <c r="T8" s="701" t="s">
        <v>14</v>
      </c>
      <c r="U8" s="702">
        <f t="shared" si="1"/>
        <v>100</v>
      </c>
      <c r="V8" s="701" t="s">
        <v>14</v>
      </c>
      <c r="W8" s="702">
        <f t="shared" si="2"/>
        <v>100</v>
      </c>
      <c r="X8" s="703"/>
      <c r="Y8" s="3732" t="s">
        <v>1683</v>
      </c>
      <c r="Z8" s="373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7"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7"/>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7"/>
      <c r="Q11" s="1343" t="str">
        <f t="shared" si="6"/>
        <v>容积率</v>
      </c>
      <c r="R11" s="701" t="s">
        <v>14</v>
      </c>
      <c r="S11" s="702" t="e">
        <f t="shared" si="0"/>
        <v>#N/A</v>
      </c>
      <c r="T11" s="701" t="s">
        <v>14</v>
      </c>
      <c r="U11" s="702" t="e">
        <f t="shared" si="1"/>
        <v>#N/A</v>
      </c>
      <c r="V11" s="701" t="s">
        <v>14</v>
      </c>
      <c r="W11" s="702" t="e">
        <f t="shared" si="2"/>
        <v>#N/A</v>
      </c>
      <c r="X11" s="703"/>
      <c r="Y11" s="357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7"/>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7"/>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7"/>
      <c r="Q14" s="1343">
        <f t="shared" si="6"/>
        <v>111</v>
      </c>
      <c r="R14" s="701" t="s">
        <v>14</v>
      </c>
      <c r="S14" s="702">
        <f t="shared" si="0"/>
        <v>100</v>
      </c>
      <c r="T14" s="701" t="s">
        <v>14</v>
      </c>
      <c r="U14" s="702">
        <f t="shared" si="1"/>
        <v>100</v>
      </c>
      <c r="V14" s="701" t="s">
        <v>14</v>
      </c>
      <c r="W14" s="702">
        <f t="shared" si="2"/>
        <v>100</v>
      </c>
      <c r="X14" s="703"/>
      <c r="Y14" s="357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5" t="s">
        <v>1691</v>
      </c>
      <c r="Q15" s="1352" t="str">
        <f t="shared" si="6"/>
        <v>商业繁华度</v>
      </c>
      <c r="R15" s="705" t="s">
        <v>14</v>
      </c>
      <c r="S15" s="706">
        <f t="shared" si="0"/>
        <v>100</v>
      </c>
      <c r="T15" s="705" t="s">
        <v>14</v>
      </c>
      <c r="U15" s="706">
        <f t="shared" si="1"/>
        <v>100</v>
      </c>
      <c r="V15" s="705" t="s">
        <v>14</v>
      </c>
      <c r="W15" s="706">
        <f t="shared" si="2"/>
        <v>100</v>
      </c>
      <c r="X15" s="1355"/>
      <c r="Y15" s="369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6"/>
      <c r="Q22" s="1352"/>
      <c r="R22" s="705"/>
      <c r="S22" s="706"/>
      <c r="T22" s="705"/>
      <c r="U22" s="706"/>
      <c r="V22" s="705"/>
      <c r="W22" s="706"/>
      <c r="X22" s="1355"/>
      <c r="Y22" s="369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6"/>
      <c r="Q23" s="1352" t="str">
        <f>B23</f>
        <v>自然及人文环境</v>
      </c>
      <c r="R23" s="705" t="s">
        <v>14</v>
      </c>
      <c r="S23" s="706">
        <f>F23</f>
        <v>100</v>
      </c>
      <c r="T23" s="705" t="s">
        <v>14</v>
      </c>
      <c r="U23" s="706">
        <f>H23</f>
        <v>100</v>
      </c>
      <c r="V23" s="705" t="s">
        <v>14</v>
      </c>
      <c r="W23" s="706">
        <f>J23</f>
        <v>100</v>
      </c>
      <c r="X23" s="1355"/>
      <c r="Y23" s="369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6"/>
      <c r="Q25" s="1352" t="str">
        <f t="shared" ref="Q25:Q46" si="11">B25</f>
        <v>临街状况</v>
      </c>
      <c r="R25" s="705" t="s">
        <v>14</v>
      </c>
      <c r="S25" s="706">
        <f>F25</f>
        <v>100</v>
      </c>
      <c r="T25" s="705" t="s">
        <v>14</v>
      </c>
      <c r="U25" s="706">
        <f>H25</f>
        <v>100</v>
      </c>
      <c r="V25" s="705" t="s">
        <v>14</v>
      </c>
      <c r="W25" s="706">
        <f>J25</f>
        <v>100</v>
      </c>
      <c r="X25" s="1355"/>
      <c r="Y25" s="369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6"/>
      <c r="Q26" s="1352" t="str">
        <f t="shared" si="11"/>
        <v>平面位置/可视性</v>
      </c>
      <c r="R26" s="705" t="s">
        <v>14</v>
      </c>
      <c r="S26" s="706">
        <f>F26</f>
        <v>100</v>
      </c>
      <c r="T26" s="705" t="s">
        <v>14</v>
      </c>
      <c r="U26" s="706">
        <f>H26</f>
        <v>100</v>
      </c>
      <c r="V26" s="705" t="s">
        <v>14</v>
      </c>
      <c r="W26" s="706">
        <f>J26</f>
        <v>100</v>
      </c>
      <c r="X26" s="1355"/>
      <c r="Y26" s="369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6"/>
      <c r="Q27" s="1343" t="str">
        <f t="shared" si="11"/>
        <v>人流量</v>
      </c>
      <c r="R27" s="701" t="s">
        <v>14</v>
      </c>
      <c r="S27" s="702">
        <f>F27</f>
        <v>100</v>
      </c>
      <c r="T27" s="701" t="s">
        <v>14</v>
      </c>
      <c r="U27" s="702">
        <f>H27</f>
        <v>100</v>
      </c>
      <c r="V27" s="701" t="s">
        <v>14</v>
      </c>
      <c r="W27" s="702">
        <f>J27</f>
        <v>100</v>
      </c>
      <c r="X27" s="703"/>
      <c r="Y27" s="369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6"/>
      <c r="Q29" s="1352">
        <f t="shared" si="11"/>
        <v>111</v>
      </c>
      <c r="R29" s="705" t="s">
        <v>14</v>
      </c>
      <c r="S29" s="706">
        <f t="shared" si="12"/>
        <v>100</v>
      </c>
      <c r="T29" s="705" t="s">
        <v>14</v>
      </c>
      <c r="U29" s="706">
        <f t="shared" si="13"/>
        <v>100</v>
      </c>
      <c r="V29" s="705" t="s">
        <v>14</v>
      </c>
      <c r="W29" s="706">
        <f t="shared" si="14"/>
        <v>100</v>
      </c>
      <c r="X29" s="1355"/>
      <c r="Y29" s="369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0" t="s">
        <v>1696</v>
      </c>
      <c r="Q32" s="1352" t="str">
        <f t="shared" si="11"/>
        <v>商业类型</v>
      </c>
      <c r="R32" s="705" t="s">
        <v>14</v>
      </c>
      <c r="S32" s="706">
        <f t="shared" si="12"/>
        <v>100</v>
      </c>
      <c r="T32" s="705" t="s">
        <v>14</v>
      </c>
      <c r="U32" s="706">
        <f t="shared" si="13"/>
        <v>100</v>
      </c>
      <c r="V32" s="705" t="s">
        <v>14</v>
      </c>
      <c r="W32" s="706">
        <f t="shared" si="14"/>
        <v>100</v>
      </c>
      <c r="X32" s="1355"/>
      <c r="Y32" s="370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1"/>
      <c r="Q33" s="707" t="str">
        <f t="shared" si="11"/>
        <v>项目建筑规模</v>
      </c>
      <c r="R33" s="708" t="s">
        <v>14</v>
      </c>
      <c r="S33" s="709" t="e">
        <f t="shared" si="12"/>
        <v>#N/A</v>
      </c>
      <c r="T33" s="708" t="s">
        <v>14</v>
      </c>
      <c r="U33" s="709" t="e">
        <f t="shared" si="13"/>
        <v>#N/A</v>
      </c>
      <c r="V33" s="708" t="s">
        <v>14</v>
      </c>
      <c r="W33" s="709" t="e">
        <f t="shared" si="14"/>
        <v>#N/A</v>
      </c>
      <c r="X33" s="710"/>
      <c r="Y33" s="370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1"/>
      <c r="Q34" s="1352" t="str">
        <f t="shared" si="11"/>
        <v>建筑结构</v>
      </c>
      <c r="R34" s="705" t="s">
        <v>14</v>
      </c>
      <c r="S34" s="706">
        <f t="shared" si="12"/>
        <v>100</v>
      </c>
      <c r="T34" s="705" t="s">
        <v>14</v>
      </c>
      <c r="U34" s="706">
        <f t="shared" si="13"/>
        <v>100</v>
      </c>
      <c r="V34" s="705" t="s">
        <v>14</v>
      </c>
      <c r="W34" s="706">
        <f t="shared" si="14"/>
        <v>100</v>
      </c>
      <c r="X34" s="1355"/>
      <c r="Y34" s="370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1"/>
      <c r="Q35" s="1352" t="str">
        <f t="shared" si="11"/>
        <v>公共部分装修</v>
      </c>
      <c r="R35" s="705" t="s">
        <v>14</v>
      </c>
      <c r="S35" s="706">
        <f t="shared" si="12"/>
        <v>100</v>
      </c>
      <c r="T35" s="705" t="s">
        <v>14</v>
      </c>
      <c r="U35" s="706">
        <f t="shared" si="13"/>
        <v>100</v>
      </c>
      <c r="V35" s="705" t="s">
        <v>14</v>
      </c>
      <c r="W35" s="706">
        <f t="shared" si="14"/>
        <v>100</v>
      </c>
      <c r="X35" s="1355"/>
      <c r="Y35" s="370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1"/>
      <c r="Q36" s="1352" t="str">
        <f t="shared" si="11"/>
        <v>成新度</v>
      </c>
      <c r="R36" s="705" t="s">
        <v>14</v>
      </c>
      <c r="S36" s="706" t="e">
        <f t="shared" si="12"/>
        <v>#N/A</v>
      </c>
      <c r="T36" s="705" t="s">
        <v>14</v>
      </c>
      <c r="U36" s="706" t="e">
        <f t="shared" si="13"/>
        <v>#N/A</v>
      </c>
      <c r="V36" s="705" t="s">
        <v>14</v>
      </c>
      <c r="W36" s="706" t="e">
        <f t="shared" si="14"/>
        <v>#N/A</v>
      </c>
      <c r="X36" s="1355"/>
      <c r="Y36" s="370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1"/>
      <c r="Q37" s="1343" t="str">
        <f t="shared" si="11"/>
        <v>市政基础设施</v>
      </c>
      <c r="R37" s="701" t="s">
        <v>14</v>
      </c>
      <c r="S37" s="702">
        <f t="shared" si="12"/>
        <v>100</v>
      </c>
      <c r="T37" s="701" t="s">
        <v>14</v>
      </c>
      <c r="U37" s="702">
        <f t="shared" si="13"/>
        <v>100</v>
      </c>
      <c r="V37" s="701" t="s">
        <v>14</v>
      </c>
      <c r="W37" s="702">
        <f t="shared" si="14"/>
        <v>100</v>
      </c>
      <c r="X37" s="703"/>
      <c r="Y37" s="370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1" t="s">
        <v>1696</v>
      </c>
      <c r="Q38" s="1352" t="str">
        <f t="shared" si="11"/>
        <v>业态</v>
      </c>
      <c r="R38" s="705" t="s">
        <v>14</v>
      </c>
      <c r="S38" s="706">
        <f t="shared" si="12"/>
        <v>100</v>
      </c>
      <c r="T38" s="705" t="s">
        <v>14</v>
      </c>
      <c r="U38" s="706">
        <f t="shared" si="13"/>
        <v>100</v>
      </c>
      <c r="V38" s="705" t="s">
        <v>14</v>
      </c>
      <c r="W38" s="706">
        <f t="shared" si="14"/>
        <v>100</v>
      </c>
      <c r="X38" s="1355"/>
      <c r="Y38" s="370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1"/>
      <c r="Q39" s="1352" t="str">
        <f t="shared" si="11"/>
        <v>层高</v>
      </c>
      <c r="R39" s="705" t="s">
        <v>14</v>
      </c>
      <c r="S39" s="706">
        <f t="shared" si="12"/>
        <v>100</v>
      </c>
      <c r="T39" s="705" t="s">
        <v>14</v>
      </c>
      <c r="U39" s="706">
        <f t="shared" si="13"/>
        <v>100</v>
      </c>
      <c r="V39" s="705" t="s">
        <v>14</v>
      </c>
      <c r="W39" s="706">
        <f t="shared" si="14"/>
        <v>100</v>
      </c>
      <c r="X39" s="1355"/>
      <c r="Y39" s="370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1"/>
      <c r="Q40" s="1352" t="str">
        <f t="shared" si="11"/>
        <v>单套建筑面积</v>
      </c>
      <c r="R40" s="705" t="s">
        <v>14</v>
      </c>
      <c r="S40" s="706">
        <f t="shared" si="12"/>
        <v>100</v>
      </c>
      <c r="T40" s="705" t="s">
        <v>14</v>
      </c>
      <c r="U40" s="706">
        <f t="shared" si="13"/>
        <v>100</v>
      </c>
      <c r="V40" s="705" t="s">
        <v>14</v>
      </c>
      <c r="W40" s="706">
        <f t="shared" si="14"/>
        <v>100</v>
      </c>
      <c r="X40" s="1355"/>
      <c r="Y40" s="370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1"/>
      <c r="Q41" s="707" t="str">
        <f t="shared" si="11"/>
        <v>进深比</v>
      </c>
      <c r="R41" s="708" t="s">
        <v>14</v>
      </c>
      <c r="S41" s="709">
        <f t="shared" si="12"/>
        <v>100</v>
      </c>
      <c r="T41" s="708" t="s">
        <v>14</v>
      </c>
      <c r="U41" s="709">
        <f t="shared" si="13"/>
        <v>100</v>
      </c>
      <c r="V41" s="708" t="s">
        <v>14</v>
      </c>
      <c r="W41" s="709">
        <f t="shared" si="14"/>
        <v>100</v>
      </c>
      <c r="X41" s="710"/>
      <c r="Y41" s="370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1"/>
      <c r="Q42" s="1352" t="str">
        <f t="shared" si="11"/>
        <v>内部装修</v>
      </c>
      <c r="R42" s="705" t="s">
        <v>14</v>
      </c>
      <c r="S42" s="706">
        <f t="shared" si="12"/>
        <v>100</v>
      </c>
      <c r="T42" s="705" t="s">
        <v>14</v>
      </c>
      <c r="U42" s="706">
        <f t="shared" si="13"/>
        <v>100</v>
      </c>
      <c r="V42" s="705" t="s">
        <v>14</v>
      </c>
      <c r="W42" s="706">
        <f t="shared" si="14"/>
        <v>100</v>
      </c>
      <c r="X42" s="1355"/>
      <c r="Y42" s="370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1"/>
      <c r="Q43" s="1352" t="str">
        <f t="shared" si="11"/>
        <v>内部装修维护情况</v>
      </c>
      <c r="R43" s="705" t="s">
        <v>14</v>
      </c>
      <c r="S43" s="706">
        <f t="shared" si="12"/>
        <v>100</v>
      </c>
      <c r="T43" s="705" t="s">
        <v>14</v>
      </c>
      <c r="U43" s="706">
        <f t="shared" si="13"/>
        <v>100</v>
      </c>
      <c r="V43" s="705" t="s">
        <v>14</v>
      </c>
      <c r="W43" s="706">
        <f t="shared" si="14"/>
        <v>100</v>
      </c>
      <c r="X43" s="1355"/>
      <c r="Y43" s="370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1"/>
      <c r="Q44" s="1343">
        <f t="shared" si="11"/>
        <v>111</v>
      </c>
      <c r="R44" s="701" t="s">
        <v>14</v>
      </c>
      <c r="S44" s="702">
        <f t="shared" si="12"/>
        <v>100</v>
      </c>
      <c r="T44" s="701" t="s">
        <v>14</v>
      </c>
      <c r="U44" s="702">
        <f t="shared" si="13"/>
        <v>100</v>
      </c>
      <c r="V44" s="701" t="s">
        <v>14</v>
      </c>
      <c r="W44" s="702">
        <f t="shared" si="14"/>
        <v>100</v>
      </c>
      <c r="X44" s="703"/>
      <c r="Y44" s="370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1"/>
      <c r="Q45" s="1352">
        <f t="shared" si="11"/>
        <v>111</v>
      </c>
      <c r="R45" s="705" t="s">
        <v>14</v>
      </c>
      <c r="S45" s="706">
        <f t="shared" si="12"/>
        <v>100</v>
      </c>
      <c r="T45" s="705" t="s">
        <v>14</v>
      </c>
      <c r="U45" s="706">
        <f t="shared" si="13"/>
        <v>100</v>
      </c>
      <c r="V45" s="705" t="s">
        <v>14</v>
      </c>
      <c r="W45" s="706">
        <f t="shared" si="14"/>
        <v>100</v>
      </c>
      <c r="X45" s="1355"/>
      <c r="Y45" s="370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6" t="str">
        <f>A47</f>
        <v>成交单价（元/平方米）</v>
      </c>
      <c r="Q47" s="3696"/>
      <c r="R47" s="3727">
        <f>E47</f>
        <v>0</v>
      </c>
      <c r="S47" s="3727"/>
      <c r="T47" s="3727">
        <f>G47</f>
        <v>0</v>
      </c>
      <c r="U47" s="3727"/>
      <c r="V47" s="3727">
        <f>I47</f>
        <v>0</v>
      </c>
      <c r="W47" s="372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2023-12</v>
      </c>
      <c r="D58" s="1185">
        <f>EDATE(C58,-1)</f>
        <v>45231</v>
      </c>
      <c r="E58" s="1185">
        <f t="shared" ref="E58:N58" si="16">EDATE(D58,-1)</f>
        <v>45200</v>
      </c>
      <c r="F58" s="1185">
        <f t="shared" si="16"/>
        <v>45170</v>
      </c>
      <c r="G58" s="1185">
        <f t="shared" si="16"/>
        <v>45139</v>
      </c>
      <c r="H58" s="1185">
        <f t="shared" si="16"/>
        <v>45108</v>
      </c>
      <c r="I58" s="1185">
        <f t="shared" si="16"/>
        <v>45078</v>
      </c>
      <c r="J58" s="1185">
        <f t="shared" si="16"/>
        <v>45047</v>
      </c>
      <c r="K58" s="1185">
        <f t="shared" si="16"/>
        <v>45017</v>
      </c>
      <c r="L58" s="1185">
        <f t="shared" si="16"/>
        <v>44986</v>
      </c>
      <c r="M58" s="1185">
        <f t="shared" si="16"/>
        <v>44958</v>
      </c>
      <c r="N58" s="1185">
        <f t="shared" si="16"/>
        <v>44927</v>
      </c>
      <c r="O58" s="1185">
        <f>EDATE(N58,-1)</f>
        <v>44896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3" priority="21" stopIfTrue="1" operator="containsText" text="超过">
      <formula>NOT(ISERROR(SEARCH("超过",F52)))</formula>
    </cfRule>
  </conditionalFormatting>
  <conditionalFormatting sqref="H54">
    <cfRule type="containsText" dxfId="162" priority="19" stopIfTrue="1" operator="containsText" text="超过">
      <formula>NOT(ISERROR(SEARCH("超过",H54)))</formula>
    </cfRule>
  </conditionalFormatting>
  <conditionalFormatting sqref="F54">
    <cfRule type="containsText" dxfId="161" priority="18" stopIfTrue="1" operator="containsText" text="超过">
      <formula>NOT(ISERROR(SEARCH("超过",F54)))</formula>
    </cfRule>
  </conditionalFormatting>
  <conditionalFormatting sqref="F53 H53">
    <cfRule type="containsText" dxfId="160" priority="17" stopIfTrue="1" operator="containsText" text="超过">
      <formula>NOT(ISERROR(SEARCH("超过",F53)))</formula>
    </cfRule>
  </conditionalFormatting>
  <conditionalFormatting sqref="E52">
    <cfRule type="expression" dxfId="159" priority="16" stopIfTrue="1">
      <formula>$F$52="超过30%"</formula>
    </cfRule>
  </conditionalFormatting>
  <conditionalFormatting sqref="E53">
    <cfRule type="expression" dxfId="158" priority="15" stopIfTrue="1">
      <formula>$F$53="超过20%"</formula>
    </cfRule>
  </conditionalFormatting>
  <conditionalFormatting sqref="E54">
    <cfRule type="expression" dxfId="157" priority="14" stopIfTrue="1">
      <formula>$F$54="超过30%"</formula>
    </cfRule>
  </conditionalFormatting>
  <conditionalFormatting sqref="G54">
    <cfRule type="expression" dxfId="156" priority="13" stopIfTrue="1">
      <formula>$H$54="超过30%"</formula>
    </cfRule>
  </conditionalFormatting>
  <conditionalFormatting sqref="G52">
    <cfRule type="expression" dxfId="155" priority="12" stopIfTrue="1">
      <formula>$H$52="超过30%"</formula>
    </cfRule>
  </conditionalFormatting>
  <conditionalFormatting sqref="G53">
    <cfRule type="expression" dxfId="154" priority="11" stopIfTrue="1">
      <formula>$H$53="超过20%"</formula>
    </cfRule>
  </conditionalFormatting>
  <conditionalFormatting sqref="J52">
    <cfRule type="containsText" dxfId="153" priority="10" stopIfTrue="1" operator="containsText" text="超过">
      <formula>NOT(ISERROR(SEARCH("超过",J52)))</formula>
    </cfRule>
  </conditionalFormatting>
  <conditionalFormatting sqref="J54">
    <cfRule type="containsText" dxfId="152" priority="9" stopIfTrue="1" operator="containsText" text="超过">
      <formula>NOT(ISERROR(SEARCH("超过",J54)))</formula>
    </cfRule>
  </conditionalFormatting>
  <conditionalFormatting sqref="J53">
    <cfRule type="containsText" dxfId="151" priority="8" stopIfTrue="1" operator="containsText" text="超过">
      <formula>NOT(ISERROR(SEARCH("超过",J53)))</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23" zoomScale="80" zoomScaleNormal="70" zoomScaleSheetLayoutView="80" workbookViewId="0">
      <selection activeCell="I24" sqref="I2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3414</v>
      </c>
      <c r="F1" s="1879" t="s">
        <v>3584</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163</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24623</v>
      </c>
      <c r="C3" s="354" t="s">
        <v>1768</v>
      </c>
      <c r="D3" s="353">
        <f>IF(D1="",'数据-汇总表'!E3,SUMIF('数据-汇总表'!$C19:$C33,D1,'数据-汇总表'!$E19:$E33))</f>
        <v>66.03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1" t="s">
        <v>1770</v>
      </c>
      <c r="D4" s="3712"/>
      <c r="E4" s="3713" t="s">
        <v>1771</v>
      </c>
      <c r="F4" s="3714"/>
      <c r="G4" s="3711" t="s">
        <v>1772</v>
      </c>
      <c r="H4" s="3712"/>
      <c r="I4" s="3711" t="s">
        <v>1773</v>
      </c>
      <c r="J4" s="3712"/>
      <c r="K4" s="559" t="s">
        <v>1774</v>
      </c>
      <c r="L4" s="2715"/>
      <c r="M4" s="2716"/>
      <c r="N4" s="2716"/>
      <c r="O4" s="2716"/>
      <c r="P4" s="3745" t="s">
        <v>1775</v>
      </c>
      <c r="Q4" s="3746"/>
      <c r="R4" s="3749" t="s">
        <v>1771</v>
      </c>
      <c r="S4" s="3750"/>
      <c r="T4" s="3749" t="s">
        <v>1772</v>
      </c>
      <c r="U4" s="3750"/>
      <c r="V4" s="3751" t="s">
        <v>1773</v>
      </c>
      <c r="W4" s="3751"/>
      <c r="X4" s="1958"/>
      <c r="Y4" s="3749" t="s">
        <v>1775</v>
      </c>
      <c r="Z4" s="3750"/>
      <c r="AA4" s="3754" t="s">
        <v>1771</v>
      </c>
      <c r="AB4" s="3754" t="s">
        <v>1772</v>
      </c>
      <c r="AC4" s="3742" t="s">
        <v>1773</v>
      </c>
    </row>
    <row r="5" spans="1:29" ht="15">
      <c r="A5" s="358"/>
      <c r="B5" s="359"/>
      <c r="C5" s="3730" t="s">
        <v>1673</v>
      </c>
      <c r="D5" s="3731"/>
      <c r="E5" s="3737" t="str">
        <f>中指!A1</f>
        <v>北京城建·府前龙樾</v>
      </c>
      <c r="F5" s="3738"/>
      <c r="G5" s="3752" t="str">
        <f>I5</f>
        <v>翡翠华庭家园</v>
      </c>
      <c r="H5" s="3731"/>
      <c r="I5" s="3752" t="str">
        <f>中指!A8</f>
        <v>翡翠华庭家园</v>
      </c>
      <c r="J5" s="3731"/>
      <c r="K5" s="559"/>
      <c r="L5" s="2715"/>
      <c r="M5" s="2716"/>
      <c r="N5" s="2716"/>
      <c r="O5" s="2716"/>
      <c r="P5" s="3747"/>
      <c r="Q5" s="3718"/>
      <c r="R5" s="3723"/>
      <c r="S5" s="3724"/>
      <c r="T5" s="3723"/>
      <c r="U5" s="3724"/>
      <c r="V5" s="3727"/>
      <c r="W5" s="3727"/>
      <c r="X5" s="1355"/>
      <c r="Y5" s="3723"/>
      <c r="Z5" s="3724"/>
      <c r="AA5" s="3709"/>
      <c r="AB5" s="3709"/>
      <c r="AC5" s="3743"/>
    </row>
    <row r="6" spans="1:29" ht="15.75" thickBot="1">
      <c r="A6" s="360"/>
      <c r="B6" s="361"/>
      <c r="C6" s="3728" t="s">
        <v>1677</v>
      </c>
      <c r="D6" s="3729"/>
      <c r="E6" s="3735" t="s">
        <v>1677</v>
      </c>
      <c r="F6" s="3736"/>
      <c r="G6" s="3728" t="s">
        <v>1677</v>
      </c>
      <c r="H6" s="3729"/>
      <c r="I6" s="3728" t="s">
        <v>1677</v>
      </c>
      <c r="J6" s="3729"/>
      <c r="K6" s="559" t="s">
        <v>1678</v>
      </c>
      <c r="L6" s="2715"/>
      <c r="M6" s="2716"/>
      <c r="N6" s="2716"/>
      <c r="O6" s="2716"/>
      <c r="P6" s="3748"/>
      <c r="Q6" s="3720"/>
      <c r="R6" s="3723"/>
      <c r="S6" s="3724"/>
      <c r="T6" s="3725"/>
      <c r="U6" s="3726"/>
      <c r="V6" s="3727"/>
      <c r="W6" s="3727"/>
      <c r="X6" s="1355"/>
      <c r="Y6" s="3725"/>
      <c r="Z6" s="3726"/>
      <c r="AA6" s="3710"/>
      <c r="AB6" s="3710"/>
      <c r="AC6" s="3744"/>
    </row>
    <row r="7" spans="1:29" s="108" customFormat="1" ht="15.75" thickBot="1">
      <c r="A7" s="362" t="s">
        <v>1679</v>
      </c>
      <c r="B7" s="363"/>
      <c r="C7" s="364">
        <f>'数据-取费表'!B2</f>
        <v>45275</v>
      </c>
      <c r="D7" s="365">
        <v>100</v>
      </c>
      <c r="E7" s="366">
        <f>中指!A3</f>
        <v>45075.333831018521</v>
      </c>
      <c r="F7" s="367">
        <f>SUMIF(59:59,YEAR(E7)&amp;"-"&amp;MONTH(E7),60:60)</f>
        <v>101</v>
      </c>
      <c r="G7" s="366">
        <f>中指!A12</f>
        <v>45014.333831018521</v>
      </c>
      <c r="H7" s="365">
        <f>SUMIF(59:59,YEAR(G7)&amp;"-"&amp;MONTH(G7),60:60)</f>
        <v>101</v>
      </c>
      <c r="I7" s="366">
        <f>中指!A19</f>
        <v>45014.333831018521</v>
      </c>
      <c r="J7" s="365">
        <f>SUMIF(59:59,YEAR(I7)&amp;"-"&amp;MONTH(I7),60:60)</f>
        <v>101</v>
      </c>
      <c r="K7" s="560"/>
      <c r="L7" s="2717"/>
      <c r="M7" s="2718"/>
      <c r="N7" s="2718"/>
      <c r="O7" s="2718"/>
      <c r="P7" s="3753" t="s">
        <v>1680</v>
      </c>
      <c r="Q7" s="3734"/>
      <c r="R7" s="701" t="s">
        <v>14</v>
      </c>
      <c r="S7" s="702">
        <f t="shared" ref="S7:S15" si="0">F7</f>
        <v>101</v>
      </c>
      <c r="T7" s="701" t="s">
        <v>14</v>
      </c>
      <c r="U7" s="702">
        <f t="shared" ref="U7:U15" si="1">H7</f>
        <v>101</v>
      </c>
      <c r="V7" s="701" t="s">
        <v>14</v>
      </c>
      <c r="W7" s="702">
        <f t="shared" ref="W7:W15" si="2">J7</f>
        <v>101</v>
      </c>
      <c r="X7" s="703"/>
      <c r="Y7" s="3732" t="s">
        <v>1680</v>
      </c>
      <c r="Z7" s="3733"/>
      <c r="AA7" s="704">
        <f>D7/F7</f>
        <v>0.99009900990099009</v>
      </c>
      <c r="AB7" s="704">
        <f>D7/H7</f>
        <v>0.99009900990099009</v>
      </c>
      <c r="AC7" s="1959">
        <f>D7/J7</f>
        <v>0.99009900990099009</v>
      </c>
    </row>
    <row r="8" spans="1:29" s="108" customFormat="1" ht="15.75" thickBot="1">
      <c r="A8" s="362" t="s">
        <v>1681</v>
      </c>
      <c r="B8" s="363"/>
      <c r="C8" s="368" t="s">
        <v>3576</v>
      </c>
      <c r="D8" s="365">
        <v>100</v>
      </c>
      <c r="E8" s="368" t="s">
        <v>3576</v>
      </c>
      <c r="F8" s="367">
        <f>SUMIF(62:62,E8,63:63)-SUMIF(62:62,C8,63:63)+100</f>
        <v>100</v>
      </c>
      <c r="G8" s="368" t="s">
        <v>3576</v>
      </c>
      <c r="H8" s="365">
        <f>SUMIF(62:62,G8,63:63)-SUMIF(62:62,C8,63:63)+100</f>
        <v>100</v>
      </c>
      <c r="I8" s="368" t="s">
        <v>3576</v>
      </c>
      <c r="J8" s="365">
        <f>SUMIF(62:62,I8,63:63)-SUMIF(62:62,C8,63:63)+100</f>
        <v>100</v>
      </c>
      <c r="K8" s="560"/>
      <c r="L8" s="2717"/>
      <c r="M8" s="2718"/>
      <c r="N8" s="2718"/>
      <c r="O8" s="2718"/>
      <c r="P8" s="3753" t="s">
        <v>1683</v>
      </c>
      <c r="Q8" s="3733"/>
      <c r="R8" s="701" t="s">
        <v>14</v>
      </c>
      <c r="S8" s="702">
        <f t="shared" si="0"/>
        <v>100</v>
      </c>
      <c r="T8" s="701" t="s">
        <v>14</v>
      </c>
      <c r="U8" s="702">
        <f t="shared" si="1"/>
        <v>100</v>
      </c>
      <c r="V8" s="701" t="s">
        <v>14</v>
      </c>
      <c r="W8" s="702">
        <f t="shared" si="2"/>
        <v>100</v>
      </c>
      <c r="X8" s="703"/>
      <c r="Y8" s="3732" t="s">
        <v>1683</v>
      </c>
      <c r="Z8" s="3733"/>
      <c r="AA8" s="704">
        <f t="shared" ref="AA8:AA47" si="3">D8/F8</f>
        <v>1</v>
      </c>
      <c r="AB8" s="704">
        <f t="shared" ref="AB8:AB47" si="4">D8/H8</f>
        <v>1</v>
      </c>
      <c r="AC8" s="1959">
        <f t="shared" ref="AC8:AC47" si="5">D8/J8</f>
        <v>1</v>
      </c>
    </row>
    <row r="9" spans="1:29" s="108" customFormat="1">
      <c r="A9" s="369" t="s">
        <v>1684</v>
      </c>
      <c r="B9" s="63" t="s">
        <v>1685</v>
      </c>
      <c r="C9" s="3452" t="s">
        <v>3577</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707"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1959">
        <f t="shared" si="5"/>
        <v>1</v>
      </c>
    </row>
    <row r="10" spans="1:29" s="378" customFormat="1" ht="27">
      <c r="A10" s="374"/>
      <c r="B10" s="375" t="s">
        <v>1688</v>
      </c>
      <c r="C10" s="3434" t="str">
        <f>D66</f>
        <v>10-20（含）</v>
      </c>
      <c r="D10" s="127">
        <v>100</v>
      </c>
      <c r="E10" s="3434" t="str">
        <f>G66</f>
        <v>40-50（含）</v>
      </c>
      <c r="F10" s="127">
        <f>SUMIF(66:66,E10,67:67)-SUMIF(66:66,C10,67:67)+100</f>
        <v>106</v>
      </c>
      <c r="G10" s="3435" t="str">
        <f>G66</f>
        <v>40-50（含）</v>
      </c>
      <c r="H10" s="127">
        <f>SUMIF(66:66,G10,67:67)-SUMIF(66:66,C10,67:67)+100</f>
        <v>106</v>
      </c>
      <c r="I10" s="3434" t="str">
        <f>G66</f>
        <v>40-50（含）</v>
      </c>
      <c r="J10" s="127">
        <f>SUMIF(66:66,I10,67:67)-SUMIF(66:66,C10,67:67)+100</f>
        <v>106</v>
      </c>
      <c r="K10" s="560"/>
      <c r="L10" s="2719"/>
      <c r="M10" s="2720"/>
      <c r="N10" s="2720"/>
      <c r="O10" s="2720"/>
      <c r="P10" s="3707"/>
      <c r="Q10" s="1343" t="str">
        <f t="shared" si="6"/>
        <v>土地使用年限（年）</v>
      </c>
      <c r="R10" s="701" t="s">
        <v>14</v>
      </c>
      <c r="S10" s="702">
        <f t="shared" si="0"/>
        <v>106</v>
      </c>
      <c r="T10" s="701" t="s">
        <v>14</v>
      </c>
      <c r="U10" s="702">
        <f t="shared" si="1"/>
        <v>106</v>
      </c>
      <c r="V10" s="701" t="s">
        <v>14</v>
      </c>
      <c r="W10" s="702">
        <f t="shared" si="2"/>
        <v>106</v>
      </c>
      <c r="X10" s="703"/>
      <c r="Y10" s="3571"/>
      <c r="Z10" s="52" t="str">
        <f t="shared" si="7"/>
        <v>土地使用年限（年）</v>
      </c>
      <c r="AA10" s="704">
        <f t="shared" si="3"/>
        <v>0.94339622641509435</v>
      </c>
      <c r="AB10" s="704">
        <f t="shared" si="4"/>
        <v>0.94339622641509435</v>
      </c>
      <c r="AC10" s="1959">
        <f t="shared" si="5"/>
        <v>0.94339622641509435</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7"/>
      <c r="Q11" s="1343" t="str">
        <f t="shared" si="6"/>
        <v>容积率</v>
      </c>
      <c r="R11" s="701" t="s">
        <v>14</v>
      </c>
      <c r="S11" s="702">
        <f t="shared" si="0"/>
        <v>100</v>
      </c>
      <c r="T11" s="701" t="s">
        <v>14</v>
      </c>
      <c r="U11" s="702">
        <f t="shared" si="1"/>
        <v>100</v>
      </c>
      <c r="V11" s="701" t="s">
        <v>14</v>
      </c>
      <c r="W11" s="702">
        <f t="shared" si="2"/>
        <v>100</v>
      </c>
      <c r="X11" s="703"/>
      <c r="Y11" s="3571"/>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7"/>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7"/>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7"/>
      <c r="Q14" s="1343">
        <f t="shared" si="6"/>
        <v>111</v>
      </c>
      <c r="R14" s="701" t="s">
        <v>14</v>
      </c>
      <c r="S14" s="702">
        <f t="shared" si="0"/>
        <v>100</v>
      </c>
      <c r="T14" s="701" t="s">
        <v>14</v>
      </c>
      <c r="U14" s="702">
        <f t="shared" si="1"/>
        <v>100</v>
      </c>
      <c r="V14" s="701" t="s">
        <v>14</v>
      </c>
      <c r="W14" s="702">
        <f t="shared" si="2"/>
        <v>100</v>
      </c>
      <c r="X14" s="703"/>
      <c r="Y14" s="357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5" t="s">
        <v>1691</v>
      </c>
      <c r="Q15" s="1352" t="str">
        <f t="shared" si="6"/>
        <v>办公集聚程度</v>
      </c>
      <c r="R15" s="705" t="s">
        <v>14</v>
      </c>
      <c r="S15" s="706">
        <f t="shared" si="0"/>
        <v>100</v>
      </c>
      <c r="T15" s="705" t="s">
        <v>14</v>
      </c>
      <c r="U15" s="706">
        <f t="shared" si="1"/>
        <v>100</v>
      </c>
      <c r="V15" s="705" t="s">
        <v>14</v>
      </c>
      <c r="W15" s="706">
        <f t="shared" si="2"/>
        <v>100</v>
      </c>
      <c r="X15" s="1355"/>
      <c r="Y15" s="3698" t="s">
        <v>1691</v>
      </c>
      <c r="Z15" s="1356" t="str">
        <f t="shared" si="7"/>
        <v>办公集聚程度</v>
      </c>
      <c r="AA15" s="1353">
        <f t="shared" si="3"/>
        <v>1</v>
      </c>
      <c r="AB15" s="1353">
        <f t="shared" si="4"/>
        <v>1</v>
      </c>
      <c r="AC15" s="1962">
        <f t="shared" si="5"/>
        <v>1</v>
      </c>
    </row>
    <row r="16" spans="1:29" ht="15">
      <c r="A16" s="379"/>
      <c r="B16" s="578"/>
      <c r="C16" s="1904" t="s">
        <v>3410</v>
      </c>
      <c r="D16" s="399"/>
      <c r="E16" s="1904" t="s">
        <v>3410</v>
      </c>
      <c r="F16" s="399"/>
      <c r="G16" s="1904" t="s">
        <v>3410</v>
      </c>
      <c r="H16" s="401"/>
      <c r="I16" s="1904" t="s">
        <v>3410</v>
      </c>
      <c r="J16" s="399"/>
      <c r="K16" s="564"/>
      <c r="L16" s="2722"/>
      <c r="M16" s="2716"/>
      <c r="N16" s="2716"/>
      <c r="O16" s="2716"/>
      <c r="P16" s="3706"/>
      <c r="Q16" s="1352"/>
      <c r="R16" s="705"/>
      <c r="S16" s="706"/>
      <c r="T16" s="705"/>
      <c r="U16" s="706"/>
      <c r="V16" s="705"/>
      <c r="W16" s="706"/>
      <c r="X16" s="1355"/>
      <c r="Y16" s="369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962">
        <f t="shared" si="5"/>
        <v>1</v>
      </c>
    </row>
    <row r="18" spans="1:29" ht="15">
      <c r="A18" s="379"/>
      <c r="B18" s="580"/>
      <c r="C18" s="1964" t="s">
        <v>3410</v>
      </c>
      <c r="D18" s="401"/>
      <c r="E18" s="1964" t="s">
        <v>3410</v>
      </c>
      <c r="F18" s="401"/>
      <c r="G18" s="1964" t="s">
        <v>3410</v>
      </c>
      <c r="H18" s="399"/>
      <c r="I18" s="1964" t="s">
        <v>3410</v>
      </c>
      <c r="J18" s="399"/>
      <c r="K18" s="564"/>
      <c r="L18" s="2722"/>
      <c r="M18" s="2716"/>
      <c r="N18" s="2716"/>
      <c r="O18" s="2716"/>
      <c r="P18" s="3706"/>
      <c r="Q18" s="1352"/>
      <c r="R18" s="705"/>
      <c r="S18" s="706"/>
      <c r="T18" s="705"/>
      <c r="U18" s="706"/>
      <c r="V18" s="705"/>
      <c r="W18" s="706"/>
      <c r="X18" s="1355"/>
      <c r="Y18" s="369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962">
        <f t="shared" si="5"/>
        <v>1</v>
      </c>
    </row>
    <row r="20" spans="1:29" ht="15">
      <c r="A20" s="379"/>
      <c r="B20" s="580"/>
      <c r="C20" s="1904" t="s">
        <v>3411</v>
      </c>
      <c r="D20" s="399"/>
      <c r="E20" s="1904" t="s">
        <v>3411</v>
      </c>
      <c r="F20" s="399"/>
      <c r="G20" s="1904" t="s">
        <v>3411</v>
      </c>
      <c r="H20" s="399"/>
      <c r="I20" s="1904" t="s">
        <v>3411</v>
      </c>
      <c r="J20" s="399"/>
      <c r="K20" s="564"/>
      <c r="L20" s="2722"/>
      <c r="M20" s="2716"/>
      <c r="N20" s="2716"/>
      <c r="O20" s="2716"/>
      <c r="P20" s="3706"/>
      <c r="Q20" s="1352"/>
      <c r="R20" s="705"/>
      <c r="S20" s="706"/>
      <c r="T20" s="705"/>
      <c r="U20" s="706"/>
      <c r="V20" s="705"/>
      <c r="W20" s="706"/>
      <c r="X20" s="1355"/>
      <c r="Y20" s="369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962">
        <f t="shared" ref="AC21" si="10">D21/J21</f>
        <v>1</v>
      </c>
    </row>
    <row r="22" spans="1:29" ht="15">
      <c r="A22" s="379"/>
      <c r="B22" s="581"/>
      <c r="C22" s="1964" t="s">
        <v>3578</v>
      </c>
      <c r="D22" s="399"/>
      <c r="E22" s="1964" t="s">
        <v>3578</v>
      </c>
      <c r="F22" s="399"/>
      <c r="G22" s="1964" t="s">
        <v>3578</v>
      </c>
      <c r="H22" s="399"/>
      <c r="I22" s="1964" t="s">
        <v>3578</v>
      </c>
      <c r="J22" s="399"/>
      <c r="K22" s="1130"/>
      <c r="L22" s="2722"/>
      <c r="M22" s="2716"/>
      <c r="N22" s="2716"/>
      <c r="O22" s="2716"/>
      <c r="P22" s="3706"/>
      <c r="Q22" s="1352"/>
      <c r="R22" s="705"/>
      <c r="S22" s="706"/>
      <c r="T22" s="705"/>
      <c r="U22" s="706"/>
      <c r="V22" s="705"/>
      <c r="W22" s="706"/>
      <c r="X22" s="1355"/>
      <c r="Y22" s="369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6"/>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962">
        <f t="shared" si="5"/>
        <v>1</v>
      </c>
    </row>
    <row r="24" spans="1:29" ht="15">
      <c r="A24" s="379"/>
      <c r="B24" s="581"/>
      <c r="C24" s="1904" t="s">
        <v>3411</v>
      </c>
      <c r="D24" s="399"/>
      <c r="E24" s="1904" t="s">
        <v>3411</v>
      </c>
      <c r="F24" s="399"/>
      <c r="G24" s="1904" t="s">
        <v>3411</v>
      </c>
      <c r="H24" s="399"/>
      <c r="I24" s="1904" t="s">
        <v>3411</v>
      </c>
      <c r="J24" s="399"/>
      <c r="K24" s="564"/>
      <c r="L24" s="2722"/>
      <c r="M24" s="2716"/>
      <c r="N24" s="2716"/>
      <c r="O24" s="2716"/>
      <c r="P24" s="3706"/>
      <c r="Q24" s="1352"/>
      <c r="R24" s="705"/>
      <c r="S24" s="706"/>
      <c r="T24" s="705"/>
      <c r="U24" s="706"/>
      <c r="V24" s="705"/>
      <c r="W24" s="706"/>
      <c r="X24" s="1355"/>
      <c r="Y24" s="3699"/>
      <c r="Z24" s="1356"/>
      <c r="AA24" s="1353">
        <v>1</v>
      </c>
      <c r="AB24" s="1353">
        <v>1</v>
      </c>
      <c r="AC24" s="1962">
        <v>1</v>
      </c>
    </row>
    <row r="25" spans="1:29" ht="27.75">
      <c r="A25" s="358"/>
      <c r="B25" s="579" t="s">
        <v>1815</v>
      </c>
      <c r="C25" s="385" t="s">
        <v>3591</v>
      </c>
      <c r="D25" s="386">
        <v>100</v>
      </c>
      <c r="E25" s="385" t="s">
        <v>3591</v>
      </c>
      <c r="F25" s="386">
        <f>SUMIF(87:87,E26,88:88)-SUMIF(87:87,C26,88:88)+100</f>
        <v>100</v>
      </c>
      <c r="G25" s="1908" t="s">
        <v>3646</v>
      </c>
      <c r="H25" s="386">
        <f>SUMIF(87:87,G26,88:88)-SUMIF(87:87,C26,88:88)+100</f>
        <v>104</v>
      </c>
      <c r="I25" s="1908" t="s">
        <v>3592</v>
      </c>
      <c r="J25" s="386">
        <f>SUMIF(87:87,I26,88:88)-SUMIF(87:87,C26,88:88)+100</f>
        <v>104</v>
      </c>
      <c r="K25" s="563">
        <v>2</v>
      </c>
      <c r="L25" s="2722"/>
      <c r="M25" s="2716"/>
      <c r="N25" s="2716"/>
      <c r="O25" s="2716"/>
      <c r="P25" s="3706"/>
      <c r="Q25" s="1352" t="str">
        <f>B25</f>
        <v>毗邻道路的类型与等级</v>
      </c>
      <c r="R25" s="705" t="s">
        <v>14</v>
      </c>
      <c r="S25" s="706">
        <f>F25</f>
        <v>100</v>
      </c>
      <c r="T25" s="705" t="s">
        <v>14</v>
      </c>
      <c r="U25" s="706">
        <f>H25</f>
        <v>104</v>
      </c>
      <c r="V25" s="705" t="s">
        <v>14</v>
      </c>
      <c r="W25" s="706">
        <f>J25</f>
        <v>104</v>
      </c>
      <c r="X25" s="1355"/>
      <c r="Y25" s="3699"/>
      <c r="Z25" s="1356" t="str">
        <f>Q25</f>
        <v>毗邻道路的类型与等级</v>
      </c>
      <c r="AA25" s="1353">
        <f t="shared" si="3"/>
        <v>1</v>
      </c>
      <c r="AB25" s="1353">
        <f t="shared" si="4"/>
        <v>0.96153846153846156</v>
      </c>
      <c r="AC25" s="1962">
        <f t="shared" si="5"/>
        <v>0.96153846153846156</v>
      </c>
    </row>
    <row r="26" spans="1:29" ht="15">
      <c r="A26" s="358"/>
      <c r="B26" s="580"/>
      <c r="C26" s="582" t="s">
        <v>3596</v>
      </c>
      <c r="D26" s="386"/>
      <c r="E26" s="565" t="s">
        <v>3596</v>
      </c>
      <c r="F26" s="386"/>
      <c r="G26" s="582" t="s">
        <v>3593</v>
      </c>
      <c r="H26" s="386"/>
      <c r="I26" s="565" t="s">
        <v>3593</v>
      </c>
      <c r="J26" s="386"/>
      <c r="K26" s="564"/>
      <c r="L26" s="2722"/>
      <c r="M26" s="2716"/>
      <c r="N26" s="2716"/>
      <c r="O26" s="2716"/>
      <c r="P26" s="3706"/>
      <c r="Q26" s="1352"/>
      <c r="R26" s="705"/>
      <c r="S26" s="706"/>
      <c r="T26" s="705"/>
      <c r="U26" s="706"/>
      <c r="V26" s="705"/>
      <c r="W26" s="706"/>
      <c r="X26" s="1355"/>
      <c r="Y26" s="3699"/>
      <c r="Z26" s="1356"/>
      <c r="AA26" s="1353">
        <v>1</v>
      </c>
      <c r="AB26" s="1353">
        <v>1</v>
      </c>
      <c r="AC26" s="1962">
        <v>1</v>
      </c>
    </row>
    <row r="27" spans="1:29" ht="15.75" thickBot="1">
      <c r="A27" s="379"/>
      <c r="B27" s="580" t="s">
        <v>1783</v>
      </c>
      <c r="C27" s="582" t="s">
        <v>3589</v>
      </c>
      <c r="D27" s="386">
        <v>100</v>
      </c>
      <c r="E27" s="565" t="s">
        <v>3589</v>
      </c>
      <c r="F27" s="386">
        <f>SUMIF(89:89,E27,90:90)-SUMIF(89:89,C27,90:90)+100</f>
        <v>100</v>
      </c>
      <c r="G27" s="582" t="s">
        <v>3586</v>
      </c>
      <c r="H27" s="386">
        <f>SUMIF(89:89,G27,90:90)-SUMIF(89:89,C27,90:90)+100</f>
        <v>106</v>
      </c>
      <c r="I27" s="565" t="s">
        <v>3586</v>
      </c>
      <c r="J27" s="386">
        <f>SUMIF(89:89,I27,90:90)-SUMIF(89:89,C27,90:90)+100</f>
        <v>106</v>
      </c>
      <c r="K27" s="561">
        <v>3</v>
      </c>
      <c r="L27" s="2722"/>
      <c r="M27" s="2716"/>
      <c r="N27" s="2716"/>
      <c r="O27" s="2716"/>
      <c r="P27" s="3706"/>
      <c r="Q27" s="1352" t="str">
        <f t="shared" ref="Q27:Q47" si="11">B27</f>
        <v>楼层</v>
      </c>
      <c r="R27" s="705" t="s">
        <v>14</v>
      </c>
      <c r="S27" s="706">
        <f>F27</f>
        <v>100</v>
      </c>
      <c r="T27" s="705" t="s">
        <v>14</v>
      </c>
      <c r="U27" s="706">
        <f>H27</f>
        <v>106</v>
      </c>
      <c r="V27" s="705" t="s">
        <v>14</v>
      </c>
      <c r="W27" s="706">
        <f>J27</f>
        <v>106</v>
      </c>
      <c r="X27" s="1355"/>
      <c r="Y27" s="3699"/>
      <c r="Z27" s="1356" t="str">
        <f>Q27</f>
        <v>楼层</v>
      </c>
      <c r="AA27" s="1353">
        <f t="shared" si="3"/>
        <v>1</v>
      </c>
      <c r="AB27" s="1353">
        <f t="shared" si="4"/>
        <v>0.94339622641509435</v>
      </c>
      <c r="AC27" s="1962">
        <f t="shared" si="5"/>
        <v>0.94339622641509435</v>
      </c>
    </row>
    <row r="28" spans="1:29" s="108" customFormat="1" ht="15.75" hidden="1" thickBot="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6"/>
      <c r="Q28" s="1343" t="str">
        <f t="shared" si="11"/>
        <v>朝向</v>
      </c>
      <c r="R28" s="701" t="s">
        <v>14</v>
      </c>
      <c r="S28" s="702">
        <f>F28</f>
        <v>100</v>
      </c>
      <c r="T28" s="701" t="s">
        <v>14</v>
      </c>
      <c r="U28" s="702">
        <f>H28</f>
        <v>100</v>
      </c>
      <c r="V28" s="701" t="s">
        <v>14</v>
      </c>
      <c r="W28" s="702">
        <f>J28</f>
        <v>100</v>
      </c>
      <c r="X28" s="703"/>
      <c r="Y28" s="3699"/>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6"/>
      <c r="Q29" s="1352">
        <f t="shared" si="11"/>
        <v>111</v>
      </c>
      <c r="R29" s="705" t="s">
        <v>14</v>
      </c>
      <c r="S29" s="706">
        <f t="shared" ref="S29:S47" si="12">F29</f>
        <v>100</v>
      </c>
      <c r="T29" s="705" t="s">
        <v>14</v>
      </c>
      <c r="U29" s="706">
        <f t="shared" ref="U29:U47" si="13">H29</f>
        <v>100</v>
      </c>
      <c r="V29" s="705" t="s">
        <v>14</v>
      </c>
      <c r="W29" s="706">
        <f t="shared" ref="W29:W47" si="14">J29</f>
        <v>100</v>
      </c>
      <c r="X29" s="1355"/>
      <c r="Y29" s="3699"/>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6"/>
      <c r="Q32" s="1352">
        <f t="shared" si="11"/>
        <v>111</v>
      </c>
      <c r="R32" s="705" t="s">
        <v>14</v>
      </c>
      <c r="S32" s="706">
        <f t="shared" si="12"/>
        <v>100</v>
      </c>
      <c r="T32" s="705" t="s">
        <v>14</v>
      </c>
      <c r="U32" s="706">
        <f t="shared" si="13"/>
        <v>100</v>
      </c>
      <c r="V32" s="705" t="s">
        <v>14</v>
      </c>
      <c r="W32" s="706">
        <f t="shared" si="14"/>
        <v>100</v>
      </c>
      <c r="X32" s="1355"/>
      <c r="Y32" s="369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0" t="s">
        <v>1696</v>
      </c>
      <c r="Q33" s="1352" t="str">
        <f t="shared" si="11"/>
        <v>建筑类型</v>
      </c>
      <c r="R33" s="705" t="s">
        <v>14</v>
      </c>
      <c r="S33" s="706">
        <f t="shared" si="12"/>
        <v>100</v>
      </c>
      <c r="T33" s="705" t="s">
        <v>14</v>
      </c>
      <c r="U33" s="706">
        <f t="shared" si="13"/>
        <v>100</v>
      </c>
      <c r="V33" s="705" t="s">
        <v>14</v>
      </c>
      <c r="W33" s="706">
        <f t="shared" si="14"/>
        <v>100</v>
      </c>
      <c r="X33" s="1355"/>
      <c r="Y33" s="3703" t="s">
        <v>1696</v>
      </c>
      <c r="Z33" s="1356" t="str">
        <f t="shared" si="15"/>
        <v>建筑类型</v>
      </c>
      <c r="AA33" s="1353">
        <f t="shared" si="3"/>
        <v>1</v>
      </c>
      <c r="AB33" s="1353">
        <f t="shared" si="4"/>
        <v>1</v>
      </c>
      <c r="AC33" s="1962">
        <f t="shared" si="5"/>
        <v>1</v>
      </c>
    </row>
    <row r="34" spans="1:29" s="422" customFormat="1" ht="15">
      <c r="A34" s="419"/>
      <c r="B34" s="375" t="s">
        <v>1697</v>
      </c>
      <c r="C34" s="420">
        <f>'数据-汇总表'!E19</f>
        <v>66.03</v>
      </c>
      <c r="D34" s="127">
        <v>100</v>
      </c>
      <c r="E34" s="381">
        <f>中指!J3</f>
        <v>626.19000000000005</v>
      </c>
      <c r="F34" s="376">
        <f>LOOKUP(E34,104:104,105:105)-LOOKUP(C34,104:104,105:105)+100</f>
        <v>96</v>
      </c>
      <c r="G34" s="380">
        <f>中指!J16</f>
        <v>702.93</v>
      </c>
      <c r="H34" s="127">
        <f>LOOKUP(G34,104:104,105:105)-LOOKUP(C34,104:104,105:105)+100</f>
        <v>96</v>
      </c>
      <c r="I34" s="380">
        <f>中指!J20</f>
        <v>739.6</v>
      </c>
      <c r="J34" s="127">
        <f>LOOKUP(I34,104:104,105:105)-LOOKUP(C34,104:104,105:105)+100</f>
        <v>96</v>
      </c>
      <c r="K34" s="562"/>
      <c r="L34" s="2721"/>
      <c r="M34" s="2723"/>
      <c r="N34" s="2723"/>
      <c r="O34" s="2723"/>
      <c r="P34" s="3701"/>
      <c r="Q34" s="707" t="str">
        <f t="shared" si="11"/>
        <v>项目建筑规模</v>
      </c>
      <c r="R34" s="708" t="s">
        <v>14</v>
      </c>
      <c r="S34" s="709">
        <f t="shared" si="12"/>
        <v>96</v>
      </c>
      <c r="T34" s="708" t="s">
        <v>14</v>
      </c>
      <c r="U34" s="709">
        <f t="shared" si="13"/>
        <v>96</v>
      </c>
      <c r="V34" s="708" t="s">
        <v>14</v>
      </c>
      <c r="W34" s="709">
        <f t="shared" si="14"/>
        <v>96</v>
      </c>
      <c r="X34" s="710"/>
      <c r="Y34" s="3703"/>
      <c r="Z34" s="711" t="str">
        <f t="shared" si="15"/>
        <v>项目建筑规模</v>
      </c>
      <c r="AA34" s="1353">
        <f t="shared" si="3"/>
        <v>1.0416666666666667</v>
      </c>
      <c r="AB34" s="1353">
        <f t="shared" si="4"/>
        <v>1.0416666666666667</v>
      </c>
      <c r="AC34" s="1962">
        <f t="shared" si="5"/>
        <v>1.0416666666666667</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1"/>
      <c r="Q35" s="1352" t="str">
        <f t="shared" si="11"/>
        <v>建筑结构</v>
      </c>
      <c r="R35" s="705" t="s">
        <v>14</v>
      </c>
      <c r="S35" s="706">
        <f t="shared" si="12"/>
        <v>100</v>
      </c>
      <c r="T35" s="705" t="s">
        <v>14</v>
      </c>
      <c r="U35" s="706">
        <f t="shared" si="13"/>
        <v>100</v>
      </c>
      <c r="V35" s="705" t="s">
        <v>14</v>
      </c>
      <c r="W35" s="706">
        <f t="shared" si="14"/>
        <v>100</v>
      </c>
      <c r="X35" s="1355"/>
      <c r="Y35" s="370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1"/>
      <c r="Q36" s="1352" t="str">
        <f t="shared" si="11"/>
        <v>公共部分装修</v>
      </c>
      <c r="R36" s="705" t="s">
        <v>14</v>
      </c>
      <c r="S36" s="706">
        <f t="shared" si="12"/>
        <v>100</v>
      </c>
      <c r="T36" s="705" t="s">
        <v>14</v>
      </c>
      <c r="U36" s="706">
        <f t="shared" si="13"/>
        <v>100</v>
      </c>
      <c r="V36" s="705" t="s">
        <v>14</v>
      </c>
      <c r="W36" s="706">
        <f t="shared" si="14"/>
        <v>100</v>
      </c>
      <c r="X36" s="1355"/>
      <c r="Y36" s="3703"/>
      <c r="Z36" s="1356" t="str">
        <f t="shared" si="15"/>
        <v>公共部分装修</v>
      </c>
      <c r="AA36" s="1353">
        <f t="shared" si="3"/>
        <v>1</v>
      </c>
      <c r="AB36" s="1353">
        <f t="shared" si="4"/>
        <v>1</v>
      </c>
      <c r="AC36" s="1962">
        <f t="shared" si="5"/>
        <v>1</v>
      </c>
    </row>
    <row r="37" spans="1:29" ht="15">
      <c r="A37" s="423"/>
      <c r="B37" s="375" t="s">
        <v>1786</v>
      </c>
      <c r="C37" s="425">
        <f>'数据-取费表'!Y6</f>
        <v>0.65</v>
      </c>
      <c r="D37" s="386">
        <v>100</v>
      </c>
      <c r="E37" s="425">
        <v>0.95</v>
      </c>
      <c r="F37" s="412">
        <f>LOOKUP(E37,111:111,112:112)-LOOKUP(C37,111:111,112:112)+100</f>
        <v>103</v>
      </c>
      <c r="G37" s="425">
        <v>0.95</v>
      </c>
      <c r="H37" s="412">
        <f>LOOKUP(G37,111:111,112:112)-LOOKUP(C37,111:111,112:112)+100</f>
        <v>103</v>
      </c>
      <c r="I37" s="425">
        <v>0.95</v>
      </c>
      <c r="J37" s="386">
        <f>LOOKUP(I37,111:111,112:112)-LOOKUP(C37,111:111,112:112)+100</f>
        <v>103</v>
      </c>
      <c r="K37" s="561">
        <v>1</v>
      </c>
      <c r="L37" s="2722"/>
      <c r="M37" s="2716"/>
      <c r="N37" s="2716"/>
      <c r="O37" s="2716"/>
      <c r="P37" s="3701"/>
      <c r="Q37" s="1352" t="str">
        <f t="shared" si="11"/>
        <v>成新度</v>
      </c>
      <c r="R37" s="705" t="s">
        <v>14</v>
      </c>
      <c r="S37" s="706">
        <f t="shared" si="12"/>
        <v>103</v>
      </c>
      <c r="T37" s="705" t="s">
        <v>14</v>
      </c>
      <c r="U37" s="706">
        <f t="shared" si="13"/>
        <v>103</v>
      </c>
      <c r="V37" s="705" t="s">
        <v>14</v>
      </c>
      <c r="W37" s="706">
        <f t="shared" si="14"/>
        <v>103</v>
      </c>
      <c r="X37" s="1355"/>
      <c r="Y37" s="3703"/>
      <c r="Z37" s="1356" t="str">
        <f t="shared" si="15"/>
        <v>成新度</v>
      </c>
      <c r="AA37" s="1353">
        <f t="shared" si="3"/>
        <v>0.970873786407767</v>
      </c>
      <c r="AB37" s="1353">
        <f t="shared" si="4"/>
        <v>0.970873786407767</v>
      </c>
      <c r="AC37" s="1962">
        <f t="shared" si="5"/>
        <v>0.970873786407767</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1"/>
      <c r="Q38" s="1343" t="str">
        <f t="shared" si="11"/>
        <v>写字楼等级</v>
      </c>
      <c r="R38" s="701" t="s">
        <v>14</v>
      </c>
      <c r="S38" s="702">
        <f t="shared" si="12"/>
        <v>100</v>
      </c>
      <c r="T38" s="701" t="s">
        <v>14</v>
      </c>
      <c r="U38" s="702">
        <f t="shared" si="13"/>
        <v>100</v>
      </c>
      <c r="V38" s="701" t="s">
        <v>14</v>
      </c>
      <c r="W38" s="702">
        <f t="shared" si="14"/>
        <v>100</v>
      </c>
      <c r="X38" s="703"/>
      <c r="Y38" s="370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1" t="s">
        <v>1696</v>
      </c>
      <c r="Q39" s="1352" t="str">
        <f t="shared" si="11"/>
        <v>物业管理</v>
      </c>
      <c r="R39" s="705" t="s">
        <v>14</v>
      </c>
      <c r="S39" s="706">
        <f t="shared" si="12"/>
        <v>100</v>
      </c>
      <c r="T39" s="705" t="s">
        <v>14</v>
      </c>
      <c r="U39" s="706">
        <f t="shared" si="13"/>
        <v>100</v>
      </c>
      <c r="V39" s="705" t="s">
        <v>14</v>
      </c>
      <c r="W39" s="706">
        <f t="shared" si="14"/>
        <v>100</v>
      </c>
      <c r="X39" s="1355"/>
      <c r="Y39" s="370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1"/>
      <c r="Q40" s="1352" t="str">
        <f t="shared" si="11"/>
        <v>市政基础设施</v>
      </c>
      <c r="R40" s="705" t="s">
        <v>14</v>
      </c>
      <c r="S40" s="706">
        <f t="shared" si="12"/>
        <v>100</v>
      </c>
      <c r="T40" s="705" t="s">
        <v>14</v>
      </c>
      <c r="U40" s="706">
        <f t="shared" si="13"/>
        <v>100</v>
      </c>
      <c r="V40" s="705" t="s">
        <v>14</v>
      </c>
      <c r="W40" s="706">
        <f t="shared" si="14"/>
        <v>100</v>
      </c>
      <c r="X40" s="1355"/>
      <c r="Y40" s="370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1"/>
      <c r="Q41" s="1352" t="str">
        <f t="shared" si="11"/>
        <v>层高</v>
      </c>
      <c r="R41" s="705" t="s">
        <v>14</v>
      </c>
      <c r="S41" s="706">
        <f t="shared" si="12"/>
        <v>100</v>
      </c>
      <c r="T41" s="705" t="s">
        <v>14</v>
      </c>
      <c r="U41" s="706">
        <f t="shared" si="13"/>
        <v>100</v>
      </c>
      <c r="V41" s="705" t="s">
        <v>14</v>
      </c>
      <c r="W41" s="706">
        <f t="shared" si="14"/>
        <v>100</v>
      </c>
      <c r="X41" s="1355"/>
      <c r="Y41" s="370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1"/>
      <c r="Q43" s="1352" t="str">
        <f t="shared" si="11"/>
        <v>内部装修</v>
      </c>
      <c r="R43" s="705" t="s">
        <v>14</v>
      </c>
      <c r="S43" s="706">
        <f t="shared" si="12"/>
        <v>100</v>
      </c>
      <c r="T43" s="705" t="s">
        <v>14</v>
      </c>
      <c r="U43" s="706">
        <f t="shared" si="13"/>
        <v>100</v>
      </c>
      <c r="V43" s="705" t="s">
        <v>14</v>
      </c>
      <c r="W43" s="706">
        <f t="shared" si="14"/>
        <v>100</v>
      </c>
      <c r="X43" s="1355"/>
      <c r="Y43" s="370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1"/>
      <c r="Q44" s="1352" t="str">
        <f t="shared" si="11"/>
        <v>内部装修维护情况</v>
      </c>
      <c r="R44" s="705" t="s">
        <v>14</v>
      </c>
      <c r="S44" s="706">
        <f t="shared" si="12"/>
        <v>100</v>
      </c>
      <c r="T44" s="705" t="s">
        <v>14</v>
      </c>
      <c r="U44" s="706">
        <f t="shared" si="13"/>
        <v>100</v>
      </c>
      <c r="V44" s="705" t="s">
        <v>14</v>
      </c>
      <c r="W44" s="706">
        <f t="shared" si="14"/>
        <v>100</v>
      </c>
      <c r="X44" s="1355"/>
      <c r="Y44" s="3703"/>
      <c r="Z44" s="1356" t="str">
        <f t="shared" si="15"/>
        <v>内部装修维护情况</v>
      </c>
      <c r="AA44" s="1353">
        <f t="shared" si="3"/>
        <v>1</v>
      </c>
      <c r="AB44" s="1353">
        <f t="shared" si="4"/>
        <v>1</v>
      </c>
      <c r="AC44" s="1962">
        <f t="shared" si="5"/>
        <v>1</v>
      </c>
    </row>
    <row r="45" spans="1:29" s="108" customFormat="1" ht="15">
      <c r="A45" s="424"/>
      <c r="B45" s="3475" t="s">
        <v>3641</v>
      </c>
      <c r="C45" s="3478" t="s">
        <v>3642</v>
      </c>
      <c r="D45" s="127">
        <v>100</v>
      </c>
      <c r="E45" s="3479" t="s">
        <v>3643</v>
      </c>
      <c r="F45" s="376">
        <f>SUMIF(127:127,E45,128:128)-SUMIF(127:127,C45,128:128)+100</f>
        <v>108</v>
      </c>
      <c r="G45" s="3479" t="s">
        <v>3643</v>
      </c>
      <c r="H45" s="127">
        <f>SUMIF(127:127,G45,128:128)-SUMIF(127:127,C45,128:128)+100</f>
        <v>108</v>
      </c>
      <c r="I45" s="3479" t="s">
        <v>3643</v>
      </c>
      <c r="J45" s="127">
        <f>SUMIF(127:127,I45,128:128)-SUMIF(127:127,C45,128:128)+100</f>
        <v>108</v>
      </c>
      <c r="K45" s="562"/>
      <c r="L45" s="2717"/>
      <c r="M45" s="2718"/>
      <c r="N45" s="2718"/>
      <c r="O45" s="2718"/>
      <c r="P45" s="3701"/>
      <c r="Q45" s="1343" t="str">
        <f t="shared" si="11"/>
        <v>品质</v>
      </c>
      <c r="R45" s="701" t="s">
        <v>14</v>
      </c>
      <c r="S45" s="702">
        <f t="shared" si="12"/>
        <v>108</v>
      </c>
      <c r="T45" s="701" t="s">
        <v>14</v>
      </c>
      <c r="U45" s="702">
        <f t="shared" si="13"/>
        <v>108</v>
      </c>
      <c r="V45" s="701" t="s">
        <v>14</v>
      </c>
      <c r="W45" s="702">
        <f t="shared" si="14"/>
        <v>108</v>
      </c>
      <c r="X45" s="703"/>
      <c r="Y45" s="3703"/>
      <c r="Z45" s="52" t="str">
        <f t="shared" si="15"/>
        <v>品质</v>
      </c>
      <c r="AA45" s="704">
        <f t="shared" si="3"/>
        <v>0.92592592592592593</v>
      </c>
      <c r="AB45" s="704">
        <f t="shared" si="4"/>
        <v>0.92592592592592593</v>
      </c>
      <c r="AC45" s="1959">
        <f t="shared" si="5"/>
        <v>0.92592592592592593</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2"/>
      <c r="Q47" s="1352">
        <f t="shared" si="11"/>
        <v>111</v>
      </c>
      <c r="R47" s="705" t="s">
        <v>14</v>
      </c>
      <c r="S47" s="706">
        <f t="shared" si="12"/>
        <v>100</v>
      </c>
      <c r="T47" s="705" t="s">
        <v>14</v>
      </c>
      <c r="U47" s="706">
        <f t="shared" si="13"/>
        <v>100</v>
      </c>
      <c r="V47" s="705" t="s">
        <v>14</v>
      </c>
      <c r="W47" s="706">
        <f t="shared" si="14"/>
        <v>100</v>
      </c>
      <c r="X47" s="1355"/>
      <c r="Y47" s="3704"/>
      <c r="Z47" s="1356">
        <f t="shared" si="15"/>
        <v>111</v>
      </c>
      <c r="AA47" s="1353">
        <f t="shared" si="3"/>
        <v>1</v>
      </c>
      <c r="AB47" s="1353">
        <f t="shared" si="4"/>
        <v>1</v>
      </c>
      <c r="AC47" s="1962">
        <f t="shared" si="5"/>
        <v>1</v>
      </c>
    </row>
    <row r="48" spans="1:29" ht="15">
      <c r="A48" s="430" t="s">
        <v>1708</v>
      </c>
      <c r="B48" s="431"/>
      <c r="C48" s="1154" t="s">
        <v>0</v>
      </c>
      <c r="D48" s="1155"/>
      <c r="E48" s="1156">
        <v>30935</v>
      </c>
      <c r="F48" s="1157"/>
      <c r="G48" s="1158">
        <v>29000</v>
      </c>
      <c r="H48" s="1159"/>
      <c r="I48" s="1156">
        <v>30000</v>
      </c>
      <c r="J48" s="436"/>
      <c r="K48" s="714"/>
      <c r="L48" s="2724"/>
      <c r="M48" s="2716"/>
      <c r="N48" s="2716"/>
      <c r="O48" s="2716"/>
      <c r="P48" s="3707" t="str">
        <f>A48</f>
        <v>成交单价（元/平方米）</v>
      </c>
      <c r="Q48" s="3696"/>
      <c r="R48" s="3697">
        <f>E48</f>
        <v>30935</v>
      </c>
      <c r="S48" s="3697"/>
      <c r="T48" s="3697">
        <f>G48</f>
        <v>29000</v>
      </c>
      <c r="U48" s="3697"/>
      <c r="V48" s="3697">
        <f>I48</f>
        <v>30000</v>
      </c>
      <c r="W48" s="3697"/>
      <c r="X48" s="397"/>
      <c r="Y48" s="712"/>
      <c r="Z48" s="397"/>
      <c r="AA48" s="397"/>
      <c r="AB48" s="397"/>
      <c r="AC48" s="578"/>
    </row>
    <row r="49" spans="1:29" ht="15.75" thickBot="1">
      <c r="A49" s="437" t="s">
        <v>1793</v>
      </c>
      <c r="B49" s="438"/>
      <c r="C49" s="1160">
        <f>R50</f>
        <v>24623</v>
      </c>
      <c r="D49" s="2317" t="s">
        <v>2138</v>
      </c>
      <c r="E49" s="1161">
        <f>R49</f>
        <v>27058</v>
      </c>
      <c r="F49" s="2318"/>
      <c r="G49" s="1160">
        <f>T49</f>
        <v>23009</v>
      </c>
      <c r="H49" s="2318"/>
      <c r="I49" s="1161">
        <f>V49</f>
        <v>23803</v>
      </c>
      <c r="J49" s="2318"/>
      <c r="K49" s="2320">
        <f>F49+H49+J49</f>
        <v>0</v>
      </c>
      <c r="L49" s="2724"/>
      <c r="M49" s="2716"/>
      <c r="N49" s="2716"/>
      <c r="O49" s="2716"/>
      <c r="P49" s="3707" t="str">
        <f>A49</f>
        <v>比较价值（元/平方米）</v>
      </c>
      <c r="Q49" s="3696"/>
      <c r="R49" s="3697">
        <f>IF(F1="售价",ROUND(PRODUCT(R48,AA7:AA47),0),ROUND(PRODUCT(R48,AA7:AA47),1))</f>
        <v>27058</v>
      </c>
      <c r="S49" s="3697"/>
      <c r="T49" s="3697">
        <f>IF(F1="售价",ROUND(PRODUCT(T48,AB7:AB47),0),ROUND(PRODUCT(T48,AB7:AB47),1))</f>
        <v>23009</v>
      </c>
      <c r="U49" s="3697"/>
      <c r="V49" s="3697">
        <f>IF(F1="售价",ROUND(PRODUCT(V48,AC7:AC47),0),ROUND(PRODUCT(V48,AC7:AC47),1))</f>
        <v>23803</v>
      </c>
      <c r="W49" s="3697"/>
      <c r="X49" s="397"/>
      <c r="Y49" s="397"/>
      <c r="Z49" s="397"/>
      <c r="AA49" s="397"/>
      <c r="AB49" s="397"/>
      <c r="AC49" s="578"/>
    </row>
    <row r="50" spans="1:29" ht="15.75" thickBot="1">
      <c r="A50" s="441" t="s">
        <v>1794</v>
      </c>
      <c r="B50" s="442"/>
      <c r="C50" s="1163">
        <f>R50</f>
        <v>24623</v>
      </c>
      <c r="D50" s="1163"/>
      <c r="E50" s="1163"/>
      <c r="F50" s="1163"/>
      <c r="G50" s="1163"/>
      <c r="H50" s="1163"/>
      <c r="I50" s="1163"/>
      <c r="J50" s="443"/>
      <c r="K50" s="715"/>
      <c r="L50" s="2724"/>
      <c r="M50" s="2716"/>
      <c r="N50" s="2716"/>
      <c r="O50" s="2716"/>
      <c r="P50" s="3739" t="str">
        <f>A50</f>
        <v>估价对象XX用房的比较价值（楼面单价，元/平方米）</v>
      </c>
      <c r="Q50" s="3740"/>
      <c r="R50" s="3741">
        <f>IF(F1="售价",ROUND(IF(D49="简单平均",AVERAGE(R49:V49),R49*F49+T49*H49+V49*J49),0),ROUND(IF(D49="简单平均",AVERAGE(R49:V49),R49*F49+T49*H49+V49*J49),1))</f>
        <v>24623</v>
      </c>
      <c r="S50" s="3741"/>
      <c r="T50" s="3741"/>
      <c r="U50" s="3741"/>
      <c r="V50" s="3741"/>
      <c r="W50" s="374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0.1432847956242147</v>
      </c>
      <c r="F53" s="449" t="str">
        <f>IF(OR(E53&gt;=0.3,E53&lt;=-0.3),"超过30%","")</f>
        <v/>
      </c>
      <c r="G53" s="448">
        <f>IF(G48&lt;G49,G49/G48-1,G48/G49-1)</f>
        <v>0.26037637446216699</v>
      </c>
      <c r="H53" s="449" t="str">
        <f>IF(OR(G53&gt;=0.3,G53&lt;=-0.3),"超过30%","")</f>
        <v/>
      </c>
      <c r="I53" s="448">
        <f>IF(I48&lt;I49,I49/I48-1,I48/I49-1)</f>
        <v>0.26034533462168641</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0.17597461862749353</v>
      </c>
      <c r="F54" s="449" t="str">
        <f>IF(OR(E54&gt;=0.2,E54&lt;=-0.2),"超过20%","")</f>
        <v/>
      </c>
      <c r="G54" s="448">
        <f>IF(G49&lt;I49,I49/G49-1,G49/I49-1)</f>
        <v>3.4508235907688256E-2</v>
      </c>
      <c r="H54" s="449" t="str">
        <f>IF(OR(G54&gt;=0.2,G54&lt;=-0.2),"超过20%","")</f>
        <v/>
      </c>
      <c r="I54" s="448">
        <f>IF(I49&lt;E49,E49/I49-1,I49/E49-1)</f>
        <v>0.13674746880645294</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6.6724137931034377E-2</v>
      </c>
      <c r="F55" s="449" t="str">
        <f>IF(OR(E55&gt;=0.3,E55&lt;=-0.3),"超过30%","")</f>
        <v/>
      </c>
      <c r="G55" s="448">
        <f>IF(G48&lt;I48,I48/G48-1,G48/I48-1)</f>
        <v>3.4482758620689724E-2</v>
      </c>
      <c r="H55" s="449" t="str">
        <f>IF(OR(G55&gt;=0.3,G55&lt;=-0.3),"超过30%","")</f>
        <v/>
      </c>
      <c r="I55" s="448">
        <f>IF(I48&lt;E48,E48/I48-1,I48/E48-1)</f>
        <v>3.1166666666666565E-2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2023-12</v>
      </c>
      <c r="D59" s="1185">
        <f>EDATE(C59,-1)</f>
        <v>45231</v>
      </c>
      <c r="E59" s="1185">
        <f>EDATE(D59,-1)</f>
        <v>45200</v>
      </c>
      <c r="F59" s="1185">
        <f t="shared" ref="F59:O59" si="16">EDATE(E59,-1)</f>
        <v>45170</v>
      </c>
      <c r="G59" s="1185">
        <f t="shared" si="16"/>
        <v>45139</v>
      </c>
      <c r="H59" s="1185">
        <f t="shared" si="16"/>
        <v>45108</v>
      </c>
      <c r="I59" s="1185">
        <f t="shared" si="16"/>
        <v>45078</v>
      </c>
      <c r="J59" s="1185">
        <f t="shared" si="16"/>
        <v>45047</v>
      </c>
      <c r="K59" s="1185">
        <f t="shared" si="16"/>
        <v>45017</v>
      </c>
      <c r="L59" s="1185">
        <f t="shared" si="16"/>
        <v>44986</v>
      </c>
      <c r="M59" s="1185">
        <f t="shared" si="16"/>
        <v>44958</v>
      </c>
      <c r="N59" s="1185">
        <f t="shared" si="16"/>
        <v>44927</v>
      </c>
      <c r="O59" s="1185">
        <f t="shared" si="16"/>
        <v>44896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v>100</v>
      </c>
      <c r="E60" s="461">
        <v>100</v>
      </c>
      <c r="F60" s="461">
        <v>100</v>
      </c>
      <c r="G60" s="461">
        <v>100</v>
      </c>
      <c r="H60" s="461">
        <v>100</v>
      </c>
      <c r="I60" s="461">
        <v>101</v>
      </c>
      <c r="J60" s="461">
        <v>101</v>
      </c>
      <c r="K60" s="461">
        <v>101</v>
      </c>
      <c r="L60" s="461">
        <v>101</v>
      </c>
      <c r="M60" s="462">
        <v>101</v>
      </c>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t="s">
        <v>3579</v>
      </c>
      <c r="D66" s="532" t="s">
        <v>3580</v>
      </c>
      <c r="E66" s="532" t="s">
        <v>3581</v>
      </c>
      <c r="F66" s="532" t="s">
        <v>3582</v>
      </c>
      <c r="G66" s="532" t="s">
        <v>3583</v>
      </c>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v>100</v>
      </c>
      <c r="D67" s="485">
        <v>102</v>
      </c>
      <c r="E67" s="485">
        <v>104</v>
      </c>
      <c r="F67" s="485">
        <v>106</v>
      </c>
      <c r="G67" s="485">
        <v>108</v>
      </c>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3453" t="s">
        <v>3594</v>
      </c>
      <c r="D87" s="3453" t="s">
        <v>3595</v>
      </c>
      <c r="E87" s="3453" t="s">
        <v>3597</v>
      </c>
      <c r="F87" s="3453" t="s">
        <v>3598</v>
      </c>
      <c r="G87" s="3453" t="s">
        <v>3599</v>
      </c>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3" t="s">
        <v>3587</v>
      </c>
      <c r="D89" s="3453" t="s">
        <v>3588</v>
      </c>
      <c r="E89" s="3453" t="s">
        <v>3590</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0(含)-300</v>
      </c>
      <c r="D103" s="527" t="str">
        <f t="shared" ref="D103:L103" si="23">D104&amp;"(含)"&amp;"-"&amp;E104</f>
        <v>300(含)-600</v>
      </c>
      <c r="E103" s="527" t="str">
        <f t="shared" si="23"/>
        <v>600(含)-900</v>
      </c>
      <c r="F103" s="527" t="str">
        <f t="shared" si="23"/>
        <v>900(含)-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300</v>
      </c>
      <c r="E104" s="544">
        <v>600</v>
      </c>
      <c r="F104" s="544">
        <v>900</v>
      </c>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v>98</v>
      </c>
      <c r="E105" s="485">
        <v>96</v>
      </c>
      <c r="F105" s="485">
        <v>94</v>
      </c>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t="str">
        <f>B45</f>
        <v>品质</v>
      </c>
      <c r="C127" s="3476" t="s">
        <v>1721</v>
      </c>
      <c r="D127" s="3476" t="s">
        <v>1722</v>
      </c>
      <c r="E127" s="3476" t="s">
        <v>1723</v>
      </c>
      <c r="F127" s="3476" t="s">
        <v>1724</v>
      </c>
      <c r="G127" s="3476" t="s">
        <v>1725</v>
      </c>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3477">
        <v>100</v>
      </c>
      <c r="D128" s="3477">
        <v>96</v>
      </c>
      <c r="E128" s="3477">
        <v>92</v>
      </c>
      <c r="F128" s="3477">
        <v>88</v>
      </c>
      <c r="G128" s="3477">
        <v>84</v>
      </c>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43" priority="20" stopIfTrue="1" operator="containsText" text="超过">
      <formula>NOT(ISERROR(SEARCH("超过",F53)))</formula>
    </cfRule>
  </conditionalFormatting>
  <conditionalFormatting sqref="H55">
    <cfRule type="containsText" dxfId="142" priority="19" stopIfTrue="1" operator="containsText" text="超过">
      <formula>NOT(ISERROR(SEARCH("超过",H55)))</formula>
    </cfRule>
  </conditionalFormatting>
  <conditionalFormatting sqref="F55">
    <cfRule type="containsText" dxfId="141" priority="18" stopIfTrue="1" operator="containsText" text="超过">
      <formula>NOT(ISERROR(SEARCH("超过",F55)))</formula>
    </cfRule>
  </conditionalFormatting>
  <conditionalFormatting sqref="F54 H54">
    <cfRule type="containsText" dxfId="140" priority="17" stopIfTrue="1" operator="containsText" text="超过">
      <formula>NOT(ISERROR(SEARCH("超过",F54)))</formula>
    </cfRule>
  </conditionalFormatting>
  <conditionalFormatting sqref="E53">
    <cfRule type="expression" dxfId="139" priority="16" stopIfTrue="1">
      <formula>$F$53="超过30%"</formula>
    </cfRule>
  </conditionalFormatting>
  <conditionalFormatting sqref="E54">
    <cfRule type="expression" dxfId="138" priority="15" stopIfTrue="1">
      <formula>$F$54="超过20%"</formula>
    </cfRule>
  </conditionalFormatting>
  <conditionalFormatting sqref="E55">
    <cfRule type="expression" dxfId="137" priority="14" stopIfTrue="1">
      <formula>$F$55="超过30%"</formula>
    </cfRule>
  </conditionalFormatting>
  <conditionalFormatting sqref="G55">
    <cfRule type="expression" dxfId="136" priority="13" stopIfTrue="1">
      <formula>$H$55="超过30%"</formula>
    </cfRule>
  </conditionalFormatting>
  <conditionalFormatting sqref="G53">
    <cfRule type="expression" dxfId="135" priority="12" stopIfTrue="1">
      <formula>$H$53="超过30%"</formula>
    </cfRule>
  </conditionalFormatting>
  <conditionalFormatting sqref="G54">
    <cfRule type="expression" dxfId="134" priority="11" stopIfTrue="1">
      <formula>$H$54="超过20%"</formula>
    </cfRule>
  </conditionalFormatting>
  <conditionalFormatting sqref="J53">
    <cfRule type="containsText" dxfId="133" priority="10" stopIfTrue="1" operator="containsText" text="超过">
      <formula>NOT(ISERROR(SEARCH("超过",J53)))</formula>
    </cfRule>
  </conditionalFormatting>
  <conditionalFormatting sqref="J55">
    <cfRule type="containsText" dxfId="132" priority="9" stopIfTrue="1" operator="containsText" text="超过">
      <formula>NOT(ISERROR(SEARCH("超过",J55)))</formula>
    </cfRule>
  </conditionalFormatting>
  <conditionalFormatting sqref="J54">
    <cfRule type="containsText" dxfId="131" priority="8" stopIfTrue="1" operator="containsText" text="超过">
      <formula>NOT(ISERROR(SEARCH("超过",J54)))</formula>
    </cfRule>
  </conditionalFormatting>
  <conditionalFormatting sqref="I53">
    <cfRule type="expression" dxfId="130" priority="7" stopIfTrue="1">
      <formula>$J$53="超过30%"</formula>
    </cfRule>
  </conditionalFormatting>
  <conditionalFormatting sqref="I54">
    <cfRule type="expression" dxfId="129" priority="6" stopIfTrue="1">
      <formula>$J$53+$J$54="超过20%"</formula>
    </cfRule>
  </conditionalFormatting>
  <conditionalFormatting sqref="I55">
    <cfRule type="expression" dxfId="128" priority="5" stopIfTrue="1">
      <formula>$J$55="超过30%"</formula>
    </cfRule>
  </conditionalFormatting>
  <conditionalFormatting sqref="F49">
    <cfRule type="expression" dxfId="127" priority="4">
      <formula>$D$49="简单平均"</formula>
    </cfRule>
  </conditionalFormatting>
  <conditionalFormatting sqref="H49">
    <cfRule type="expression" dxfId="126" priority="3">
      <formula>$D$49="简单平均"</formula>
    </cfRule>
  </conditionalFormatting>
  <conditionalFormatting sqref="J49">
    <cfRule type="expression" dxfId="125" priority="2">
      <formula>$D$49="简单平均"</formula>
    </cfRule>
  </conditionalFormatting>
  <conditionalFormatting sqref="F7:F47 H7:H47 J7:J47">
    <cfRule type="cellIs" dxfId="12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6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66.03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1" t="s">
        <v>1770</v>
      </c>
      <c r="D4" s="3712"/>
      <c r="E4" s="3713" t="s">
        <v>1771</v>
      </c>
      <c r="F4" s="3714"/>
      <c r="G4" s="3711" t="s">
        <v>1772</v>
      </c>
      <c r="H4" s="3712"/>
      <c r="I4" s="3711" t="s">
        <v>1773</v>
      </c>
      <c r="J4" s="3712"/>
      <c r="K4" s="559" t="s">
        <v>1774</v>
      </c>
      <c r="L4" s="913"/>
      <c r="M4" s="914"/>
      <c r="N4" s="914"/>
      <c r="O4" s="914"/>
      <c r="P4" s="3715" t="s">
        <v>1775</v>
      </c>
      <c r="Q4" s="3716"/>
      <c r="R4" s="3721" t="s">
        <v>1771</v>
      </c>
      <c r="S4" s="3722"/>
      <c r="T4" s="3721" t="s">
        <v>1772</v>
      </c>
      <c r="U4" s="3722"/>
      <c r="V4" s="3727" t="s">
        <v>1773</v>
      </c>
      <c r="W4" s="3727"/>
      <c r="X4" s="1355"/>
      <c r="Y4" s="3721" t="s">
        <v>1775</v>
      </c>
      <c r="Z4" s="3722"/>
      <c r="AA4" s="3708" t="s">
        <v>1771</v>
      </c>
      <c r="AB4" s="3709" t="s">
        <v>1772</v>
      </c>
      <c r="AC4" s="3708" t="s">
        <v>1773</v>
      </c>
    </row>
    <row r="5" spans="1:29" ht="15">
      <c r="A5" s="358"/>
      <c r="B5" s="359"/>
      <c r="C5" s="3730" t="s">
        <v>1673</v>
      </c>
      <c r="D5" s="3731"/>
      <c r="E5" s="3737" t="s">
        <v>1674</v>
      </c>
      <c r="F5" s="3738"/>
      <c r="G5" s="3730" t="s">
        <v>1675</v>
      </c>
      <c r="H5" s="3731"/>
      <c r="I5" s="3730" t="s">
        <v>1676</v>
      </c>
      <c r="J5" s="3731"/>
      <c r="K5" s="559"/>
      <c r="L5" s="913"/>
      <c r="M5" s="914"/>
      <c r="N5" s="914"/>
      <c r="O5" s="914"/>
      <c r="P5" s="3717"/>
      <c r="Q5" s="3718"/>
      <c r="R5" s="3723"/>
      <c r="S5" s="3724"/>
      <c r="T5" s="3723"/>
      <c r="U5" s="3724"/>
      <c r="V5" s="3727"/>
      <c r="W5" s="3727"/>
      <c r="X5" s="1355"/>
      <c r="Y5" s="3723"/>
      <c r="Z5" s="3724"/>
      <c r="AA5" s="3709"/>
      <c r="AB5" s="3709"/>
      <c r="AC5" s="3709"/>
    </row>
    <row r="6" spans="1:29" ht="15.75" thickBot="1">
      <c r="A6" s="360"/>
      <c r="B6" s="361"/>
      <c r="C6" s="3728" t="s">
        <v>1677</v>
      </c>
      <c r="D6" s="3729"/>
      <c r="E6" s="3735" t="s">
        <v>1677</v>
      </c>
      <c r="F6" s="3736"/>
      <c r="G6" s="3728" t="s">
        <v>1677</v>
      </c>
      <c r="H6" s="3729"/>
      <c r="I6" s="3728" t="s">
        <v>1677</v>
      </c>
      <c r="J6" s="3729"/>
      <c r="K6" s="559" t="s">
        <v>1678</v>
      </c>
      <c r="L6" s="913"/>
      <c r="M6" s="914"/>
      <c r="N6" s="914"/>
      <c r="O6" s="914"/>
      <c r="P6" s="3719"/>
      <c r="Q6" s="3720"/>
      <c r="R6" s="3723"/>
      <c r="S6" s="3724"/>
      <c r="T6" s="3725"/>
      <c r="U6" s="3726"/>
      <c r="V6" s="3727"/>
      <c r="W6" s="3727"/>
      <c r="X6" s="1355"/>
      <c r="Y6" s="3725"/>
      <c r="Z6" s="3726"/>
      <c r="AA6" s="3710"/>
      <c r="AB6" s="3710"/>
      <c r="AC6" s="3710"/>
    </row>
    <row r="7" spans="1:29" s="108" customFormat="1" ht="15.75" thickBot="1">
      <c r="A7" s="362" t="s">
        <v>1679</v>
      </c>
      <c r="B7" s="363"/>
      <c r="C7" s="364">
        <f>'数据-取费表'!B2</f>
        <v>45275</v>
      </c>
      <c r="D7" s="365">
        <v>100</v>
      </c>
      <c r="E7" s="366"/>
      <c r="F7" s="367">
        <f>SUMIF(52:52,YEAR(E7)&amp;"-"&amp;MONTH(E7),53:53)</f>
        <v>0</v>
      </c>
      <c r="G7" s="366"/>
      <c r="H7" s="365">
        <f>SUMIF(52:52,YEAR(G7)&amp;"-"&amp;MONTH(G7),53:53)</f>
        <v>0</v>
      </c>
      <c r="I7" s="366"/>
      <c r="J7" s="365">
        <f>SUMIF(52:52,YEAR(I7)&amp;"-"&amp;MONTH(I7),53:53)</f>
        <v>0</v>
      </c>
      <c r="K7" s="560"/>
      <c r="L7" s="915"/>
      <c r="M7" s="916"/>
      <c r="N7" s="916"/>
      <c r="O7" s="916"/>
      <c r="P7" s="3732" t="s">
        <v>1680</v>
      </c>
      <c r="Q7" s="3734"/>
      <c r="R7" s="701" t="s">
        <v>14</v>
      </c>
      <c r="S7" s="702">
        <f t="shared" ref="S7:S15" si="0">F7</f>
        <v>0</v>
      </c>
      <c r="T7" s="701" t="s">
        <v>14</v>
      </c>
      <c r="U7" s="702">
        <f t="shared" ref="U7:U15" si="1">H7</f>
        <v>0</v>
      </c>
      <c r="V7" s="701" t="s">
        <v>14</v>
      </c>
      <c r="W7" s="702">
        <f t="shared" ref="W7:W15" si="2">J7</f>
        <v>0</v>
      </c>
      <c r="X7" s="703"/>
      <c r="Y7" s="3732" t="s">
        <v>1680</v>
      </c>
      <c r="Z7" s="373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2" t="s">
        <v>1683</v>
      </c>
      <c r="Q8" s="3733"/>
      <c r="R8" s="701" t="s">
        <v>14</v>
      </c>
      <c r="S8" s="702">
        <f t="shared" si="0"/>
        <v>100</v>
      </c>
      <c r="T8" s="701" t="s">
        <v>14</v>
      </c>
      <c r="U8" s="702">
        <f t="shared" si="1"/>
        <v>100</v>
      </c>
      <c r="V8" s="701" t="s">
        <v>14</v>
      </c>
      <c r="W8" s="702">
        <f t="shared" si="2"/>
        <v>100</v>
      </c>
      <c r="X8" s="703"/>
      <c r="Y8" s="3732" t="s">
        <v>1683</v>
      </c>
      <c r="Z8" s="373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6"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6"/>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6"/>
      <c r="Q11" s="1343" t="str">
        <f t="shared" si="6"/>
        <v>容积率</v>
      </c>
      <c r="R11" s="701" t="s">
        <v>14</v>
      </c>
      <c r="S11" s="702">
        <f t="shared" si="0"/>
        <v>100</v>
      </c>
      <c r="T11" s="701" t="s">
        <v>14</v>
      </c>
      <c r="U11" s="702">
        <f t="shared" si="1"/>
        <v>100</v>
      </c>
      <c r="V11" s="701" t="s">
        <v>14</v>
      </c>
      <c r="W11" s="702">
        <f t="shared" si="2"/>
        <v>100</v>
      </c>
      <c r="X11" s="703"/>
      <c r="Y11" s="357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6"/>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6"/>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6"/>
      <c r="Q14" s="1343">
        <f t="shared" si="6"/>
        <v>111</v>
      </c>
      <c r="R14" s="701" t="s">
        <v>14</v>
      </c>
      <c r="S14" s="702">
        <f t="shared" si="0"/>
        <v>100</v>
      </c>
      <c r="T14" s="701" t="s">
        <v>14</v>
      </c>
      <c r="U14" s="702">
        <f t="shared" si="1"/>
        <v>100</v>
      </c>
      <c r="V14" s="701" t="s">
        <v>14</v>
      </c>
      <c r="W14" s="702">
        <f t="shared" si="2"/>
        <v>100</v>
      </c>
      <c r="X14" s="703"/>
      <c r="Y14" s="357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9"/>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9"/>
      <c r="Q18" s="1352"/>
      <c r="R18" s="705"/>
      <c r="S18" s="706"/>
      <c r="T18" s="705"/>
      <c r="U18" s="706"/>
      <c r="V18" s="705"/>
      <c r="W18" s="706"/>
      <c r="X18" s="1355"/>
      <c r="Y18" s="369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9"/>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9"/>
      <c r="Q20" s="1352"/>
      <c r="R20" s="705"/>
      <c r="S20" s="706"/>
      <c r="T20" s="705"/>
      <c r="U20" s="706"/>
      <c r="V20" s="705"/>
      <c r="W20" s="706"/>
      <c r="X20" s="1355"/>
      <c r="Y20" s="369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9"/>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9"/>
      <c r="Q22" s="1352"/>
      <c r="R22" s="705"/>
      <c r="S22" s="706"/>
      <c r="T22" s="705"/>
      <c r="U22" s="706"/>
      <c r="V22" s="705"/>
      <c r="W22" s="706"/>
      <c r="X22" s="1355"/>
      <c r="Y22" s="369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9"/>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9"/>
      <c r="Q24" s="1352"/>
      <c r="R24" s="705"/>
      <c r="S24" s="706"/>
      <c r="T24" s="705"/>
      <c r="U24" s="706"/>
      <c r="V24" s="705"/>
      <c r="W24" s="706"/>
      <c r="X24" s="1355"/>
      <c r="Y24" s="369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9"/>
      <c r="Q25" s="1352">
        <f>B25</f>
        <v>111</v>
      </c>
      <c r="R25" s="705" t="s">
        <v>14</v>
      </c>
      <c r="S25" s="706">
        <f>F25</f>
        <v>100</v>
      </c>
      <c r="T25" s="705" t="s">
        <v>14</v>
      </c>
      <c r="U25" s="706">
        <f>H25</f>
        <v>100</v>
      </c>
      <c r="V25" s="705" t="s">
        <v>14</v>
      </c>
      <c r="W25" s="706">
        <f>J25</f>
        <v>100</v>
      </c>
      <c r="X25" s="1355"/>
      <c r="Y25" s="369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9"/>
      <c r="Q26" s="1352">
        <f t="shared" ref="Q26:Q40" si="11">B26</f>
        <v>111</v>
      </c>
      <c r="R26" s="705" t="s">
        <v>14</v>
      </c>
      <c r="S26" s="706">
        <f>F26</f>
        <v>100</v>
      </c>
      <c r="T26" s="705" t="s">
        <v>14</v>
      </c>
      <c r="U26" s="706">
        <f>H26</f>
        <v>100</v>
      </c>
      <c r="V26" s="705" t="s">
        <v>14</v>
      </c>
      <c r="W26" s="706">
        <f>J26</f>
        <v>100</v>
      </c>
      <c r="X26" s="1355"/>
      <c r="Y26" s="369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9"/>
      <c r="Q27" s="1343">
        <f t="shared" si="11"/>
        <v>111</v>
      </c>
      <c r="R27" s="701" t="s">
        <v>14</v>
      </c>
      <c r="S27" s="702">
        <f>F27</f>
        <v>100</v>
      </c>
      <c r="T27" s="701" t="s">
        <v>14</v>
      </c>
      <c r="U27" s="702">
        <f>H27</f>
        <v>100</v>
      </c>
      <c r="V27" s="701" t="s">
        <v>14</v>
      </c>
      <c r="W27" s="702">
        <f>J27</f>
        <v>100</v>
      </c>
      <c r="X27" s="703"/>
      <c r="Y27" s="369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9"/>
      <c r="Q28" s="1352">
        <f t="shared" si="11"/>
        <v>111</v>
      </c>
      <c r="R28" s="705" t="s">
        <v>14</v>
      </c>
      <c r="S28" s="706">
        <f t="shared" ref="S28:S40" si="12">F28</f>
        <v>100</v>
      </c>
      <c r="T28" s="705" t="s">
        <v>14</v>
      </c>
      <c r="U28" s="706">
        <f t="shared" ref="U28:U40" si="13">H28</f>
        <v>100</v>
      </c>
      <c r="V28" s="705" t="s">
        <v>14</v>
      </c>
      <c r="W28" s="706">
        <f t="shared" ref="W28:W40" si="14">J28</f>
        <v>100</v>
      </c>
      <c r="X28" s="1355"/>
      <c r="Y28" s="369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5" t="s">
        <v>1696</v>
      </c>
      <c r="Q29" s="1352" t="str">
        <f t="shared" si="11"/>
        <v>建筑类型</v>
      </c>
      <c r="R29" s="705" t="s">
        <v>14</v>
      </c>
      <c r="S29" s="706">
        <f t="shared" si="12"/>
        <v>100</v>
      </c>
      <c r="T29" s="705" t="s">
        <v>14</v>
      </c>
      <c r="U29" s="706">
        <f t="shared" si="13"/>
        <v>100</v>
      </c>
      <c r="V29" s="705" t="s">
        <v>14</v>
      </c>
      <c r="W29" s="706">
        <f t="shared" si="14"/>
        <v>100</v>
      </c>
      <c r="X29" s="1355"/>
      <c r="Y29" s="370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3"/>
      <c r="Q30" s="707" t="str">
        <f t="shared" si="11"/>
        <v>项目建筑规模</v>
      </c>
      <c r="R30" s="708" t="s">
        <v>14</v>
      </c>
      <c r="S30" s="709" t="e">
        <f t="shared" si="12"/>
        <v>#N/A</v>
      </c>
      <c r="T30" s="708" t="s">
        <v>14</v>
      </c>
      <c r="U30" s="709" t="e">
        <f t="shared" si="13"/>
        <v>#N/A</v>
      </c>
      <c r="V30" s="708" t="s">
        <v>14</v>
      </c>
      <c r="W30" s="709" t="e">
        <f t="shared" si="14"/>
        <v>#N/A</v>
      </c>
      <c r="X30" s="710"/>
      <c r="Y30" s="370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3"/>
      <c r="Q31" s="1352" t="str">
        <f t="shared" si="11"/>
        <v>建筑结构</v>
      </c>
      <c r="R31" s="705" t="s">
        <v>14</v>
      </c>
      <c r="S31" s="706">
        <f t="shared" si="12"/>
        <v>100</v>
      </c>
      <c r="T31" s="705" t="s">
        <v>14</v>
      </c>
      <c r="U31" s="706">
        <f t="shared" si="13"/>
        <v>100</v>
      </c>
      <c r="V31" s="705" t="s">
        <v>14</v>
      </c>
      <c r="W31" s="706">
        <f t="shared" si="14"/>
        <v>100</v>
      </c>
      <c r="X31" s="1355"/>
      <c r="Y31" s="370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3"/>
      <c r="Q32" s="1352" t="str">
        <f t="shared" si="11"/>
        <v>公共部分装修</v>
      </c>
      <c r="R32" s="705" t="s">
        <v>14</v>
      </c>
      <c r="S32" s="706">
        <f t="shared" si="12"/>
        <v>100</v>
      </c>
      <c r="T32" s="705" t="s">
        <v>14</v>
      </c>
      <c r="U32" s="706">
        <f t="shared" si="13"/>
        <v>100</v>
      </c>
      <c r="V32" s="705" t="s">
        <v>14</v>
      </c>
      <c r="W32" s="706">
        <f t="shared" si="14"/>
        <v>100</v>
      </c>
      <c r="X32" s="1355"/>
      <c r="Y32" s="370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3"/>
      <c r="Q33" s="1352" t="str">
        <f t="shared" si="11"/>
        <v>成新度</v>
      </c>
      <c r="R33" s="705" t="s">
        <v>14</v>
      </c>
      <c r="S33" s="706" t="e">
        <f t="shared" si="12"/>
        <v>#N/A</v>
      </c>
      <c r="T33" s="705" t="s">
        <v>14</v>
      </c>
      <c r="U33" s="706" t="e">
        <f t="shared" si="13"/>
        <v>#N/A</v>
      </c>
      <c r="V33" s="705" t="s">
        <v>14</v>
      </c>
      <c r="W33" s="706" t="e">
        <f t="shared" si="14"/>
        <v>#N/A</v>
      </c>
      <c r="X33" s="1355"/>
      <c r="Y33" s="370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3"/>
      <c r="Q34" s="1343" t="str">
        <f t="shared" si="11"/>
        <v>物业管理</v>
      </c>
      <c r="R34" s="701" t="s">
        <v>14</v>
      </c>
      <c r="S34" s="702">
        <f t="shared" si="12"/>
        <v>100</v>
      </c>
      <c r="T34" s="701" t="s">
        <v>14</v>
      </c>
      <c r="U34" s="702">
        <f t="shared" si="13"/>
        <v>100</v>
      </c>
      <c r="V34" s="701" t="s">
        <v>14</v>
      </c>
      <c r="W34" s="702">
        <f t="shared" si="14"/>
        <v>100</v>
      </c>
      <c r="X34" s="703"/>
      <c r="Y34" s="370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3" t="s">
        <v>1696</v>
      </c>
      <c r="Q35" s="1352" t="str">
        <f t="shared" si="11"/>
        <v>市政基础设施</v>
      </c>
      <c r="R35" s="705" t="s">
        <v>14</v>
      </c>
      <c r="S35" s="706">
        <f t="shared" si="12"/>
        <v>100</v>
      </c>
      <c r="T35" s="705" t="s">
        <v>14</v>
      </c>
      <c r="U35" s="706">
        <f t="shared" si="13"/>
        <v>100</v>
      </c>
      <c r="V35" s="705" t="s">
        <v>14</v>
      </c>
      <c r="W35" s="706">
        <f t="shared" si="14"/>
        <v>100</v>
      </c>
      <c r="X35" s="1355"/>
      <c r="Y35" s="370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3"/>
      <c r="Q36" s="1352" t="str">
        <f t="shared" si="11"/>
        <v>内部装修</v>
      </c>
      <c r="R36" s="705" t="s">
        <v>14</v>
      </c>
      <c r="S36" s="706">
        <f t="shared" si="12"/>
        <v>100</v>
      </c>
      <c r="T36" s="705" t="s">
        <v>14</v>
      </c>
      <c r="U36" s="706">
        <f t="shared" si="13"/>
        <v>100</v>
      </c>
      <c r="V36" s="705" t="s">
        <v>14</v>
      </c>
      <c r="W36" s="706">
        <f t="shared" si="14"/>
        <v>100</v>
      </c>
      <c r="X36" s="1355"/>
      <c r="Y36" s="370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3"/>
      <c r="Q37" s="1352" t="str">
        <f t="shared" si="11"/>
        <v>内部装修状况</v>
      </c>
      <c r="R37" s="705" t="s">
        <v>14</v>
      </c>
      <c r="S37" s="706">
        <f t="shared" si="12"/>
        <v>100</v>
      </c>
      <c r="T37" s="705" t="s">
        <v>14</v>
      </c>
      <c r="U37" s="706">
        <f t="shared" si="13"/>
        <v>100</v>
      </c>
      <c r="V37" s="705" t="s">
        <v>14</v>
      </c>
      <c r="W37" s="706">
        <f t="shared" si="14"/>
        <v>100</v>
      </c>
      <c r="X37" s="1355"/>
      <c r="Y37" s="370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3"/>
      <c r="Q38" s="707">
        <f t="shared" si="11"/>
        <v>111</v>
      </c>
      <c r="R38" s="708" t="s">
        <v>14</v>
      </c>
      <c r="S38" s="709">
        <f t="shared" si="12"/>
        <v>100</v>
      </c>
      <c r="T38" s="708" t="s">
        <v>14</v>
      </c>
      <c r="U38" s="709">
        <f t="shared" si="13"/>
        <v>100</v>
      </c>
      <c r="V38" s="708" t="s">
        <v>14</v>
      </c>
      <c r="W38" s="709">
        <f t="shared" si="14"/>
        <v>100</v>
      </c>
      <c r="X38" s="710"/>
      <c r="Y38" s="370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3"/>
      <c r="Q39" s="1352">
        <f t="shared" si="11"/>
        <v>111</v>
      </c>
      <c r="R39" s="705" t="s">
        <v>14</v>
      </c>
      <c r="S39" s="706">
        <f t="shared" si="12"/>
        <v>100</v>
      </c>
      <c r="T39" s="705" t="s">
        <v>14</v>
      </c>
      <c r="U39" s="706">
        <f t="shared" si="13"/>
        <v>100</v>
      </c>
      <c r="V39" s="705" t="s">
        <v>14</v>
      </c>
      <c r="W39" s="706">
        <f t="shared" si="14"/>
        <v>100</v>
      </c>
      <c r="X39" s="1355"/>
      <c r="Y39" s="370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4"/>
      <c r="Q40" s="1352">
        <f t="shared" si="11"/>
        <v>111</v>
      </c>
      <c r="R40" s="705" t="s">
        <v>14</v>
      </c>
      <c r="S40" s="706">
        <f t="shared" si="12"/>
        <v>100</v>
      </c>
      <c r="T40" s="705" t="s">
        <v>14</v>
      </c>
      <c r="U40" s="706">
        <f t="shared" si="13"/>
        <v>100</v>
      </c>
      <c r="V40" s="705" t="s">
        <v>14</v>
      </c>
      <c r="W40" s="706">
        <f t="shared" si="14"/>
        <v>100</v>
      </c>
      <c r="X40" s="1355"/>
      <c r="Y40" s="370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6" t="str">
        <f>A41</f>
        <v>成交单价（元/平方米）</v>
      </c>
      <c r="Q41" s="3696"/>
      <c r="R41" s="3697">
        <f>E41</f>
        <v>0</v>
      </c>
      <c r="S41" s="3697"/>
      <c r="T41" s="3697">
        <f>G41</f>
        <v>0</v>
      </c>
      <c r="U41" s="3697"/>
      <c r="V41" s="3697">
        <f>I41</f>
        <v>0</v>
      </c>
      <c r="W41" s="369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2023-12</v>
      </c>
      <c r="D52" s="1185">
        <f>EDATE(C52,-1)</f>
        <v>45231</v>
      </c>
      <c r="E52" s="1185">
        <f t="shared" ref="E52:O52" si="16">EDATE(D52,-1)</f>
        <v>45200</v>
      </c>
      <c r="F52" s="1185">
        <f t="shared" si="16"/>
        <v>45170</v>
      </c>
      <c r="G52" s="1185">
        <f t="shared" si="16"/>
        <v>45139</v>
      </c>
      <c r="H52" s="1185">
        <f t="shared" si="16"/>
        <v>45108</v>
      </c>
      <c r="I52" s="1185">
        <f t="shared" si="16"/>
        <v>45078</v>
      </c>
      <c r="J52" s="1185">
        <f t="shared" si="16"/>
        <v>45047</v>
      </c>
      <c r="K52" s="1185">
        <f t="shared" si="16"/>
        <v>45017</v>
      </c>
      <c r="L52" s="1185">
        <f t="shared" si="16"/>
        <v>44986</v>
      </c>
      <c r="M52" s="1185">
        <f t="shared" si="16"/>
        <v>44958</v>
      </c>
      <c r="N52" s="1185">
        <f t="shared" si="16"/>
        <v>44927</v>
      </c>
      <c r="O52" s="1185">
        <f t="shared" si="16"/>
        <v>44896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23" priority="20" stopIfTrue="1" operator="containsText" text="超过">
      <formula>NOT(ISERROR(SEARCH("超过",F46)))</formula>
    </cfRule>
  </conditionalFormatting>
  <conditionalFormatting sqref="H48">
    <cfRule type="containsText" dxfId="122" priority="19" stopIfTrue="1" operator="containsText" text="超过">
      <formula>NOT(ISERROR(SEARCH("超过",H48)))</formula>
    </cfRule>
  </conditionalFormatting>
  <conditionalFormatting sqref="F48">
    <cfRule type="containsText" dxfId="121" priority="18" stopIfTrue="1" operator="containsText" text="超过">
      <formula>NOT(ISERROR(SEARCH("超过",F48)))</formula>
    </cfRule>
  </conditionalFormatting>
  <conditionalFormatting sqref="F47 H47">
    <cfRule type="containsText" dxfId="120" priority="17" stopIfTrue="1" operator="containsText" text="超过">
      <formula>NOT(ISERROR(SEARCH("超过",F47)))</formula>
    </cfRule>
  </conditionalFormatting>
  <conditionalFormatting sqref="E46">
    <cfRule type="expression" dxfId="119" priority="16" stopIfTrue="1">
      <formula>$F$46="超过30%"</formula>
    </cfRule>
  </conditionalFormatting>
  <conditionalFormatting sqref="E47">
    <cfRule type="expression" dxfId="118" priority="15" stopIfTrue="1">
      <formula>$F$47="超过20%"</formula>
    </cfRule>
  </conditionalFormatting>
  <conditionalFormatting sqref="E48">
    <cfRule type="expression" dxfId="117" priority="14" stopIfTrue="1">
      <formula>$F$48="超过30%"</formula>
    </cfRule>
  </conditionalFormatting>
  <conditionalFormatting sqref="G48">
    <cfRule type="expression" dxfId="116" priority="13" stopIfTrue="1">
      <formula>$H$48="超过30%"</formula>
    </cfRule>
  </conditionalFormatting>
  <conditionalFormatting sqref="G46">
    <cfRule type="expression" dxfId="115" priority="12" stopIfTrue="1">
      <formula>$H$46="超过30%"</formula>
    </cfRule>
  </conditionalFormatting>
  <conditionalFormatting sqref="G47">
    <cfRule type="expression" dxfId="114" priority="11" stopIfTrue="1">
      <formula>$H$47="超过20%"</formula>
    </cfRule>
  </conditionalFormatting>
  <conditionalFormatting sqref="J46">
    <cfRule type="containsText" dxfId="113" priority="10" stopIfTrue="1" operator="containsText" text="超过">
      <formula>NOT(ISERROR(SEARCH("超过",J46)))</formula>
    </cfRule>
  </conditionalFormatting>
  <conditionalFormatting sqref="J48">
    <cfRule type="containsText" dxfId="112" priority="9" stopIfTrue="1" operator="containsText" text="超过">
      <formula>NOT(ISERROR(SEARCH("超过",J48)))</formula>
    </cfRule>
  </conditionalFormatting>
  <conditionalFormatting sqref="J47">
    <cfRule type="containsText" dxfId="111" priority="8" stopIfTrue="1" operator="containsText" text="超过">
      <formula>NOT(ISERROR(SEARCH("超过",J47)))</formula>
    </cfRule>
  </conditionalFormatting>
  <conditionalFormatting sqref="I46">
    <cfRule type="expression" dxfId="110" priority="7" stopIfTrue="1">
      <formula>$J$46="超过30%"</formula>
    </cfRule>
  </conditionalFormatting>
  <conditionalFormatting sqref="I47">
    <cfRule type="expression" dxfId="109" priority="6" stopIfTrue="1">
      <formula>$J$47="超过20%"</formula>
    </cfRule>
  </conditionalFormatting>
  <conditionalFormatting sqref="I48">
    <cfRule type="expression" dxfId="108" priority="5" stopIfTrue="1">
      <formula>$J$48="超过30%"</formula>
    </cfRule>
  </conditionalFormatting>
  <conditionalFormatting sqref="F42">
    <cfRule type="expression" dxfId="107" priority="4">
      <formula>$D$42="简单平均"</formula>
    </cfRule>
  </conditionalFormatting>
  <conditionalFormatting sqref="H42">
    <cfRule type="expression" dxfId="106" priority="3">
      <formula>$D$42="简单平均"</formula>
    </cfRule>
  </conditionalFormatting>
  <conditionalFormatting sqref="J42">
    <cfRule type="expression" dxfId="105" priority="2">
      <formula>$D$42="简单平均"</formula>
    </cfRule>
  </conditionalFormatting>
  <conditionalFormatting sqref="F7:F40 H7:H40 J7:J40">
    <cfRule type="cellIs" dxfId="10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1" t="s">
        <v>1770</v>
      </c>
      <c r="D4" s="3712"/>
      <c r="E4" s="3713" t="s">
        <v>1771</v>
      </c>
      <c r="F4" s="3714"/>
      <c r="G4" s="3711" t="s">
        <v>1772</v>
      </c>
      <c r="H4" s="3712"/>
      <c r="I4" s="3711" t="s">
        <v>1773</v>
      </c>
      <c r="J4" s="3712"/>
      <c r="K4" s="559" t="s">
        <v>1774</v>
      </c>
      <c r="L4" s="2715"/>
      <c r="M4" s="2716"/>
      <c r="N4" s="2716"/>
      <c r="O4" s="2716"/>
      <c r="P4" s="3715" t="s">
        <v>1775</v>
      </c>
      <c r="Q4" s="3716"/>
      <c r="R4" s="3721" t="s">
        <v>1771</v>
      </c>
      <c r="S4" s="3722"/>
      <c r="T4" s="3721" t="s">
        <v>1772</v>
      </c>
      <c r="U4" s="3722"/>
      <c r="V4" s="3727" t="s">
        <v>1773</v>
      </c>
      <c r="W4" s="3727"/>
      <c r="X4" s="1355"/>
      <c r="Y4" s="3721" t="s">
        <v>1775</v>
      </c>
      <c r="Z4" s="3722"/>
      <c r="AA4" s="3708" t="s">
        <v>1771</v>
      </c>
      <c r="AB4" s="3709" t="s">
        <v>1772</v>
      </c>
      <c r="AC4" s="3708" t="s">
        <v>1773</v>
      </c>
    </row>
    <row r="5" spans="1:29" ht="15">
      <c r="A5" s="358"/>
      <c r="B5" s="359"/>
      <c r="C5" s="3730" t="s">
        <v>1673</v>
      </c>
      <c r="D5" s="3731"/>
      <c r="E5" s="3737" t="s">
        <v>1674</v>
      </c>
      <c r="F5" s="3738"/>
      <c r="G5" s="3730" t="s">
        <v>1675</v>
      </c>
      <c r="H5" s="3731"/>
      <c r="I5" s="3730" t="s">
        <v>1676</v>
      </c>
      <c r="J5" s="3731"/>
      <c r="K5" s="559"/>
      <c r="L5" s="2715"/>
      <c r="M5" s="2716"/>
      <c r="N5" s="2716"/>
      <c r="O5" s="2716"/>
      <c r="P5" s="3717"/>
      <c r="Q5" s="3718"/>
      <c r="R5" s="3723"/>
      <c r="S5" s="3724"/>
      <c r="T5" s="3723"/>
      <c r="U5" s="3724"/>
      <c r="V5" s="3727"/>
      <c r="W5" s="3727"/>
      <c r="X5" s="1355"/>
      <c r="Y5" s="3723"/>
      <c r="Z5" s="3724"/>
      <c r="AA5" s="3709"/>
      <c r="AB5" s="3709"/>
      <c r="AC5" s="3709"/>
    </row>
    <row r="6" spans="1:29" ht="15.75" thickBot="1">
      <c r="A6" s="360"/>
      <c r="B6" s="361"/>
      <c r="C6" s="3728" t="s">
        <v>1677</v>
      </c>
      <c r="D6" s="3729"/>
      <c r="E6" s="3735" t="s">
        <v>1677</v>
      </c>
      <c r="F6" s="3736"/>
      <c r="G6" s="3728" t="s">
        <v>1677</v>
      </c>
      <c r="H6" s="3729"/>
      <c r="I6" s="3728" t="s">
        <v>1677</v>
      </c>
      <c r="J6" s="3729"/>
      <c r="K6" s="559" t="s">
        <v>1678</v>
      </c>
      <c r="L6" s="2715"/>
      <c r="M6" s="2716"/>
      <c r="N6" s="2716"/>
      <c r="O6" s="2716"/>
      <c r="P6" s="3719"/>
      <c r="Q6" s="3720"/>
      <c r="R6" s="3723"/>
      <c r="S6" s="3724"/>
      <c r="T6" s="3725"/>
      <c r="U6" s="3726"/>
      <c r="V6" s="3727"/>
      <c r="W6" s="3727"/>
      <c r="X6" s="1355"/>
      <c r="Y6" s="3725"/>
      <c r="Z6" s="3726"/>
      <c r="AA6" s="3710"/>
      <c r="AB6" s="3710"/>
      <c r="AC6" s="3710"/>
    </row>
    <row r="7" spans="1:29" s="108" customFormat="1" ht="15.75" thickBot="1">
      <c r="A7" s="362" t="s">
        <v>1679</v>
      </c>
      <c r="B7" s="363"/>
      <c r="C7" s="364">
        <f>'数据-取费表'!B2</f>
        <v>45275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2" t="s">
        <v>1680</v>
      </c>
      <c r="Q7" s="3734"/>
      <c r="R7" s="701" t="s">
        <v>14</v>
      </c>
      <c r="S7" s="702">
        <f t="shared" ref="S7:S14" si="0">F7</f>
        <v>0</v>
      </c>
      <c r="T7" s="701" t="s">
        <v>14</v>
      </c>
      <c r="U7" s="702">
        <f t="shared" ref="U7:U14" si="1">H7</f>
        <v>0</v>
      </c>
      <c r="V7" s="701" t="s">
        <v>14</v>
      </c>
      <c r="W7" s="702">
        <f t="shared" ref="W7:W14" si="2">J7</f>
        <v>0</v>
      </c>
      <c r="X7" s="703"/>
      <c r="Y7" s="3732" t="s">
        <v>1680</v>
      </c>
      <c r="Z7" s="373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2" t="s">
        <v>1683</v>
      </c>
      <c r="Q8" s="3733"/>
      <c r="R8" s="701" t="s">
        <v>14</v>
      </c>
      <c r="S8" s="702">
        <f t="shared" si="0"/>
        <v>100</v>
      </c>
      <c r="T8" s="701" t="s">
        <v>14</v>
      </c>
      <c r="U8" s="702">
        <f t="shared" si="1"/>
        <v>100</v>
      </c>
      <c r="V8" s="701" t="s">
        <v>14</v>
      </c>
      <c r="W8" s="702">
        <f t="shared" si="2"/>
        <v>100</v>
      </c>
      <c r="X8" s="703"/>
      <c r="Y8" s="3732" t="s">
        <v>1683</v>
      </c>
      <c r="Z8" s="373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6" t="s">
        <v>1686</v>
      </c>
      <c r="Q9" s="1343" t="str">
        <f t="shared" ref="Q9:Q14" si="6">B9</f>
        <v>用途</v>
      </c>
      <c r="R9" s="701" t="s">
        <v>14</v>
      </c>
      <c r="S9" s="702">
        <f t="shared" si="0"/>
        <v>100</v>
      </c>
      <c r="T9" s="701" t="s">
        <v>14</v>
      </c>
      <c r="U9" s="702">
        <f t="shared" si="1"/>
        <v>100</v>
      </c>
      <c r="V9" s="701" t="s">
        <v>14</v>
      </c>
      <c r="W9" s="702">
        <f t="shared" si="2"/>
        <v>100</v>
      </c>
      <c r="X9" s="703"/>
      <c r="Y9" s="3571"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6"/>
      <c r="Q11" s="1343">
        <f t="shared" si="6"/>
        <v>111</v>
      </c>
      <c r="R11" s="701" t="s">
        <v>14</v>
      </c>
      <c r="S11" s="702">
        <f t="shared" si="0"/>
        <v>100</v>
      </c>
      <c r="T11" s="701" t="s">
        <v>14</v>
      </c>
      <c r="U11" s="702">
        <f t="shared" si="1"/>
        <v>100</v>
      </c>
      <c r="V11" s="701" t="s">
        <v>14</v>
      </c>
      <c r="W11" s="702">
        <f t="shared" si="2"/>
        <v>100</v>
      </c>
      <c r="X11" s="703"/>
      <c r="Y11" s="357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6"/>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6"/>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9"/>
      <c r="Q15" s="1352"/>
      <c r="R15" s="705"/>
      <c r="S15" s="706"/>
      <c r="T15" s="705"/>
      <c r="U15" s="706"/>
      <c r="V15" s="705"/>
      <c r="W15" s="706"/>
      <c r="X15" s="1355"/>
      <c r="Y15" s="369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9"/>
      <c r="Q17" s="1352"/>
      <c r="R17" s="705"/>
      <c r="S17" s="706"/>
      <c r="T17" s="705"/>
      <c r="U17" s="706"/>
      <c r="V17" s="705"/>
      <c r="W17" s="706"/>
      <c r="X17" s="1355"/>
      <c r="Y17" s="369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9"/>
      <c r="Q19" s="1352"/>
      <c r="R19" s="705"/>
      <c r="S19" s="706"/>
      <c r="T19" s="705"/>
      <c r="U19" s="706"/>
      <c r="V19" s="705"/>
      <c r="W19" s="706"/>
      <c r="X19" s="1355"/>
      <c r="Y19" s="369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9"/>
      <c r="Q21" s="1352"/>
      <c r="R21" s="705"/>
      <c r="S21" s="706"/>
      <c r="T21" s="705"/>
      <c r="U21" s="706"/>
      <c r="V21" s="705"/>
      <c r="W21" s="706"/>
      <c r="X21" s="1355"/>
      <c r="Y21" s="369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9"/>
      <c r="Q24" s="1352">
        <f t="shared" ref="Q24:Q36"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3"/>
      <c r="Q27" s="707" t="str">
        <f t="shared" si="11"/>
        <v>项目停车位配比</v>
      </c>
      <c r="R27" s="708" t="s">
        <v>14</v>
      </c>
      <c r="S27" s="709">
        <f t="shared" si="12"/>
        <v>100</v>
      </c>
      <c r="T27" s="708" t="s">
        <v>14</v>
      </c>
      <c r="U27" s="709">
        <f t="shared" si="13"/>
        <v>100</v>
      </c>
      <c r="V27" s="708" t="s">
        <v>14</v>
      </c>
      <c r="W27" s="709">
        <f t="shared" si="14"/>
        <v>100</v>
      </c>
      <c r="X27" s="710"/>
      <c r="Y27" s="370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3"/>
      <c r="Q28" s="1352" t="str">
        <f t="shared" si="11"/>
        <v>公共部分装修</v>
      </c>
      <c r="R28" s="705" t="s">
        <v>14</v>
      </c>
      <c r="S28" s="706">
        <f t="shared" si="12"/>
        <v>100</v>
      </c>
      <c r="T28" s="705" t="s">
        <v>14</v>
      </c>
      <c r="U28" s="706">
        <f t="shared" si="13"/>
        <v>100</v>
      </c>
      <c r="V28" s="705" t="s">
        <v>14</v>
      </c>
      <c r="W28" s="706">
        <f t="shared" si="14"/>
        <v>100</v>
      </c>
      <c r="X28" s="1355"/>
      <c r="Y28" s="370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3"/>
      <c r="Q29" s="1352" t="str">
        <f t="shared" si="11"/>
        <v>成新率</v>
      </c>
      <c r="R29" s="705" t="s">
        <v>14</v>
      </c>
      <c r="S29" s="706" t="e">
        <f t="shared" si="12"/>
        <v>#N/A</v>
      </c>
      <c r="T29" s="705" t="s">
        <v>14</v>
      </c>
      <c r="U29" s="706" t="e">
        <f t="shared" si="13"/>
        <v>#N/A</v>
      </c>
      <c r="V29" s="705" t="s">
        <v>14</v>
      </c>
      <c r="W29" s="706" t="e">
        <f t="shared" si="14"/>
        <v>#N/A</v>
      </c>
      <c r="X29" s="1355"/>
      <c r="Y29" s="370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3"/>
      <c r="Q30" s="1352" t="str">
        <f t="shared" si="11"/>
        <v>物业等级</v>
      </c>
      <c r="R30" s="705" t="s">
        <v>14</v>
      </c>
      <c r="S30" s="706">
        <f t="shared" si="12"/>
        <v>100</v>
      </c>
      <c r="T30" s="705" t="s">
        <v>14</v>
      </c>
      <c r="U30" s="706">
        <f t="shared" si="13"/>
        <v>100</v>
      </c>
      <c r="V30" s="705" t="s">
        <v>14</v>
      </c>
      <c r="W30" s="706">
        <f t="shared" si="14"/>
        <v>100</v>
      </c>
      <c r="X30" s="1355"/>
      <c r="Y30" s="370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3"/>
      <c r="Q31" s="1343" t="str">
        <f t="shared" si="11"/>
        <v>停车位面积</v>
      </c>
      <c r="R31" s="701" t="s">
        <v>14</v>
      </c>
      <c r="S31" s="702" t="e">
        <f t="shared" si="12"/>
        <v>#N/A</v>
      </c>
      <c r="T31" s="701" t="s">
        <v>14</v>
      </c>
      <c r="U31" s="702" t="e">
        <f t="shared" si="13"/>
        <v>#N/A</v>
      </c>
      <c r="V31" s="701" t="s">
        <v>14</v>
      </c>
      <c r="W31" s="702" t="e">
        <f t="shared" si="14"/>
        <v>#N/A</v>
      </c>
      <c r="X31" s="703"/>
      <c r="Y31" s="370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3" t="s">
        <v>1696</v>
      </c>
      <c r="Q32" s="1352" t="str">
        <f t="shared" si="11"/>
        <v>车位类型</v>
      </c>
      <c r="R32" s="705" t="s">
        <v>14</v>
      </c>
      <c r="S32" s="706">
        <f t="shared" si="12"/>
        <v>100</v>
      </c>
      <c r="T32" s="705" t="s">
        <v>14</v>
      </c>
      <c r="U32" s="706">
        <f t="shared" si="13"/>
        <v>100</v>
      </c>
      <c r="V32" s="705" t="s">
        <v>14</v>
      </c>
      <c r="W32" s="706">
        <f t="shared" si="14"/>
        <v>100</v>
      </c>
      <c r="X32" s="1355"/>
      <c r="Y32" s="370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3"/>
      <c r="Q33" s="1352" t="str">
        <f t="shared" si="11"/>
        <v>是否直接入户</v>
      </c>
      <c r="R33" s="705" t="s">
        <v>14</v>
      </c>
      <c r="S33" s="706">
        <f t="shared" si="12"/>
        <v>100</v>
      </c>
      <c r="T33" s="705" t="s">
        <v>14</v>
      </c>
      <c r="U33" s="706">
        <f t="shared" si="13"/>
        <v>100</v>
      </c>
      <c r="V33" s="705" t="s">
        <v>14</v>
      </c>
      <c r="W33" s="706">
        <f t="shared" si="14"/>
        <v>100</v>
      </c>
      <c r="X33" s="1355"/>
      <c r="Y33" s="370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3"/>
      <c r="Q35" s="707">
        <f t="shared" si="11"/>
        <v>111</v>
      </c>
      <c r="R35" s="708" t="s">
        <v>14</v>
      </c>
      <c r="S35" s="709">
        <f t="shared" si="12"/>
        <v>100</v>
      </c>
      <c r="T35" s="708" t="s">
        <v>14</v>
      </c>
      <c r="U35" s="709">
        <f t="shared" si="13"/>
        <v>100</v>
      </c>
      <c r="V35" s="708" t="s">
        <v>14</v>
      </c>
      <c r="W35" s="709">
        <f t="shared" si="14"/>
        <v>100</v>
      </c>
      <c r="X35" s="710"/>
      <c r="Y35" s="370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3"/>
      <c r="Q36" s="1352">
        <f t="shared" si="11"/>
        <v>111</v>
      </c>
      <c r="R36" s="705" t="s">
        <v>14</v>
      </c>
      <c r="S36" s="706">
        <f t="shared" si="12"/>
        <v>100</v>
      </c>
      <c r="T36" s="705" t="s">
        <v>14</v>
      </c>
      <c r="U36" s="706">
        <f t="shared" si="13"/>
        <v>100</v>
      </c>
      <c r="V36" s="705" t="s">
        <v>14</v>
      </c>
      <c r="W36" s="706">
        <f t="shared" si="14"/>
        <v>100</v>
      </c>
      <c r="X36" s="1355"/>
      <c r="Y36" s="3703"/>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4"/>
      <c r="M37" s="2725"/>
      <c r="N37" s="2716"/>
      <c r="O37" s="2725"/>
      <c r="P37" s="3696" t="str">
        <f>A37</f>
        <v>成交单价</v>
      </c>
      <c r="Q37" s="3696"/>
      <c r="R37" s="3697">
        <f>E37</f>
        <v>0</v>
      </c>
      <c r="S37" s="3697"/>
      <c r="T37" s="3697">
        <f>G37</f>
        <v>0</v>
      </c>
      <c r="U37" s="3697"/>
      <c r="V37" s="3697">
        <f>I37</f>
        <v>0</v>
      </c>
      <c r="W37" s="369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3" t="str">
        <f>A39</f>
        <v>估价对象XX用房的比较价值（楼面单价，元/平方米）</v>
      </c>
      <c r="Q39" s="3694"/>
      <c r="R39" s="3756" t="e">
        <f>IF(F1="售价",ROUND(IF(D38="简单平均",AVERAGE(R38:W38),R38*F38+T38*H38+V38*J38),0),ROUND(IF(D38="简单平均",AVERAGE(R38:V38),R38*F38+T38*H38+V38*J38),1))</f>
        <v>#DIV/0!</v>
      </c>
      <c r="S39" s="3756"/>
      <c r="T39" s="3756"/>
      <c r="U39" s="3756"/>
      <c r="V39" s="3756"/>
      <c r="W39" s="3756"/>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2023-12</v>
      </c>
      <c r="D48" s="1185">
        <f>EDATE(C48,-1)</f>
        <v>45231</v>
      </c>
      <c r="E48" s="1185">
        <f t="shared" ref="E48:O48" si="16">EDATE(D48,-1)</f>
        <v>45200</v>
      </c>
      <c r="F48" s="1185">
        <f t="shared" si="16"/>
        <v>45170</v>
      </c>
      <c r="G48" s="1185">
        <f t="shared" si="16"/>
        <v>45139</v>
      </c>
      <c r="H48" s="1185">
        <f t="shared" si="16"/>
        <v>45108</v>
      </c>
      <c r="I48" s="1185">
        <f t="shared" si="16"/>
        <v>45078</v>
      </c>
      <c r="J48" s="1185">
        <f t="shared" si="16"/>
        <v>45047</v>
      </c>
      <c r="K48" s="1185">
        <f t="shared" si="16"/>
        <v>45017</v>
      </c>
      <c r="L48" s="1185">
        <f t="shared" si="16"/>
        <v>44986</v>
      </c>
      <c r="M48" s="1185">
        <f t="shared" si="16"/>
        <v>44958</v>
      </c>
      <c r="N48" s="1185">
        <f t="shared" si="16"/>
        <v>44927</v>
      </c>
      <c r="O48" s="1185">
        <f t="shared" si="16"/>
        <v>44896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03" priority="18" stopIfTrue="1" operator="containsText" text="超过">
      <formula>NOT(ISERROR(SEARCH("超过",F42)))</formula>
    </cfRule>
  </conditionalFormatting>
  <conditionalFormatting sqref="J44">
    <cfRule type="containsText" dxfId="102" priority="17" stopIfTrue="1" operator="containsText" text="超过">
      <formula>NOT(ISERROR(SEARCH("超过",J44)))</formula>
    </cfRule>
  </conditionalFormatting>
  <conditionalFormatting sqref="H44">
    <cfRule type="containsText" dxfId="101" priority="16" stopIfTrue="1" operator="containsText" text="超过">
      <formula>NOT(ISERROR(SEARCH("超过",H44)))</formula>
    </cfRule>
  </conditionalFormatting>
  <conditionalFormatting sqref="F44">
    <cfRule type="containsText" dxfId="100" priority="15" stopIfTrue="1" operator="containsText" text="超过">
      <formula>NOT(ISERROR(SEARCH("超过",F44)))</formula>
    </cfRule>
  </conditionalFormatting>
  <conditionalFormatting sqref="F43 H43 J43">
    <cfRule type="containsText" dxfId="99" priority="14" stopIfTrue="1" operator="containsText" text="超过">
      <formula>NOT(ISERROR(SEARCH("超过",F43)))</formula>
    </cfRule>
  </conditionalFormatting>
  <conditionalFormatting sqref="E42">
    <cfRule type="expression" dxfId="98" priority="13" stopIfTrue="1">
      <formula>$F$42="超过30%"</formula>
    </cfRule>
  </conditionalFormatting>
  <conditionalFormatting sqref="G44">
    <cfRule type="expression" dxfId="97" priority="12" stopIfTrue="1">
      <formula>$H$54+$H$44="超过30%"</formula>
    </cfRule>
  </conditionalFormatting>
  <conditionalFormatting sqref="E43">
    <cfRule type="expression" dxfId="96" priority="11" stopIfTrue="1">
      <formula>$F$43="超过20%"</formula>
    </cfRule>
  </conditionalFormatting>
  <conditionalFormatting sqref="E44">
    <cfRule type="expression" dxfId="95" priority="10" stopIfTrue="1">
      <formula>$F$44="超过30%"</formula>
    </cfRule>
  </conditionalFormatting>
  <conditionalFormatting sqref="G42">
    <cfRule type="expression" dxfId="94" priority="9" stopIfTrue="1">
      <formula>$H$52+$H$42="超过30%"</formula>
    </cfRule>
  </conditionalFormatting>
  <conditionalFormatting sqref="G43">
    <cfRule type="expression" dxfId="93" priority="8" stopIfTrue="1">
      <formula>$H$43="超过20%"</formula>
    </cfRule>
  </conditionalFormatting>
  <conditionalFormatting sqref="I42">
    <cfRule type="expression" dxfId="92" priority="7" stopIfTrue="1">
      <formula>$J$52+$J$42="超过30%"</formula>
    </cfRule>
  </conditionalFormatting>
  <conditionalFormatting sqref="I43">
    <cfRule type="expression" dxfId="91" priority="6" stopIfTrue="1">
      <formula>$J$53+$J$43="超过20%"</formula>
    </cfRule>
  </conditionalFormatting>
  <conditionalFormatting sqref="I44">
    <cfRule type="expression" dxfId="90" priority="5" stopIfTrue="1">
      <formula>$J$44="超过30%"</formula>
    </cfRule>
  </conditionalFormatting>
  <conditionalFormatting sqref="F38">
    <cfRule type="expression" dxfId="89" priority="4">
      <formula>$D$38="简单平均"</formula>
    </cfRule>
  </conditionalFormatting>
  <conditionalFormatting sqref="H38">
    <cfRule type="expression" dxfId="88" priority="3">
      <formula>$D$38="简单平均"</formula>
    </cfRule>
  </conditionalFormatting>
  <conditionalFormatting sqref="J38">
    <cfRule type="expression" dxfId="87" priority="2">
      <formula>$D$38="简单平均"</formula>
    </cfRule>
  </conditionalFormatting>
  <conditionalFormatting sqref="F7:F36 H7:H36 J7:J36">
    <cfRule type="cellIs" dxfId="8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1" t="s">
        <v>1770</v>
      </c>
      <c r="D4" s="3712"/>
      <c r="E4" s="3713" t="s">
        <v>1771</v>
      </c>
      <c r="F4" s="3714"/>
      <c r="G4" s="3711" t="s">
        <v>1772</v>
      </c>
      <c r="H4" s="3712"/>
      <c r="I4" s="3711" t="s">
        <v>1773</v>
      </c>
      <c r="J4" s="3712"/>
      <c r="K4" s="559" t="s">
        <v>1774</v>
      </c>
      <c r="L4" s="2715"/>
      <c r="M4" s="2716"/>
      <c r="N4" s="2716"/>
      <c r="O4" s="2716"/>
      <c r="P4" s="3715" t="s">
        <v>1775</v>
      </c>
      <c r="Q4" s="3716"/>
      <c r="R4" s="3721" t="s">
        <v>1771</v>
      </c>
      <c r="S4" s="3722"/>
      <c r="T4" s="3721" t="s">
        <v>1772</v>
      </c>
      <c r="U4" s="3722"/>
      <c r="V4" s="3727" t="s">
        <v>1773</v>
      </c>
      <c r="W4" s="3727"/>
      <c r="X4" s="1355"/>
      <c r="Y4" s="3721" t="s">
        <v>1775</v>
      </c>
      <c r="Z4" s="3722"/>
      <c r="AA4" s="3708" t="s">
        <v>1771</v>
      </c>
      <c r="AB4" s="3709" t="s">
        <v>1772</v>
      </c>
      <c r="AC4" s="3708" t="s">
        <v>1773</v>
      </c>
    </row>
    <row r="5" spans="1:29" ht="15">
      <c r="A5" s="358"/>
      <c r="B5" s="359"/>
      <c r="C5" s="3730" t="s">
        <v>1673</v>
      </c>
      <c r="D5" s="3731"/>
      <c r="E5" s="3737" t="s">
        <v>1674</v>
      </c>
      <c r="F5" s="3738"/>
      <c r="G5" s="3730" t="s">
        <v>1675</v>
      </c>
      <c r="H5" s="3731"/>
      <c r="I5" s="3730" t="s">
        <v>1676</v>
      </c>
      <c r="J5" s="3731"/>
      <c r="K5" s="559"/>
      <c r="L5" s="2715"/>
      <c r="M5" s="2716"/>
      <c r="N5" s="2716"/>
      <c r="O5" s="2716"/>
      <c r="P5" s="3717"/>
      <c r="Q5" s="3718"/>
      <c r="R5" s="3723"/>
      <c r="S5" s="3724"/>
      <c r="T5" s="3723"/>
      <c r="U5" s="3724"/>
      <c r="V5" s="3727"/>
      <c r="W5" s="3727"/>
      <c r="X5" s="1355"/>
      <c r="Y5" s="3723"/>
      <c r="Z5" s="3724"/>
      <c r="AA5" s="3709"/>
      <c r="AB5" s="3709"/>
      <c r="AC5" s="3709"/>
    </row>
    <row r="6" spans="1:29" ht="15.75" thickBot="1">
      <c r="A6" s="360"/>
      <c r="B6" s="361"/>
      <c r="C6" s="3728" t="s">
        <v>1677</v>
      </c>
      <c r="D6" s="3729"/>
      <c r="E6" s="3735" t="s">
        <v>1677</v>
      </c>
      <c r="F6" s="3736"/>
      <c r="G6" s="3728" t="s">
        <v>1677</v>
      </c>
      <c r="H6" s="3729"/>
      <c r="I6" s="3728" t="s">
        <v>1677</v>
      </c>
      <c r="J6" s="3729"/>
      <c r="K6" s="559" t="s">
        <v>1678</v>
      </c>
      <c r="L6" s="2715"/>
      <c r="M6" s="2716"/>
      <c r="N6" s="2716"/>
      <c r="O6" s="2716"/>
      <c r="P6" s="3719"/>
      <c r="Q6" s="3720"/>
      <c r="R6" s="3723"/>
      <c r="S6" s="3724"/>
      <c r="T6" s="3725"/>
      <c r="U6" s="3726"/>
      <c r="V6" s="3727"/>
      <c r="W6" s="3727"/>
      <c r="X6" s="1355"/>
      <c r="Y6" s="3725"/>
      <c r="Z6" s="3726"/>
      <c r="AA6" s="3710"/>
      <c r="AB6" s="3710"/>
      <c r="AC6" s="3710"/>
    </row>
    <row r="7" spans="1:29" s="108" customFormat="1" ht="15.75" thickBot="1">
      <c r="A7" s="362" t="s">
        <v>1679</v>
      </c>
      <c r="B7" s="363"/>
      <c r="C7" s="364">
        <f>'数据-取费表'!B2</f>
        <v>45275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32" t="s">
        <v>1680</v>
      </c>
      <c r="Q7" s="3734"/>
      <c r="R7" s="701" t="s">
        <v>14</v>
      </c>
      <c r="S7" s="702">
        <f t="shared" ref="S7:S14" si="0">F7</f>
        <v>0</v>
      </c>
      <c r="T7" s="701" t="s">
        <v>14</v>
      </c>
      <c r="U7" s="702">
        <f t="shared" ref="U7:U14" si="1">H7</f>
        <v>0</v>
      </c>
      <c r="V7" s="701" t="s">
        <v>14</v>
      </c>
      <c r="W7" s="702">
        <f t="shared" ref="W7:W14" si="2">J7</f>
        <v>0</v>
      </c>
      <c r="X7" s="703"/>
      <c r="Y7" s="3732" t="s">
        <v>1680</v>
      </c>
      <c r="Z7" s="373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2" t="s">
        <v>1683</v>
      </c>
      <c r="Q8" s="3733"/>
      <c r="R8" s="701" t="s">
        <v>14</v>
      </c>
      <c r="S8" s="702">
        <f t="shared" si="0"/>
        <v>100</v>
      </c>
      <c r="T8" s="701" t="s">
        <v>14</v>
      </c>
      <c r="U8" s="702">
        <f t="shared" si="1"/>
        <v>100</v>
      </c>
      <c r="V8" s="701" t="s">
        <v>14</v>
      </c>
      <c r="W8" s="702">
        <f t="shared" si="2"/>
        <v>100</v>
      </c>
      <c r="X8" s="703"/>
      <c r="Y8" s="3732" t="s">
        <v>1683</v>
      </c>
      <c r="Z8" s="373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6" t="s">
        <v>1686</v>
      </c>
      <c r="Q9" s="1343" t="str">
        <f t="shared" ref="Q9:Q14" si="6">B9</f>
        <v>用途</v>
      </c>
      <c r="R9" s="701" t="s">
        <v>14</v>
      </c>
      <c r="S9" s="702">
        <f t="shared" si="0"/>
        <v>100</v>
      </c>
      <c r="T9" s="701" t="s">
        <v>14</v>
      </c>
      <c r="U9" s="702">
        <f t="shared" si="1"/>
        <v>100</v>
      </c>
      <c r="V9" s="701" t="s">
        <v>14</v>
      </c>
      <c r="W9" s="702">
        <f t="shared" si="2"/>
        <v>100</v>
      </c>
      <c r="X9" s="703"/>
      <c r="Y9" s="3571"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6"/>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6"/>
      <c r="Q11" s="1343">
        <f t="shared" si="6"/>
        <v>111</v>
      </c>
      <c r="R11" s="701" t="s">
        <v>14</v>
      </c>
      <c r="S11" s="702">
        <f t="shared" si="0"/>
        <v>100</v>
      </c>
      <c r="T11" s="701" t="s">
        <v>14</v>
      </c>
      <c r="U11" s="702">
        <f t="shared" si="1"/>
        <v>100</v>
      </c>
      <c r="V11" s="701" t="s">
        <v>14</v>
      </c>
      <c r="W11" s="702">
        <f t="shared" si="2"/>
        <v>100</v>
      </c>
      <c r="X11" s="703"/>
      <c r="Y11" s="357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9"/>
      <c r="Q15" s="1352"/>
      <c r="R15" s="705"/>
      <c r="S15" s="706"/>
      <c r="T15" s="705"/>
      <c r="U15" s="706"/>
      <c r="V15" s="705"/>
      <c r="W15" s="706"/>
      <c r="X15" s="1355"/>
      <c r="Y15" s="369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9"/>
      <c r="Q17" s="1352"/>
      <c r="R17" s="705"/>
      <c r="S17" s="706"/>
      <c r="T17" s="705"/>
      <c r="U17" s="706"/>
      <c r="V17" s="705"/>
      <c r="W17" s="706"/>
      <c r="X17" s="1355"/>
      <c r="Y17" s="369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9"/>
      <c r="Q19" s="1352"/>
      <c r="R19" s="705"/>
      <c r="S19" s="706"/>
      <c r="T19" s="705"/>
      <c r="U19" s="706"/>
      <c r="V19" s="705"/>
      <c r="W19" s="706"/>
      <c r="X19" s="1355"/>
      <c r="Y19" s="369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9"/>
      <c r="Q21" s="1352"/>
      <c r="R21" s="705"/>
      <c r="S21" s="706"/>
      <c r="T21" s="705"/>
      <c r="U21" s="706"/>
      <c r="V21" s="705"/>
      <c r="W21" s="706"/>
      <c r="X21" s="1355"/>
      <c r="Y21" s="369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9"/>
      <c r="Q24" s="1352">
        <f t="shared" ref="Q24:Q34"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3"/>
      <c r="Q27" s="707" t="str">
        <f t="shared" si="11"/>
        <v>成新率</v>
      </c>
      <c r="R27" s="708" t="s">
        <v>14</v>
      </c>
      <c r="S27" s="709" t="e">
        <f t="shared" si="12"/>
        <v>#N/A</v>
      </c>
      <c r="T27" s="708" t="s">
        <v>14</v>
      </c>
      <c r="U27" s="709" t="e">
        <f t="shared" si="13"/>
        <v>#N/A</v>
      </c>
      <c r="V27" s="708" t="s">
        <v>14</v>
      </c>
      <c r="W27" s="709" t="e">
        <f t="shared" si="14"/>
        <v>#N/A</v>
      </c>
      <c r="X27" s="710"/>
      <c r="Y27" s="370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3"/>
      <c r="Q28" s="1352" t="str">
        <f t="shared" si="11"/>
        <v>物业等级</v>
      </c>
      <c r="R28" s="705" t="s">
        <v>14</v>
      </c>
      <c r="S28" s="706">
        <f t="shared" si="12"/>
        <v>100</v>
      </c>
      <c r="T28" s="705" t="s">
        <v>14</v>
      </c>
      <c r="U28" s="706">
        <f t="shared" si="13"/>
        <v>100</v>
      </c>
      <c r="V28" s="705" t="s">
        <v>14</v>
      </c>
      <c r="W28" s="706">
        <f t="shared" si="14"/>
        <v>100</v>
      </c>
      <c r="X28" s="1355"/>
      <c r="Y28" s="370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3"/>
      <c r="Q29" s="1352" t="str">
        <f t="shared" si="11"/>
        <v>有无电梯</v>
      </c>
      <c r="R29" s="705" t="s">
        <v>14</v>
      </c>
      <c r="S29" s="706">
        <f t="shared" si="12"/>
        <v>100</v>
      </c>
      <c r="T29" s="705" t="s">
        <v>14</v>
      </c>
      <c r="U29" s="706">
        <f t="shared" si="13"/>
        <v>100</v>
      </c>
      <c r="V29" s="705" t="s">
        <v>14</v>
      </c>
      <c r="W29" s="706">
        <f t="shared" si="14"/>
        <v>100</v>
      </c>
      <c r="X29" s="1355"/>
      <c r="Y29" s="370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3"/>
      <c r="Q30" s="1352" t="str">
        <f t="shared" si="11"/>
        <v>建筑面积</v>
      </c>
      <c r="R30" s="705" t="s">
        <v>14</v>
      </c>
      <c r="S30" s="706" t="e">
        <f t="shared" si="12"/>
        <v>#N/A</v>
      </c>
      <c r="T30" s="705" t="s">
        <v>14</v>
      </c>
      <c r="U30" s="706" t="e">
        <f t="shared" si="13"/>
        <v>#N/A</v>
      </c>
      <c r="V30" s="705" t="s">
        <v>14</v>
      </c>
      <c r="W30" s="706" t="e">
        <f t="shared" si="14"/>
        <v>#N/A</v>
      </c>
      <c r="X30" s="1355"/>
      <c r="Y30" s="370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3"/>
      <c r="Q31" s="1343" t="str">
        <f t="shared" si="11"/>
        <v>是否封闭</v>
      </c>
      <c r="R31" s="701" t="s">
        <v>14</v>
      </c>
      <c r="S31" s="702">
        <f t="shared" si="12"/>
        <v>100</v>
      </c>
      <c r="T31" s="701" t="s">
        <v>14</v>
      </c>
      <c r="U31" s="702">
        <f t="shared" si="13"/>
        <v>100</v>
      </c>
      <c r="V31" s="701" t="s">
        <v>14</v>
      </c>
      <c r="W31" s="702">
        <f t="shared" si="14"/>
        <v>100</v>
      </c>
      <c r="X31" s="703"/>
      <c r="Y31" s="370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3" t="s">
        <v>1696</v>
      </c>
      <c r="Q32" s="1352">
        <f t="shared" si="11"/>
        <v>111</v>
      </c>
      <c r="R32" s="705" t="s">
        <v>14</v>
      </c>
      <c r="S32" s="706">
        <f t="shared" si="12"/>
        <v>100</v>
      </c>
      <c r="T32" s="705" t="s">
        <v>14</v>
      </c>
      <c r="U32" s="706">
        <f t="shared" si="13"/>
        <v>100</v>
      </c>
      <c r="V32" s="705" t="s">
        <v>14</v>
      </c>
      <c r="W32" s="706">
        <f t="shared" si="14"/>
        <v>100</v>
      </c>
      <c r="X32" s="1355"/>
      <c r="Y32" s="370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3"/>
      <c r="Q33" s="1352">
        <f t="shared" si="11"/>
        <v>111</v>
      </c>
      <c r="R33" s="705" t="s">
        <v>14</v>
      </c>
      <c r="S33" s="706">
        <f t="shared" si="12"/>
        <v>100</v>
      </c>
      <c r="T33" s="705" t="s">
        <v>14</v>
      </c>
      <c r="U33" s="706">
        <f t="shared" si="13"/>
        <v>100</v>
      </c>
      <c r="V33" s="705" t="s">
        <v>14</v>
      </c>
      <c r="W33" s="706">
        <f t="shared" si="14"/>
        <v>100</v>
      </c>
      <c r="X33" s="1355"/>
      <c r="Y33" s="370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6" t="str">
        <f>A35</f>
        <v>成交单价（元/平方米）</v>
      </c>
      <c r="Q35" s="3696"/>
      <c r="R35" s="3697">
        <f>E35</f>
        <v>0</v>
      </c>
      <c r="S35" s="3697"/>
      <c r="T35" s="3697">
        <f>G35</f>
        <v>0</v>
      </c>
      <c r="U35" s="3697"/>
      <c r="V35" s="3697">
        <f>I35</f>
        <v>0</v>
      </c>
      <c r="W35" s="369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3" t="str">
        <f>A37</f>
        <v>估价对象XX用房的比较价值（楼面单价，元/平方米）</v>
      </c>
      <c r="Q37" s="3694"/>
      <c r="R37" s="3756" t="e">
        <f>IF(F1="售价",ROUND(IF(D36="简单平均",AVERAGE(R36:W36),R36*F36+T36*H36+V36*J36),0),ROUND(IF(D36="简单平均",AVERAGE(R36:V36),R36*F36+T36*H36+V36*J36),1))</f>
        <v>#DIV/0!</v>
      </c>
      <c r="S37" s="3756"/>
      <c r="T37" s="3756"/>
      <c r="U37" s="3756"/>
      <c r="V37" s="3756"/>
      <c r="W37" s="3756"/>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2023-12</v>
      </c>
      <c r="D46" s="1185">
        <f>EDATE(C46,-1)</f>
        <v>45231</v>
      </c>
      <c r="E46" s="1185">
        <f t="shared" ref="E46:O46" si="16">EDATE(D46,-1)</f>
        <v>45200</v>
      </c>
      <c r="F46" s="1185">
        <f t="shared" si="16"/>
        <v>45170</v>
      </c>
      <c r="G46" s="1185">
        <f t="shared" si="16"/>
        <v>45139</v>
      </c>
      <c r="H46" s="1185">
        <f t="shared" si="16"/>
        <v>45108</v>
      </c>
      <c r="I46" s="1185">
        <f t="shared" si="16"/>
        <v>45078</v>
      </c>
      <c r="J46" s="1185">
        <f t="shared" si="16"/>
        <v>45047</v>
      </c>
      <c r="K46" s="1185">
        <f t="shared" si="16"/>
        <v>45017</v>
      </c>
      <c r="L46" s="1185">
        <f t="shared" si="16"/>
        <v>44986</v>
      </c>
      <c r="M46" s="1185">
        <f t="shared" si="16"/>
        <v>44958</v>
      </c>
      <c r="N46" s="1185">
        <f t="shared" si="16"/>
        <v>44927</v>
      </c>
      <c r="O46" s="1185">
        <f t="shared" si="16"/>
        <v>44896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5" priority="18" stopIfTrue="1" operator="containsText" text="超过">
      <formula>NOT(ISERROR(SEARCH("超过",F40)))</formula>
    </cfRule>
  </conditionalFormatting>
  <conditionalFormatting sqref="J42">
    <cfRule type="containsText" dxfId="84" priority="17" stopIfTrue="1" operator="containsText" text="超过">
      <formula>NOT(ISERROR(SEARCH("超过",J42)))</formula>
    </cfRule>
  </conditionalFormatting>
  <conditionalFormatting sqref="H42">
    <cfRule type="containsText" dxfId="83" priority="16" stopIfTrue="1" operator="containsText" text="超过">
      <formula>NOT(ISERROR(SEARCH("超过",H42)))</formula>
    </cfRule>
  </conditionalFormatting>
  <conditionalFormatting sqref="F42">
    <cfRule type="containsText" dxfId="82" priority="15" stopIfTrue="1" operator="containsText" text="超过">
      <formula>NOT(ISERROR(SEARCH("超过",F42)))</formula>
    </cfRule>
  </conditionalFormatting>
  <conditionalFormatting sqref="F41 H41 J41">
    <cfRule type="containsText" dxfId="81" priority="14" stopIfTrue="1" operator="containsText" text="超过">
      <formula>NOT(ISERROR(SEARCH("超过",F41)))</formula>
    </cfRule>
  </conditionalFormatting>
  <conditionalFormatting sqref="E40">
    <cfRule type="expression" dxfId="80" priority="13" stopIfTrue="1">
      <formula>$F$40="超过30%"</formula>
    </cfRule>
  </conditionalFormatting>
  <conditionalFormatting sqref="G42">
    <cfRule type="expression" dxfId="79" priority="12" stopIfTrue="1">
      <formula>$H$54+$H$42="超过30%"</formula>
    </cfRule>
  </conditionalFormatting>
  <conditionalFormatting sqref="E41">
    <cfRule type="expression" dxfId="78" priority="11" stopIfTrue="1">
      <formula>$F$41="超过20%"</formula>
    </cfRule>
  </conditionalFormatting>
  <conditionalFormatting sqref="E42">
    <cfRule type="expression" dxfId="77" priority="10" stopIfTrue="1">
      <formula>$F$42="超过30%"</formula>
    </cfRule>
  </conditionalFormatting>
  <conditionalFormatting sqref="G40">
    <cfRule type="expression" dxfId="76" priority="9" stopIfTrue="1">
      <formula>$H$52+$H$40="超过30%"</formula>
    </cfRule>
  </conditionalFormatting>
  <conditionalFormatting sqref="G41">
    <cfRule type="expression" dxfId="75" priority="8" stopIfTrue="1">
      <formula>$H$53+$H$41="超过20%"</formula>
    </cfRule>
  </conditionalFormatting>
  <conditionalFormatting sqref="I40">
    <cfRule type="expression" dxfId="74" priority="7" stopIfTrue="1">
      <formula>$J$40="超过30%"</formula>
    </cfRule>
  </conditionalFormatting>
  <conditionalFormatting sqref="I41">
    <cfRule type="expression" dxfId="73" priority="6" stopIfTrue="1">
      <formula>$J$41="超过20%"</formula>
    </cfRule>
  </conditionalFormatting>
  <conditionalFormatting sqref="I42">
    <cfRule type="expression" dxfId="72" priority="5" stopIfTrue="1">
      <formula>$J$42="超过30%"</formula>
    </cfRule>
  </conditionalFormatting>
  <conditionalFormatting sqref="F36">
    <cfRule type="expression" dxfId="71" priority="4">
      <formula>$D$36="简单平均"</formula>
    </cfRule>
  </conditionalFormatting>
  <conditionalFormatting sqref="H36">
    <cfRule type="expression" dxfId="70" priority="3">
      <formula>$D$36="简单平均"</formula>
    </cfRule>
  </conditionalFormatting>
  <conditionalFormatting sqref="J36">
    <cfRule type="expression" dxfId="69" priority="2">
      <formula>$D$36="简单平均"</formula>
    </cfRule>
  </conditionalFormatting>
  <conditionalFormatting sqref="F7:F34 H7:H34 J7:J34">
    <cfRule type="cellIs" dxfId="6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估价对象为北京市房地产，为所有。根据0，估价对象（分摊）出让国有建设用地使用权面积为33.02平方米，建筑面积为66.03平方米。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估价对象为北京市房地产,属开发建设的，该项目尚在开发建设中。根据0，估价对象（分摊）出让国有建设用地使用权面积为33.02平方米，规划建筑面积为66.03平方米。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2023年12月15日（评估专业人员实地查勘之日）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15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1" t="s">
        <v>1770</v>
      </c>
      <c r="D4" s="3712"/>
      <c r="E4" s="3713" t="s">
        <v>1771</v>
      </c>
      <c r="F4" s="3714"/>
      <c r="G4" s="3711" t="s">
        <v>1772</v>
      </c>
      <c r="H4" s="3712"/>
      <c r="I4" s="3711" t="s">
        <v>1773</v>
      </c>
      <c r="J4" s="3712"/>
      <c r="K4" s="559" t="s">
        <v>1774</v>
      </c>
      <c r="L4" s="2715"/>
      <c r="M4" s="2716"/>
      <c r="N4" s="2716"/>
      <c r="O4" s="2716"/>
      <c r="P4" s="3715" t="s">
        <v>1775</v>
      </c>
      <c r="Q4" s="3716"/>
      <c r="R4" s="3721" t="s">
        <v>1771</v>
      </c>
      <c r="S4" s="3722"/>
      <c r="T4" s="3721" t="s">
        <v>1772</v>
      </c>
      <c r="U4" s="3722"/>
      <c r="V4" s="3727" t="s">
        <v>1773</v>
      </c>
      <c r="W4" s="3727"/>
      <c r="X4" s="1355"/>
      <c r="Y4" s="3721" t="s">
        <v>1775</v>
      </c>
      <c r="Z4" s="3722"/>
      <c r="AA4" s="3708" t="s">
        <v>1771</v>
      </c>
      <c r="AB4" s="3709" t="s">
        <v>1772</v>
      </c>
      <c r="AC4" s="3708" t="s">
        <v>1773</v>
      </c>
    </row>
    <row r="5" spans="1:30" ht="15">
      <c r="A5" s="358"/>
      <c r="B5" s="359"/>
      <c r="C5" s="3730" t="s">
        <v>1673</v>
      </c>
      <c r="D5" s="3731"/>
      <c r="E5" s="3737" t="s">
        <v>1674</v>
      </c>
      <c r="F5" s="3738"/>
      <c r="G5" s="3730" t="s">
        <v>1675</v>
      </c>
      <c r="H5" s="3731"/>
      <c r="I5" s="3730" t="s">
        <v>1676</v>
      </c>
      <c r="J5" s="3731"/>
      <c r="K5" s="559"/>
      <c r="L5" s="2715"/>
      <c r="M5" s="2716"/>
      <c r="N5" s="2716"/>
      <c r="O5" s="2716"/>
      <c r="P5" s="3717"/>
      <c r="Q5" s="3718"/>
      <c r="R5" s="3723"/>
      <c r="S5" s="3724"/>
      <c r="T5" s="3723"/>
      <c r="U5" s="3724"/>
      <c r="V5" s="3727"/>
      <c r="W5" s="3727"/>
      <c r="X5" s="1355"/>
      <c r="Y5" s="3723"/>
      <c r="Z5" s="3724"/>
      <c r="AA5" s="3709"/>
      <c r="AB5" s="3709"/>
      <c r="AC5" s="3709"/>
    </row>
    <row r="6" spans="1:30" ht="15.75" thickBot="1">
      <c r="A6" s="360"/>
      <c r="B6" s="361"/>
      <c r="C6" s="3728" t="s">
        <v>1677</v>
      </c>
      <c r="D6" s="3729"/>
      <c r="E6" s="3735" t="s">
        <v>1677</v>
      </c>
      <c r="F6" s="3736"/>
      <c r="G6" s="3728" t="s">
        <v>1677</v>
      </c>
      <c r="H6" s="3729"/>
      <c r="I6" s="3728" t="s">
        <v>1677</v>
      </c>
      <c r="J6" s="3729"/>
      <c r="K6" s="559" t="s">
        <v>1678</v>
      </c>
      <c r="L6" s="2715"/>
      <c r="M6" s="2716"/>
      <c r="N6" s="2716"/>
      <c r="O6" s="2716"/>
      <c r="P6" s="3719"/>
      <c r="Q6" s="3720"/>
      <c r="R6" s="3723"/>
      <c r="S6" s="3724"/>
      <c r="T6" s="3725"/>
      <c r="U6" s="3726"/>
      <c r="V6" s="3727"/>
      <c r="W6" s="3727"/>
      <c r="X6" s="1355"/>
      <c r="Y6" s="3725"/>
      <c r="Z6" s="3726"/>
      <c r="AA6" s="3710"/>
      <c r="AB6" s="3710"/>
      <c r="AC6" s="3710"/>
    </row>
    <row r="7" spans="1:30" s="108" customFormat="1" ht="15.75" thickBot="1">
      <c r="A7" s="362" t="s">
        <v>1679</v>
      </c>
      <c r="B7" s="363"/>
      <c r="C7" s="364">
        <f>'数据-取费表'!B2</f>
        <v>45275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32" t="s">
        <v>1680</v>
      </c>
      <c r="Q7" s="3734"/>
      <c r="R7" s="701" t="s">
        <v>14</v>
      </c>
      <c r="S7" s="702">
        <f t="shared" ref="S7:S15" si="0">F7</f>
        <v>0</v>
      </c>
      <c r="T7" s="701" t="s">
        <v>14</v>
      </c>
      <c r="U7" s="702">
        <f t="shared" ref="U7:U15" si="1">H7</f>
        <v>0</v>
      </c>
      <c r="V7" s="701" t="s">
        <v>14</v>
      </c>
      <c r="W7" s="702">
        <f t="shared" ref="W7:W15" si="2">J7</f>
        <v>0</v>
      </c>
      <c r="X7" s="703"/>
      <c r="Y7" s="3732" t="s">
        <v>1680</v>
      </c>
      <c r="Z7" s="373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32" t="s">
        <v>1683</v>
      </c>
      <c r="Q8" s="3733"/>
      <c r="R8" s="701" t="s">
        <v>14</v>
      </c>
      <c r="S8" s="702">
        <f t="shared" si="0"/>
        <v>0</v>
      </c>
      <c r="T8" s="701" t="s">
        <v>14</v>
      </c>
      <c r="U8" s="702">
        <f t="shared" si="1"/>
        <v>0</v>
      </c>
      <c r="V8" s="701" t="s">
        <v>14</v>
      </c>
      <c r="W8" s="702">
        <f t="shared" si="2"/>
        <v>0</v>
      </c>
      <c r="X8" s="703"/>
      <c r="Y8" s="3732" t="s">
        <v>1683</v>
      </c>
      <c r="Z8" s="373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208</v>
      </c>
      <c r="G10" s="414"/>
      <c r="H10" s="127">
        <f>ROUND(100/'数据-取费表'!G16,0)</f>
        <v>208</v>
      </c>
      <c r="I10" s="414"/>
      <c r="J10" s="127">
        <f>ROUND(100/'数据-取费表'!G16,0)</f>
        <v>208</v>
      </c>
      <c r="K10" s="620"/>
      <c r="L10" s="2719"/>
      <c r="M10" s="2720"/>
      <c r="N10" s="2720"/>
      <c r="O10" s="2773"/>
      <c r="P10" s="3696"/>
      <c r="Q10" s="1343" t="str">
        <f t="shared" si="6"/>
        <v>土地使用年限（年）</v>
      </c>
      <c r="R10" s="701" t="s">
        <v>14</v>
      </c>
      <c r="S10" s="702">
        <f t="shared" si="0"/>
        <v>208</v>
      </c>
      <c r="T10" s="701" t="s">
        <v>14</v>
      </c>
      <c r="U10" s="702">
        <f t="shared" si="1"/>
        <v>208</v>
      </c>
      <c r="V10" s="701" t="s">
        <v>14</v>
      </c>
      <c r="W10" s="702">
        <f t="shared" si="2"/>
        <v>208</v>
      </c>
      <c r="X10" s="703"/>
      <c r="Y10" s="3571"/>
      <c r="Z10" s="52" t="str">
        <f t="shared" si="7"/>
        <v>土地使用年限（年）</v>
      </c>
      <c r="AA10" s="704">
        <f t="shared" si="3"/>
        <v>0.48076923076923078</v>
      </c>
      <c r="AB10" s="704">
        <f t="shared" si="4"/>
        <v>0.48076923076923078</v>
      </c>
      <c r="AC10" s="704">
        <f t="shared" si="5"/>
        <v>0.48076923076923078</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57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6"/>
      <c r="Q12" s="1343" t="str">
        <f t="shared" si="6"/>
        <v>配建</v>
      </c>
      <c r="R12" s="701" t="s">
        <v>14</v>
      </c>
      <c r="S12" s="702">
        <f t="shared" si="0"/>
        <v>100</v>
      </c>
      <c r="T12" s="701" t="s">
        <v>14</v>
      </c>
      <c r="U12" s="702">
        <f t="shared" si="1"/>
        <v>100</v>
      </c>
      <c r="V12" s="701" t="s">
        <v>14</v>
      </c>
      <c r="W12" s="702">
        <f t="shared" si="2"/>
        <v>100</v>
      </c>
      <c r="X12" s="703"/>
      <c r="Y12" s="357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57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57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8" t="s">
        <v>1691</v>
      </c>
      <c r="Q15" s="1352" t="str">
        <f t="shared" si="6"/>
        <v>居住社区成熟度</v>
      </c>
      <c r="R15" s="705" t="s">
        <v>14</v>
      </c>
      <c r="S15" s="706">
        <f t="shared" si="0"/>
        <v>100</v>
      </c>
      <c r="T15" s="705" t="s">
        <v>14</v>
      </c>
      <c r="U15" s="706">
        <f t="shared" si="1"/>
        <v>100</v>
      </c>
      <c r="V15" s="705" t="s">
        <v>14</v>
      </c>
      <c r="W15" s="706">
        <f t="shared" si="2"/>
        <v>100</v>
      </c>
      <c r="X15" s="1355"/>
      <c r="Y15" s="369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9"/>
      <c r="Q17" s="1352" t="str">
        <f>B17</f>
        <v>商业繁华度</v>
      </c>
      <c r="R17" s="705" t="s">
        <v>14</v>
      </c>
      <c r="S17" s="706">
        <f>F17</f>
        <v>100</v>
      </c>
      <c r="T17" s="705" t="s">
        <v>14</v>
      </c>
      <c r="U17" s="706">
        <f>H17</f>
        <v>100</v>
      </c>
      <c r="V17" s="705" t="s">
        <v>14</v>
      </c>
      <c r="W17" s="706">
        <f>J17</f>
        <v>100</v>
      </c>
      <c r="X17" s="1355"/>
      <c r="Y17" s="369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9"/>
      <c r="Q19" s="1352" t="str">
        <f>B19</f>
        <v>办公集聚程度</v>
      </c>
      <c r="R19" s="705" t="s">
        <v>14</v>
      </c>
      <c r="S19" s="706">
        <f>F19</f>
        <v>100</v>
      </c>
      <c r="T19" s="705" t="s">
        <v>14</v>
      </c>
      <c r="U19" s="706">
        <f>H19</f>
        <v>100</v>
      </c>
      <c r="V19" s="705" t="s">
        <v>14</v>
      </c>
      <c r="W19" s="706">
        <f>J19</f>
        <v>100</v>
      </c>
      <c r="X19" s="1355"/>
      <c r="Y19" s="369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9"/>
      <c r="Q20" s="1352"/>
      <c r="R20" s="705"/>
      <c r="S20" s="706"/>
      <c r="T20" s="705"/>
      <c r="U20" s="706"/>
      <c r="V20" s="705"/>
      <c r="W20" s="706"/>
      <c r="X20" s="1355"/>
      <c r="Y20" s="369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9"/>
      <c r="Q21" s="1352" t="str">
        <f>B21</f>
        <v>交通便捷度</v>
      </c>
      <c r="R21" s="705" t="s">
        <v>14</v>
      </c>
      <c r="S21" s="706">
        <f>F21</f>
        <v>100</v>
      </c>
      <c r="T21" s="705" t="s">
        <v>14</v>
      </c>
      <c r="U21" s="706">
        <f>H21</f>
        <v>100</v>
      </c>
      <c r="V21" s="705" t="s">
        <v>14</v>
      </c>
      <c r="W21" s="706">
        <f>J21</f>
        <v>100</v>
      </c>
      <c r="X21" s="1355"/>
      <c r="Y21" s="369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9"/>
      <c r="Q23" s="1352" t="str">
        <f t="shared" ref="Q23:Q37" si="8">B23</f>
        <v>区域土地利用方向</v>
      </c>
      <c r="R23" s="705" t="s">
        <v>14</v>
      </c>
      <c r="S23" s="706">
        <f>F23</f>
        <v>100</v>
      </c>
      <c r="T23" s="705" t="s">
        <v>14</v>
      </c>
      <c r="U23" s="706">
        <f>H23</f>
        <v>100</v>
      </c>
      <c r="V23" s="705" t="s">
        <v>14</v>
      </c>
      <c r="W23" s="706">
        <f>J23</f>
        <v>100</v>
      </c>
      <c r="X23" s="1355"/>
      <c r="Y23" s="369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9"/>
      <c r="Q24" s="1352"/>
      <c r="R24" s="705"/>
      <c r="S24" s="706"/>
      <c r="T24" s="705"/>
      <c r="U24" s="706"/>
      <c r="V24" s="705"/>
      <c r="W24" s="706"/>
      <c r="X24" s="1355"/>
      <c r="Y24" s="369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9"/>
      <c r="Q25" s="1352" t="str">
        <f t="shared" si="8"/>
        <v>自然及人文环境状况</v>
      </c>
      <c r="R25" s="705" t="s">
        <v>14</v>
      </c>
      <c r="S25" s="706">
        <f>F25</f>
        <v>100</v>
      </c>
      <c r="T25" s="705" t="s">
        <v>14</v>
      </c>
      <c r="U25" s="706">
        <f>H25</f>
        <v>100</v>
      </c>
      <c r="V25" s="705" t="s">
        <v>14</v>
      </c>
      <c r="W25" s="706">
        <f>J25</f>
        <v>100</v>
      </c>
      <c r="X25" s="1355"/>
      <c r="Y25" s="369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9"/>
      <c r="Q26" s="1352"/>
      <c r="R26" s="705"/>
      <c r="S26" s="706"/>
      <c r="T26" s="705"/>
      <c r="U26" s="706"/>
      <c r="V26" s="705"/>
      <c r="W26" s="706"/>
      <c r="X26" s="1355"/>
      <c r="Y26" s="369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9"/>
      <c r="Q27" s="1343" t="str">
        <f t="shared" si="8"/>
        <v>公共配套设施</v>
      </c>
      <c r="R27" s="701" t="s">
        <v>14</v>
      </c>
      <c r="S27" s="702">
        <f>F27</f>
        <v>100</v>
      </c>
      <c r="T27" s="701" t="s">
        <v>14</v>
      </c>
      <c r="U27" s="702">
        <f>H27</f>
        <v>100</v>
      </c>
      <c r="V27" s="701" t="s">
        <v>14</v>
      </c>
      <c r="W27" s="702">
        <f>J27</f>
        <v>100</v>
      </c>
      <c r="X27" s="703"/>
      <c r="Y27" s="369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9"/>
      <c r="Q28" s="1343"/>
      <c r="R28" s="701"/>
      <c r="S28" s="702"/>
      <c r="T28" s="701"/>
      <c r="U28" s="702"/>
      <c r="V28" s="701"/>
      <c r="W28" s="702"/>
      <c r="X28" s="703"/>
      <c r="Y28" s="369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9"/>
      <c r="Q29" s="1343" t="str">
        <f t="shared" ref="Q29" si="9">B29</f>
        <v>基础设施水平</v>
      </c>
      <c r="R29" s="701" t="s">
        <v>14</v>
      </c>
      <c r="S29" s="702">
        <f>F29</f>
        <v>100</v>
      </c>
      <c r="T29" s="701" t="s">
        <v>14</v>
      </c>
      <c r="U29" s="702">
        <f>H29</f>
        <v>100</v>
      </c>
      <c r="V29" s="701" t="s">
        <v>14</v>
      </c>
      <c r="W29" s="702">
        <f>J29</f>
        <v>100</v>
      </c>
      <c r="X29" s="703"/>
      <c r="Y29" s="369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9"/>
      <c r="Q30" s="1343"/>
      <c r="R30" s="701"/>
      <c r="S30" s="702"/>
      <c r="T30" s="701"/>
      <c r="U30" s="702"/>
      <c r="V30" s="701"/>
      <c r="W30" s="702"/>
      <c r="X30" s="703"/>
      <c r="Y30" s="369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9"/>
      <c r="Q32" s="1352" t="str">
        <f t="shared" si="8"/>
        <v>毗邻道路的类型与等级</v>
      </c>
      <c r="R32" s="705" t="s">
        <v>14</v>
      </c>
      <c r="S32" s="706">
        <f t="shared" si="10"/>
        <v>100</v>
      </c>
      <c r="T32" s="705" t="s">
        <v>14</v>
      </c>
      <c r="U32" s="706">
        <f t="shared" si="11"/>
        <v>100</v>
      </c>
      <c r="V32" s="705" t="s">
        <v>14</v>
      </c>
      <c r="W32" s="706">
        <f t="shared" si="12"/>
        <v>100</v>
      </c>
      <c r="X32" s="1355"/>
      <c r="Y32" s="369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9"/>
      <c r="Q33" s="1352"/>
      <c r="R33" s="705"/>
      <c r="S33" s="706"/>
      <c r="T33" s="705"/>
      <c r="U33" s="706"/>
      <c r="V33" s="705"/>
      <c r="W33" s="706"/>
      <c r="X33" s="1355"/>
      <c r="Y33" s="369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9"/>
      <c r="Q34" s="1352" t="str">
        <f t="shared" si="8"/>
        <v>土地级别</v>
      </c>
      <c r="R34" s="705" t="s">
        <v>14</v>
      </c>
      <c r="S34" s="706">
        <f t="shared" si="10"/>
        <v>100</v>
      </c>
      <c r="T34" s="705" t="s">
        <v>14</v>
      </c>
      <c r="U34" s="706">
        <f t="shared" si="11"/>
        <v>100</v>
      </c>
      <c r="V34" s="705" t="s">
        <v>14</v>
      </c>
      <c r="W34" s="706">
        <f t="shared" si="12"/>
        <v>100</v>
      </c>
      <c r="X34" s="1355"/>
      <c r="Y34" s="369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9"/>
      <c r="Q35" s="1352">
        <f t="shared" si="8"/>
        <v>111</v>
      </c>
      <c r="R35" s="705" t="s">
        <v>14</v>
      </c>
      <c r="S35" s="706">
        <f t="shared" si="10"/>
        <v>100</v>
      </c>
      <c r="T35" s="705" t="s">
        <v>14</v>
      </c>
      <c r="U35" s="706">
        <f t="shared" si="11"/>
        <v>100</v>
      </c>
      <c r="V35" s="705" t="s">
        <v>14</v>
      </c>
      <c r="W35" s="706">
        <f t="shared" si="12"/>
        <v>100</v>
      </c>
      <c r="X35" s="1355"/>
      <c r="Y35" s="369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5" t="s">
        <v>1696</v>
      </c>
      <c r="Q36" s="1352">
        <f t="shared" si="8"/>
        <v>111</v>
      </c>
      <c r="R36" s="705" t="s">
        <v>14</v>
      </c>
      <c r="S36" s="706">
        <f t="shared" si="10"/>
        <v>100</v>
      </c>
      <c r="T36" s="705" t="s">
        <v>14</v>
      </c>
      <c r="U36" s="706">
        <f t="shared" si="11"/>
        <v>100</v>
      </c>
      <c r="V36" s="705" t="s">
        <v>14</v>
      </c>
      <c r="W36" s="706">
        <f t="shared" si="12"/>
        <v>100</v>
      </c>
      <c r="X36" s="1355"/>
      <c r="Y36" s="370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3"/>
      <c r="Q37" s="1352">
        <f t="shared" si="8"/>
        <v>111</v>
      </c>
      <c r="R37" s="708" t="s">
        <v>14</v>
      </c>
      <c r="S37" s="709">
        <f t="shared" si="10"/>
        <v>100</v>
      </c>
      <c r="T37" s="708" t="s">
        <v>14</v>
      </c>
      <c r="U37" s="709">
        <f t="shared" si="11"/>
        <v>100</v>
      </c>
      <c r="V37" s="708" t="s">
        <v>14</v>
      </c>
      <c r="W37" s="709">
        <f t="shared" si="12"/>
        <v>100</v>
      </c>
      <c r="X37" s="710"/>
      <c r="Y37" s="370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3"/>
      <c r="Q38" s="1352" t="str">
        <f>B38</f>
        <v>宗地面积</v>
      </c>
      <c r="R38" s="705" t="s">
        <v>14</v>
      </c>
      <c r="S38" s="706" t="e">
        <f t="shared" si="10"/>
        <v>#N/A</v>
      </c>
      <c r="T38" s="705" t="s">
        <v>14</v>
      </c>
      <c r="U38" s="706" t="e">
        <f t="shared" si="11"/>
        <v>#N/A</v>
      </c>
      <c r="V38" s="705" t="s">
        <v>14</v>
      </c>
      <c r="W38" s="706" t="e">
        <f t="shared" si="12"/>
        <v>#N/A</v>
      </c>
      <c r="X38" s="1355"/>
      <c r="Y38" s="370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3"/>
      <c r="Q39" s="1352" t="str">
        <f t="shared" ref="Q39:Q45" si="14">B39</f>
        <v>宗地形状</v>
      </c>
      <c r="R39" s="705" t="s">
        <v>14</v>
      </c>
      <c r="S39" s="706">
        <f t="shared" si="10"/>
        <v>100</v>
      </c>
      <c r="T39" s="705" t="s">
        <v>14</v>
      </c>
      <c r="U39" s="706">
        <f t="shared" si="11"/>
        <v>100</v>
      </c>
      <c r="V39" s="705" t="s">
        <v>14</v>
      </c>
      <c r="W39" s="706">
        <f t="shared" si="12"/>
        <v>100</v>
      </c>
      <c r="X39" s="1355"/>
      <c r="Y39" s="370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3"/>
      <c r="Q40" s="1352" t="str">
        <f t="shared" si="14"/>
        <v>临街宽度及深度</v>
      </c>
      <c r="R40" s="705" t="s">
        <v>14</v>
      </c>
      <c r="S40" s="706">
        <f t="shared" si="10"/>
        <v>100</v>
      </c>
      <c r="T40" s="705" t="s">
        <v>14</v>
      </c>
      <c r="U40" s="706">
        <f t="shared" si="11"/>
        <v>100</v>
      </c>
      <c r="V40" s="705" t="s">
        <v>14</v>
      </c>
      <c r="W40" s="706">
        <f t="shared" si="12"/>
        <v>100</v>
      </c>
      <c r="X40" s="1355"/>
      <c r="Y40" s="370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3"/>
      <c r="Q41" s="1352" t="str">
        <f t="shared" si="14"/>
        <v>宗地开发程度</v>
      </c>
      <c r="R41" s="701" t="s">
        <v>14</v>
      </c>
      <c r="S41" s="702">
        <f t="shared" si="10"/>
        <v>100</v>
      </c>
      <c r="T41" s="701" t="s">
        <v>14</v>
      </c>
      <c r="U41" s="702">
        <f t="shared" si="11"/>
        <v>100</v>
      </c>
      <c r="V41" s="701" t="s">
        <v>14</v>
      </c>
      <c r="W41" s="702">
        <f t="shared" si="12"/>
        <v>100</v>
      </c>
      <c r="X41" s="703"/>
      <c r="Y41" s="370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3" t="s">
        <v>1696</v>
      </c>
      <c r="Q42" s="1352" t="str">
        <f t="shared" si="14"/>
        <v>工程地质条件</v>
      </c>
      <c r="R42" s="705" t="s">
        <v>14</v>
      </c>
      <c r="S42" s="706">
        <f t="shared" si="10"/>
        <v>100</v>
      </c>
      <c r="T42" s="705" t="s">
        <v>14</v>
      </c>
      <c r="U42" s="706">
        <f t="shared" si="11"/>
        <v>100</v>
      </c>
      <c r="V42" s="705" t="s">
        <v>14</v>
      </c>
      <c r="W42" s="706">
        <f t="shared" si="12"/>
        <v>100</v>
      </c>
      <c r="X42" s="1355"/>
      <c r="Y42" s="370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3"/>
      <c r="Q43" s="1352">
        <f t="shared" si="14"/>
        <v>111</v>
      </c>
      <c r="R43" s="705" t="s">
        <v>14</v>
      </c>
      <c r="S43" s="706">
        <f t="shared" si="10"/>
        <v>100</v>
      </c>
      <c r="T43" s="705" t="s">
        <v>14</v>
      </c>
      <c r="U43" s="706">
        <f t="shared" si="11"/>
        <v>100</v>
      </c>
      <c r="V43" s="705" t="s">
        <v>14</v>
      </c>
      <c r="W43" s="706">
        <f t="shared" si="12"/>
        <v>100</v>
      </c>
      <c r="X43" s="1355"/>
      <c r="Y43" s="370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3"/>
      <c r="Q44" s="1352">
        <f t="shared" si="14"/>
        <v>111</v>
      </c>
      <c r="R44" s="705" t="s">
        <v>14</v>
      </c>
      <c r="S44" s="706">
        <f t="shared" si="10"/>
        <v>100</v>
      </c>
      <c r="T44" s="705" t="s">
        <v>14</v>
      </c>
      <c r="U44" s="706">
        <f t="shared" si="11"/>
        <v>100</v>
      </c>
      <c r="V44" s="705" t="s">
        <v>14</v>
      </c>
      <c r="W44" s="706">
        <f t="shared" si="12"/>
        <v>100</v>
      </c>
      <c r="X44" s="1355"/>
      <c r="Y44" s="370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3"/>
      <c r="Q45" s="1352">
        <f t="shared" si="14"/>
        <v>111</v>
      </c>
      <c r="R45" s="708" t="s">
        <v>14</v>
      </c>
      <c r="S45" s="709">
        <f t="shared" si="10"/>
        <v>100</v>
      </c>
      <c r="T45" s="708" t="s">
        <v>14</v>
      </c>
      <c r="U45" s="709">
        <f t="shared" si="11"/>
        <v>100</v>
      </c>
      <c r="V45" s="708" t="s">
        <v>14</v>
      </c>
      <c r="W45" s="709">
        <f t="shared" si="12"/>
        <v>100</v>
      </c>
      <c r="X45" s="710"/>
      <c r="Y45" s="370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6" t="str">
        <f>A46</f>
        <v>成交单价</v>
      </c>
      <c r="Q46" s="3696"/>
      <c r="R46" s="3727">
        <f>E46</f>
        <v>0</v>
      </c>
      <c r="S46" s="3727"/>
      <c r="T46" s="3727">
        <f>G46</f>
        <v>0</v>
      </c>
      <c r="U46" s="3727"/>
      <c r="V46" s="3727">
        <f>I46</f>
        <v>0</v>
      </c>
      <c r="W46" s="372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6" t="str">
        <f>A47</f>
        <v>比较价值（元/平方米）</v>
      </c>
      <c r="Q47" s="3696"/>
      <c r="R47" s="3757" t="e">
        <f>ROUND(PRODUCT(R46,AA7:AA45),0)</f>
        <v>#DIV/0!</v>
      </c>
      <c r="S47" s="3757"/>
      <c r="T47" s="3757" t="e">
        <f>ROUND(PRODUCT(T46,AB7:AB45),0)</f>
        <v>#DIV/0!</v>
      </c>
      <c r="U47" s="3757"/>
      <c r="V47" s="3757" t="e">
        <f>ROUND(PRODUCT(V46,AC7:AC45),0)</f>
        <v>#DIV/0!</v>
      </c>
      <c r="W47" s="375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3" t="str">
        <f>A48</f>
        <v>估价对象XX用房的比较价值（楼面单价，元/平方米）</v>
      </c>
      <c r="Q48" s="3694"/>
      <c r="R48" s="3758" t="e">
        <f>ROUND(IF(D47="简单平均",AVERAGE(R47:W47),R47*F47+T47*H47+V47*J47),0)</f>
        <v>#DIV/0!</v>
      </c>
      <c r="S48" s="3758"/>
      <c r="T48" s="3758"/>
      <c r="U48" s="3758"/>
      <c r="V48" s="3758"/>
      <c r="W48" s="3758"/>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1" t="s">
        <v>1887</v>
      </c>
      <c r="H55" s="3759"/>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66.03</v>
      </c>
      <c r="F56" s="886" t="e">
        <f t="shared" ref="F56:F64" si="15">ROUND(B56*E56/10000,0)</f>
        <v>#DIV/0!</v>
      </c>
      <c r="G56" s="3707"/>
      <c r="H56" s="369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v>
      </c>
      <c r="D60" s="945">
        <v>0.25</v>
      </c>
      <c r="E60" s="217">
        <f>'数据-汇总表'!E11</f>
        <v>0</v>
      </c>
      <c r="F60" s="886" t="e">
        <f t="shared" si="15"/>
        <v>#DIV/0!</v>
      </c>
      <c r="G60" s="1987" t="s">
        <v>1896</v>
      </c>
      <c r="H60" s="887" t="str">
        <f>项目基本情况!C37</f>
        <v>八级</v>
      </c>
      <c r="I60" s="891">
        <f>SUMIF(修正!A57:A68,H60,修正!E57:E68)</f>
        <v>0.2</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v>
      </c>
      <c r="D61" s="945">
        <v>0.25</v>
      </c>
      <c r="E61" s="217">
        <f>'数据-汇总表'!E12</f>
        <v>0</v>
      </c>
      <c r="F61" s="886" t="e">
        <f t="shared" si="15"/>
        <v>#DIV/0!</v>
      </c>
      <c r="G61" s="892" t="s">
        <v>1898</v>
      </c>
      <c r="H61" s="887" t="str">
        <f>IF(G61="商业",项目基本情况!B37,IF(G61="办公",项目基本情况!C37,IF(G61="住宅",项目基本情况!D37,项目基本情况!E37)))</f>
        <v>八级</v>
      </c>
      <c r="I61" s="891">
        <f>SUMIF(修正!A57:A68,H61,修正!F57:F68)</f>
        <v>0.2</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v>
      </c>
      <c r="D64" s="945">
        <v>0.25</v>
      </c>
      <c r="E64" s="217">
        <f>'数据-汇总表'!E15</f>
        <v>0</v>
      </c>
      <c r="F64" s="886" t="e">
        <f t="shared" si="15"/>
        <v>#DIV/0!</v>
      </c>
      <c r="G64" s="1988" t="s">
        <v>1896</v>
      </c>
      <c r="H64" s="897" t="str">
        <f>项目基本情况!C37</f>
        <v>八级</v>
      </c>
      <c r="I64" s="893">
        <f>SUMIF(修正!A57:A68,H64,修正!G57:G68)</f>
        <v>0.1</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66.03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2023-12-1</v>
      </c>
      <c r="D67" s="692">
        <f>EDATE(C67,-3)</f>
        <v>45170</v>
      </c>
      <c r="E67" s="692">
        <f>EDATE(D67,-3)</f>
        <v>45078</v>
      </c>
      <c r="F67" s="692">
        <f t="shared" ref="F67:O67" si="18">EDATE(E67,-3)</f>
        <v>44986</v>
      </c>
      <c r="G67" s="692">
        <f t="shared" si="18"/>
        <v>44896</v>
      </c>
      <c r="H67" s="692">
        <f t="shared" si="18"/>
        <v>44805</v>
      </c>
      <c r="I67" s="692">
        <f t="shared" si="18"/>
        <v>44713</v>
      </c>
      <c r="J67" s="692">
        <f t="shared" si="18"/>
        <v>44621</v>
      </c>
      <c r="K67" s="692">
        <f t="shared" si="18"/>
        <v>44531</v>
      </c>
      <c r="L67" s="692">
        <f t="shared" si="18"/>
        <v>44440</v>
      </c>
      <c r="M67" s="692">
        <f t="shared" si="18"/>
        <v>44348</v>
      </c>
      <c r="N67" s="692">
        <f t="shared" si="18"/>
        <v>44256</v>
      </c>
      <c r="O67" s="692">
        <f t="shared" si="18"/>
        <v>44166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7" priority="18" stopIfTrue="1" operator="containsText" text="超过">
      <formula>NOT(ISERROR(SEARCH("超过",F51)))</formula>
    </cfRule>
  </conditionalFormatting>
  <conditionalFormatting sqref="J53">
    <cfRule type="containsText" dxfId="66" priority="17" stopIfTrue="1" operator="containsText" text="超过">
      <formula>NOT(ISERROR(SEARCH("超过",J53)))</formula>
    </cfRule>
  </conditionalFormatting>
  <conditionalFormatting sqref="H53">
    <cfRule type="containsText" dxfId="65" priority="16" stopIfTrue="1" operator="containsText" text="超过">
      <formula>NOT(ISERROR(SEARCH("超过",H53)))</formula>
    </cfRule>
  </conditionalFormatting>
  <conditionalFormatting sqref="F53">
    <cfRule type="containsText" dxfId="64" priority="15" stopIfTrue="1" operator="containsText" text="超过">
      <formula>NOT(ISERROR(SEARCH("超过",F53)))</formula>
    </cfRule>
  </conditionalFormatting>
  <conditionalFormatting sqref="F52 H52 J52">
    <cfRule type="containsText" dxfId="63" priority="14" stopIfTrue="1" operator="containsText" text="超过">
      <formula>NOT(ISERROR(SEARCH("超过",F52)))</formula>
    </cfRule>
  </conditionalFormatting>
  <conditionalFormatting sqref="E51">
    <cfRule type="expression" dxfId="62" priority="13" stopIfTrue="1">
      <formula>$F$51="超过30%"</formula>
    </cfRule>
  </conditionalFormatting>
  <conditionalFormatting sqref="G53">
    <cfRule type="expression" dxfId="61" priority="12" stopIfTrue="1">
      <formula>$H$53="超过30%"</formula>
    </cfRule>
  </conditionalFormatting>
  <conditionalFormatting sqref="E52">
    <cfRule type="expression" dxfId="60" priority="11" stopIfTrue="1">
      <formula>$F$52="超过20%"</formula>
    </cfRule>
  </conditionalFormatting>
  <conditionalFormatting sqref="E53">
    <cfRule type="expression" dxfId="59" priority="10" stopIfTrue="1">
      <formula>$F$53="超过30%"</formula>
    </cfRule>
  </conditionalFormatting>
  <conditionalFormatting sqref="G51">
    <cfRule type="expression" dxfId="58" priority="9" stopIfTrue="1">
      <formula>$H$53+$H$51="超过30%"</formula>
    </cfRule>
  </conditionalFormatting>
  <conditionalFormatting sqref="G52">
    <cfRule type="expression" dxfId="57" priority="8" stopIfTrue="1">
      <formula>$H$52="超过20%"</formula>
    </cfRule>
  </conditionalFormatting>
  <conditionalFormatting sqref="I51">
    <cfRule type="expression" dxfId="56" priority="7" stopIfTrue="1">
      <formula>$J$51="超过30%"</formula>
    </cfRule>
  </conditionalFormatting>
  <conditionalFormatting sqref="I52">
    <cfRule type="expression" dxfId="55" priority="6" stopIfTrue="1">
      <formula>$J$52="超过20%"</formula>
    </cfRule>
  </conditionalFormatting>
  <conditionalFormatting sqref="I53">
    <cfRule type="expression" dxfId="54" priority="5" stopIfTrue="1">
      <formula>$J$53="超过30%"</formula>
    </cfRule>
  </conditionalFormatting>
  <conditionalFormatting sqref="F47">
    <cfRule type="expression" dxfId="53" priority="4">
      <formula>$D$47="简单平均"</formula>
    </cfRule>
  </conditionalFormatting>
  <conditionalFormatting sqref="H47">
    <cfRule type="expression" dxfId="52" priority="3">
      <formula>$D$47="简单平均"</formula>
    </cfRule>
  </conditionalFormatting>
  <conditionalFormatting sqref="J47">
    <cfRule type="expression" dxfId="51" priority="2">
      <formula>$D$47="简单平均"</formula>
    </cfRule>
  </conditionalFormatting>
  <conditionalFormatting sqref="F7:F45 H7:H45 J7:J45">
    <cfRule type="cellIs" dxfId="5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1" t="s">
        <v>1770</v>
      </c>
      <c r="D4" s="3712"/>
      <c r="E4" s="3713" t="s">
        <v>1771</v>
      </c>
      <c r="F4" s="3714"/>
      <c r="G4" s="3711" t="s">
        <v>1772</v>
      </c>
      <c r="H4" s="3712"/>
      <c r="I4" s="3711" t="s">
        <v>1773</v>
      </c>
      <c r="J4" s="3712"/>
      <c r="K4" s="559" t="s">
        <v>1774</v>
      </c>
      <c r="L4" s="2715"/>
      <c r="M4" s="2716"/>
      <c r="N4" s="2716"/>
      <c r="O4" s="2716"/>
      <c r="P4" s="3715" t="s">
        <v>1775</v>
      </c>
      <c r="Q4" s="3716"/>
      <c r="R4" s="3721" t="s">
        <v>1771</v>
      </c>
      <c r="S4" s="3722"/>
      <c r="T4" s="3721" t="s">
        <v>1772</v>
      </c>
      <c r="U4" s="3722"/>
      <c r="V4" s="3727" t="s">
        <v>1773</v>
      </c>
      <c r="W4" s="3727"/>
      <c r="X4" s="1355"/>
      <c r="Y4" s="3721" t="s">
        <v>1775</v>
      </c>
      <c r="Z4" s="3722"/>
      <c r="AA4" s="3708" t="s">
        <v>1771</v>
      </c>
      <c r="AB4" s="3709" t="s">
        <v>1772</v>
      </c>
      <c r="AC4" s="3708" t="s">
        <v>1773</v>
      </c>
    </row>
    <row r="5" spans="1:29" ht="15">
      <c r="A5" s="358"/>
      <c r="B5" s="359"/>
      <c r="C5" s="3730" t="s">
        <v>1673</v>
      </c>
      <c r="D5" s="3731"/>
      <c r="E5" s="3737" t="s">
        <v>1674</v>
      </c>
      <c r="F5" s="3738"/>
      <c r="G5" s="3730" t="s">
        <v>1675</v>
      </c>
      <c r="H5" s="3731"/>
      <c r="I5" s="3730" t="s">
        <v>1676</v>
      </c>
      <c r="J5" s="3731"/>
      <c r="K5" s="559"/>
      <c r="L5" s="2715"/>
      <c r="M5" s="2716"/>
      <c r="N5" s="2716"/>
      <c r="O5" s="2716"/>
      <c r="P5" s="3717"/>
      <c r="Q5" s="3718"/>
      <c r="R5" s="3723"/>
      <c r="S5" s="3724"/>
      <c r="T5" s="3723"/>
      <c r="U5" s="3724"/>
      <c r="V5" s="3727"/>
      <c r="W5" s="3727"/>
      <c r="X5" s="1355"/>
      <c r="Y5" s="3723"/>
      <c r="Z5" s="3724"/>
      <c r="AA5" s="3709"/>
      <c r="AB5" s="3709"/>
      <c r="AC5" s="3709"/>
    </row>
    <row r="6" spans="1:29" ht="15.75" thickBot="1">
      <c r="A6" s="360"/>
      <c r="B6" s="361"/>
      <c r="C6" s="3760" t="s">
        <v>1919</v>
      </c>
      <c r="D6" s="3761"/>
      <c r="E6" s="3762" t="s">
        <v>1919</v>
      </c>
      <c r="F6" s="3763"/>
      <c r="G6" s="3760" t="s">
        <v>1919</v>
      </c>
      <c r="H6" s="3761"/>
      <c r="I6" s="3760" t="s">
        <v>1919</v>
      </c>
      <c r="J6" s="3761"/>
      <c r="K6" s="559" t="s">
        <v>1678</v>
      </c>
      <c r="L6" s="2715"/>
      <c r="M6" s="2716"/>
      <c r="N6" s="2716"/>
      <c r="O6" s="2716"/>
      <c r="P6" s="3719"/>
      <c r="Q6" s="3720"/>
      <c r="R6" s="3723"/>
      <c r="S6" s="3724"/>
      <c r="T6" s="3725"/>
      <c r="U6" s="3726"/>
      <c r="V6" s="3727"/>
      <c r="W6" s="3727"/>
      <c r="X6" s="1355"/>
      <c r="Y6" s="3725"/>
      <c r="Z6" s="3726"/>
      <c r="AA6" s="3710"/>
      <c r="AB6" s="3710"/>
      <c r="AC6" s="3710"/>
    </row>
    <row r="7" spans="1:29" s="108" customFormat="1" ht="15.75" thickBot="1">
      <c r="A7" s="362" t="s">
        <v>1679</v>
      </c>
      <c r="B7" s="363"/>
      <c r="C7" s="364">
        <f>'数据-取费表'!B2</f>
        <v>45275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32" t="s">
        <v>1680</v>
      </c>
      <c r="Q7" s="3734"/>
      <c r="R7" s="701" t="s">
        <v>14</v>
      </c>
      <c r="S7" s="702">
        <f t="shared" ref="S7:S15" si="0">F7</f>
        <v>0</v>
      </c>
      <c r="T7" s="701" t="s">
        <v>14</v>
      </c>
      <c r="U7" s="702">
        <f t="shared" ref="U7:U15" si="1">H7</f>
        <v>0</v>
      </c>
      <c r="V7" s="701" t="s">
        <v>14</v>
      </c>
      <c r="W7" s="702">
        <f t="shared" ref="W7:W15" si="2">J7</f>
        <v>0</v>
      </c>
      <c r="X7" s="703"/>
      <c r="Y7" s="3732" t="s">
        <v>1680</v>
      </c>
      <c r="Z7" s="373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32" t="s">
        <v>1683</v>
      </c>
      <c r="Q8" s="3733"/>
      <c r="R8" s="701" t="s">
        <v>14</v>
      </c>
      <c r="S8" s="702">
        <f t="shared" si="0"/>
        <v>0</v>
      </c>
      <c r="T8" s="701" t="s">
        <v>14</v>
      </c>
      <c r="U8" s="702">
        <f t="shared" si="1"/>
        <v>0</v>
      </c>
      <c r="V8" s="701" t="s">
        <v>14</v>
      </c>
      <c r="W8" s="702">
        <f t="shared" si="2"/>
        <v>0</v>
      </c>
      <c r="X8" s="703"/>
      <c r="Y8" s="3732" t="s">
        <v>1683</v>
      </c>
      <c r="Z8" s="373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208</v>
      </c>
      <c r="G10" s="383"/>
      <c r="H10" s="127">
        <f>ROUND(100/'数据-取费表'!G16,0)</f>
        <v>208</v>
      </c>
      <c r="I10" s="383"/>
      <c r="J10" s="127">
        <f>ROUND(100/'数据-取费表'!G16,0)</f>
        <v>208</v>
      </c>
      <c r="K10" s="620"/>
      <c r="L10" s="2719"/>
      <c r="M10" s="2720"/>
      <c r="N10" s="2720"/>
      <c r="O10" s="2773"/>
      <c r="P10" s="3696"/>
      <c r="Q10" s="1343" t="str">
        <f t="shared" si="6"/>
        <v>土地使用年限（年）</v>
      </c>
      <c r="R10" s="701" t="s">
        <v>14</v>
      </c>
      <c r="S10" s="702">
        <f t="shared" si="0"/>
        <v>208</v>
      </c>
      <c r="T10" s="701" t="s">
        <v>14</v>
      </c>
      <c r="U10" s="702">
        <f t="shared" si="1"/>
        <v>208</v>
      </c>
      <c r="V10" s="701" t="s">
        <v>14</v>
      </c>
      <c r="W10" s="702">
        <f t="shared" si="2"/>
        <v>208</v>
      </c>
      <c r="X10" s="703"/>
      <c r="Y10" s="3571"/>
      <c r="Z10" s="52" t="str">
        <f t="shared" si="7"/>
        <v>土地使用年限（年）</v>
      </c>
      <c r="AA10" s="704">
        <f t="shared" si="3"/>
        <v>0.48076923076923078</v>
      </c>
      <c r="AB10" s="704">
        <f t="shared" si="4"/>
        <v>0.48076923076923078</v>
      </c>
      <c r="AC10" s="704">
        <f t="shared" si="5"/>
        <v>0.48076923076923078</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57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57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9"/>
      <c r="Q19" s="1352" t="str">
        <f t="shared" ref="Q19:Q33" si="8">B19</f>
        <v>区域土地利用方向</v>
      </c>
      <c r="R19" s="705" t="s">
        <v>14</v>
      </c>
      <c r="S19" s="706">
        <f>F19</f>
        <v>100</v>
      </c>
      <c r="T19" s="705" t="s">
        <v>14</v>
      </c>
      <c r="U19" s="706">
        <f>H19</f>
        <v>100</v>
      </c>
      <c r="V19" s="705" t="s">
        <v>14</v>
      </c>
      <c r="W19" s="706">
        <f>J19</f>
        <v>100</v>
      </c>
      <c r="X19" s="1355"/>
      <c r="Y19" s="369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9"/>
      <c r="Q20" s="1352"/>
      <c r="R20" s="705"/>
      <c r="S20" s="706"/>
      <c r="T20" s="705"/>
      <c r="U20" s="706"/>
      <c r="V20" s="705"/>
      <c r="W20" s="706"/>
      <c r="X20" s="1355"/>
      <c r="Y20" s="369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9"/>
      <c r="Q21" s="1352" t="str">
        <f t="shared" si="8"/>
        <v>环境状况</v>
      </c>
      <c r="R21" s="705" t="s">
        <v>14</v>
      </c>
      <c r="S21" s="706">
        <f>F21</f>
        <v>100</v>
      </c>
      <c r="T21" s="705" t="s">
        <v>14</v>
      </c>
      <c r="U21" s="706">
        <f>H21</f>
        <v>100</v>
      </c>
      <c r="V21" s="705" t="s">
        <v>14</v>
      </c>
      <c r="W21" s="706">
        <f>J21</f>
        <v>100</v>
      </c>
      <c r="X21" s="1355"/>
      <c r="Y21" s="369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9"/>
      <c r="Q23" s="1343" t="str">
        <f t="shared" si="8"/>
        <v>公共配套设施</v>
      </c>
      <c r="R23" s="701" t="s">
        <v>14</v>
      </c>
      <c r="S23" s="702">
        <f>F23</f>
        <v>100</v>
      </c>
      <c r="T23" s="701" t="s">
        <v>14</v>
      </c>
      <c r="U23" s="702">
        <f>H23</f>
        <v>100</v>
      </c>
      <c r="V23" s="701" t="s">
        <v>14</v>
      </c>
      <c r="W23" s="702">
        <f>J23</f>
        <v>100</v>
      </c>
      <c r="X23" s="703"/>
      <c r="Y23" s="369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9"/>
      <c r="Q24" s="1343"/>
      <c r="R24" s="701"/>
      <c r="S24" s="702"/>
      <c r="T24" s="701"/>
      <c r="U24" s="702"/>
      <c r="V24" s="701"/>
      <c r="W24" s="702"/>
      <c r="X24" s="703"/>
      <c r="Y24" s="369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9"/>
      <c r="Q25" s="1343" t="str">
        <f t="shared" ref="Q25" si="9">B25</f>
        <v>基础设施水平</v>
      </c>
      <c r="R25" s="701" t="s">
        <v>14</v>
      </c>
      <c r="S25" s="702">
        <f>F25</f>
        <v>100</v>
      </c>
      <c r="T25" s="701" t="s">
        <v>14</v>
      </c>
      <c r="U25" s="702">
        <f>H25</f>
        <v>100</v>
      </c>
      <c r="V25" s="701" t="s">
        <v>14</v>
      </c>
      <c r="W25" s="702">
        <f>J25</f>
        <v>100</v>
      </c>
      <c r="X25" s="703"/>
      <c r="Y25" s="369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9"/>
      <c r="Q26" s="1343"/>
      <c r="R26" s="701"/>
      <c r="S26" s="702"/>
      <c r="T26" s="701"/>
      <c r="U26" s="702"/>
      <c r="V26" s="701"/>
      <c r="W26" s="702"/>
      <c r="X26" s="703"/>
      <c r="Y26" s="369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9"/>
      <c r="Q28" s="1352" t="str">
        <f t="shared" si="8"/>
        <v>毗邻道路的类型与等级</v>
      </c>
      <c r="R28" s="705" t="s">
        <v>14</v>
      </c>
      <c r="S28" s="706">
        <f t="shared" si="10"/>
        <v>100</v>
      </c>
      <c r="T28" s="705" t="s">
        <v>14</v>
      </c>
      <c r="U28" s="706">
        <f t="shared" si="11"/>
        <v>100</v>
      </c>
      <c r="V28" s="705" t="s">
        <v>14</v>
      </c>
      <c r="W28" s="706">
        <f t="shared" si="12"/>
        <v>100</v>
      </c>
      <c r="X28" s="1355"/>
      <c r="Y28" s="369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9"/>
      <c r="Q29" s="1352"/>
      <c r="R29" s="705"/>
      <c r="S29" s="706"/>
      <c r="T29" s="705"/>
      <c r="U29" s="706"/>
      <c r="V29" s="705"/>
      <c r="W29" s="706"/>
      <c r="X29" s="1355"/>
      <c r="Y29" s="369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9"/>
      <c r="Q30" s="1352" t="str">
        <f t="shared" si="8"/>
        <v>土地级别</v>
      </c>
      <c r="R30" s="705" t="s">
        <v>14</v>
      </c>
      <c r="S30" s="706">
        <f t="shared" si="10"/>
        <v>100</v>
      </c>
      <c r="T30" s="705" t="s">
        <v>14</v>
      </c>
      <c r="U30" s="706">
        <f t="shared" si="11"/>
        <v>100</v>
      </c>
      <c r="V30" s="705" t="s">
        <v>14</v>
      </c>
      <c r="W30" s="706">
        <f t="shared" si="12"/>
        <v>100</v>
      </c>
      <c r="X30" s="1355"/>
      <c r="Y30" s="369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9"/>
      <c r="Q31" s="1352">
        <f t="shared" si="8"/>
        <v>111</v>
      </c>
      <c r="R31" s="705" t="s">
        <v>14</v>
      </c>
      <c r="S31" s="706">
        <f t="shared" si="10"/>
        <v>100</v>
      </c>
      <c r="T31" s="705" t="s">
        <v>14</v>
      </c>
      <c r="U31" s="706">
        <f t="shared" si="11"/>
        <v>100</v>
      </c>
      <c r="V31" s="705" t="s">
        <v>14</v>
      </c>
      <c r="W31" s="706">
        <f t="shared" si="12"/>
        <v>100</v>
      </c>
      <c r="X31" s="1355"/>
      <c r="Y31" s="369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5" t="s">
        <v>1696</v>
      </c>
      <c r="Q32" s="1352">
        <f t="shared" si="8"/>
        <v>111</v>
      </c>
      <c r="R32" s="705" t="s">
        <v>14</v>
      </c>
      <c r="S32" s="706">
        <f t="shared" si="10"/>
        <v>100</v>
      </c>
      <c r="T32" s="705" t="s">
        <v>14</v>
      </c>
      <c r="U32" s="706">
        <f t="shared" si="11"/>
        <v>100</v>
      </c>
      <c r="V32" s="705" t="s">
        <v>14</v>
      </c>
      <c r="W32" s="706">
        <f t="shared" si="12"/>
        <v>100</v>
      </c>
      <c r="X32" s="1355"/>
      <c r="Y32" s="370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3"/>
      <c r="Q33" s="1352">
        <f t="shared" si="8"/>
        <v>111</v>
      </c>
      <c r="R33" s="708" t="s">
        <v>14</v>
      </c>
      <c r="S33" s="709">
        <f t="shared" si="10"/>
        <v>100</v>
      </c>
      <c r="T33" s="708" t="s">
        <v>14</v>
      </c>
      <c r="U33" s="709">
        <f t="shared" si="11"/>
        <v>100</v>
      </c>
      <c r="V33" s="708" t="s">
        <v>14</v>
      </c>
      <c r="W33" s="709">
        <f t="shared" si="12"/>
        <v>100</v>
      </c>
      <c r="X33" s="710"/>
      <c r="Y33" s="370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3"/>
      <c r="Q34" s="1352" t="str">
        <f>B34</f>
        <v>宗地面积</v>
      </c>
      <c r="R34" s="705" t="s">
        <v>14</v>
      </c>
      <c r="S34" s="706" t="e">
        <f t="shared" si="10"/>
        <v>#N/A</v>
      </c>
      <c r="T34" s="705" t="s">
        <v>14</v>
      </c>
      <c r="U34" s="706" t="e">
        <f t="shared" si="11"/>
        <v>#N/A</v>
      </c>
      <c r="V34" s="705" t="s">
        <v>14</v>
      </c>
      <c r="W34" s="706" t="e">
        <f t="shared" si="12"/>
        <v>#N/A</v>
      </c>
      <c r="X34" s="1355"/>
      <c r="Y34" s="370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3"/>
      <c r="Q35" s="1352" t="str">
        <f t="shared" ref="Q35:Q40" si="14">B35</f>
        <v>宗地形状</v>
      </c>
      <c r="R35" s="705" t="s">
        <v>14</v>
      </c>
      <c r="S35" s="706">
        <f t="shared" si="10"/>
        <v>100</v>
      </c>
      <c r="T35" s="705" t="s">
        <v>14</v>
      </c>
      <c r="U35" s="706">
        <f t="shared" si="11"/>
        <v>100</v>
      </c>
      <c r="V35" s="705" t="s">
        <v>14</v>
      </c>
      <c r="W35" s="706">
        <f t="shared" si="12"/>
        <v>100</v>
      </c>
      <c r="X35" s="1355"/>
      <c r="Y35" s="370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3"/>
      <c r="Q36" s="1352" t="str">
        <f t="shared" si="14"/>
        <v>宗地开发程度</v>
      </c>
      <c r="R36" s="701" t="s">
        <v>14</v>
      </c>
      <c r="S36" s="702">
        <f t="shared" si="10"/>
        <v>100</v>
      </c>
      <c r="T36" s="701" t="s">
        <v>14</v>
      </c>
      <c r="U36" s="702">
        <f t="shared" si="11"/>
        <v>100</v>
      </c>
      <c r="V36" s="701" t="s">
        <v>14</v>
      </c>
      <c r="W36" s="702">
        <f t="shared" si="12"/>
        <v>100</v>
      </c>
      <c r="X36" s="703"/>
      <c r="Y36" s="370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3" t="s">
        <v>1696</v>
      </c>
      <c r="Q37" s="1352" t="str">
        <f t="shared" si="14"/>
        <v>工程地质条件</v>
      </c>
      <c r="R37" s="705" t="s">
        <v>14</v>
      </c>
      <c r="S37" s="706">
        <f t="shared" si="10"/>
        <v>100</v>
      </c>
      <c r="T37" s="705" t="s">
        <v>14</v>
      </c>
      <c r="U37" s="706">
        <f t="shared" si="11"/>
        <v>100</v>
      </c>
      <c r="V37" s="705" t="s">
        <v>14</v>
      </c>
      <c r="W37" s="706">
        <f t="shared" si="12"/>
        <v>100</v>
      </c>
      <c r="X37" s="1355"/>
      <c r="Y37" s="370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3"/>
      <c r="Q38" s="1352">
        <f t="shared" si="14"/>
        <v>111</v>
      </c>
      <c r="R38" s="705" t="s">
        <v>14</v>
      </c>
      <c r="S38" s="706">
        <f t="shared" si="10"/>
        <v>100</v>
      </c>
      <c r="T38" s="705" t="s">
        <v>14</v>
      </c>
      <c r="U38" s="706">
        <f t="shared" si="11"/>
        <v>100</v>
      </c>
      <c r="V38" s="705" t="s">
        <v>14</v>
      </c>
      <c r="W38" s="706">
        <f t="shared" si="12"/>
        <v>100</v>
      </c>
      <c r="X38" s="1355"/>
      <c r="Y38" s="370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3"/>
      <c r="Q39" s="1352">
        <f t="shared" si="14"/>
        <v>111</v>
      </c>
      <c r="R39" s="705" t="s">
        <v>14</v>
      </c>
      <c r="S39" s="706">
        <f t="shared" si="10"/>
        <v>100</v>
      </c>
      <c r="T39" s="705" t="s">
        <v>14</v>
      </c>
      <c r="U39" s="706">
        <f t="shared" si="11"/>
        <v>100</v>
      </c>
      <c r="V39" s="705" t="s">
        <v>14</v>
      </c>
      <c r="W39" s="706">
        <f t="shared" si="12"/>
        <v>100</v>
      </c>
      <c r="X39" s="1355"/>
      <c r="Y39" s="370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3"/>
      <c r="Q40" s="1352">
        <f t="shared" si="14"/>
        <v>111</v>
      </c>
      <c r="R40" s="708" t="s">
        <v>14</v>
      </c>
      <c r="S40" s="709">
        <f t="shared" si="10"/>
        <v>100</v>
      </c>
      <c r="T40" s="708" t="s">
        <v>14</v>
      </c>
      <c r="U40" s="709">
        <f t="shared" si="11"/>
        <v>100</v>
      </c>
      <c r="V40" s="708" t="s">
        <v>14</v>
      </c>
      <c r="W40" s="709">
        <f t="shared" si="12"/>
        <v>100</v>
      </c>
      <c r="X40" s="710"/>
      <c r="Y40" s="370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6" t="str">
        <f>A41</f>
        <v>成交单价</v>
      </c>
      <c r="Q41" s="3696"/>
      <c r="R41" s="3727">
        <f>E41</f>
        <v>0</v>
      </c>
      <c r="S41" s="3727"/>
      <c r="T41" s="3727">
        <f>G41</f>
        <v>0</v>
      </c>
      <c r="U41" s="3727"/>
      <c r="V41" s="3727">
        <f>I41</f>
        <v>0</v>
      </c>
      <c r="W41" s="372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6" t="str">
        <f>A42</f>
        <v>比较价值（元/平方米）</v>
      </c>
      <c r="Q42" s="3696"/>
      <c r="R42" s="3757" t="e">
        <f>ROUND(PRODUCT(R41,AA7:AA40),0)</f>
        <v>#DIV/0!</v>
      </c>
      <c r="S42" s="3757"/>
      <c r="T42" s="3757" t="e">
        <f>ROUND(PRODUCT(T41,AB7:AB40),0)</f>
        <v>#DIV/0!</v>
      </c>
      <c r="U42" s="3757"/>
      <c r="V42" s="3757" t="e">
        <f>ROUND(PRODUCT(V41,AC7:AC40),0)</f>
        <v>#DIV/0!</v>
      </c>
      <c r="W42" s="375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3" t="str">
        <f>A43</f>
        <v>估价对象XX用房的比较价值（楼面单价，元/平方米）</v>
      </c>
      <c r="Q43" s="3694"/>
      <c r="R43" s="3758" t="e">
        <f>ROUND(IF(D42="简单平均",AVERAGE(R42:W42),R42*F42+T42*H42+V42*J42),0)</f>
        <v>#DIV/0!</v>
      </c>
      <c r="S43" s="3758"/>
      <c r="T43" s="3758"/>
      <c r="U43" s="3758"/>
      <c r="V43" s="3758"/>
      <c r="W43" s="3758"/>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1" t="s">
        <v>1887</v>
      </c>
      <c r="H50" s="3759"/>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66.03</v>
      </c>
      <c r="F51" s="639" t="e">
        <f t="shared" ref="F51:F60" si="15">ROUND(B51*E51/10000,0)</f>
        <v>#DIV/0!</v>
      </c>
      <c r="G51" s="3707"/>
      <c r="H51" s="369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v>
      </c>
      <c r="D56" s="945">
        <v>0.25</v>
      </c>
      <c r="E56" s="217">
        <f>'数据-汇总表'!E11</f>
        <v>0</v>
      </c>
      <c r="F56" s="639" t="e">
        <f t="shared" si="15"/>
        <v>#DIV/0!</v>
      </c>
      <c r="G56" s="1987" t="s">
        <v>1896</v>
      </c>
      <c r="H56" s="887" t="str">
        <f>项目基本情况!C37</f>
        <v>八级</v>
      </c>
      <c r="I56" s="773">
        <f>SUMIF(修正!A57:A68,H56,修正!E57:E68)</f>
        <v>0.2</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v>
      </c>
      <c r="D57" s="945">
        <v>0.25</v>
      </c>
      <c r="E57" s="217">
        <f>'数据-汇总表'!E12</f>
        <v>0</v>
      </c>
      <c r="F57" s="639" t="e">
        <f t="shared" si="15"/>
        <v>#DIV/0!</v>
      </c>
      <c r="G57" s="892" t="s">
        <v>1898</v>
      </c>
      <c r="H57" s="887" t="str">
        <f>IF(G57="商业",项目基本情况!B37,IF(G57="办公",项目基本情况!C37,IF(G57="住宅",项目基本情况!D37,项目基本情况!E37)))</f>
        <v>八级</v>
      </c>
      <c r="I57" s="773">
        <f>SUMIF(修正!A57:A68,H57,修正!F57:F68)</f>
        <v>0.2</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v>
      </c>
      <c r="D60" s="945">
        <v>0.25</v>
      </c>
      <c r="E60" s="217">
        <f>'数据-汇总表'!E15</f>
        <v>0</v>
      </c>
      <c r="F60" s="639" t="e">
        <f t="shared" si="15"/>
        <v>#DIV/0!</v>
      </c>
      <c r="G60" s="1988" t="s">
        <v>1896</v>
      </c>
      <c r="H60" s="897" t="str">
        <f>项目基本情况!C37</f>
        <v>八级</v>
      </c>
      <c r="I60" s="773">
        <f>SUMIF(修正!A57:A68,H60,修正!G57:G68)</f>
        <v>0.1</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33.020000000000003</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2023-12-1</v>
      </c>
      <c r="D63" s="692">
        <f>EDATE(C63,-3)</f>
        <v>45170</v>
      </c>
      <c r="E63" s="692">
        <f>EDATE(D63,-3)</f>
        <v>45078</v>
      </c>
      <c r="F63" s="692">
        <f t="shared" ref="F63:O63" si="18">EDATE(E63,-3)</f>
        <v>44986</v>
      </c>
      <c r="G63" s="692">
        <f t="shared" si="18"/>
        <v>44896</v>
      </c>
      <c r="H63" s="692">
        <f t="shared" si="18"/>
        <v>44805</v>
      </c>
      <c r="I63" s="692">
        <f t="shared" si="18"/>
        <v>44713</v>
      </c>
      <c r="J63" s="692">
        <f t="shared" si="18"/>
        <v>44621</v>
      </c>
      <c r="K63" s="692">
        <f t="shared" si="18"/>
        <v>44531</v>
      </c>
      <c r="L63" s="692">
        <f t="shared" si="18"/>
        <v>44440</v>
      </c>
      <c r="M63" s="692">
        <f t="shared" si="18"/>
        <v>44348</v>
      </c>
      <c r="N63" s="692">
        <f t="shared" si="18"/>
        <v>44256</v>
      </c>
      <c r="O63" s="692">
        <f t="shared" si="18"/>
        <v>44166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9" priority="18" stopIfTrue="1" operator="containsText" text="超过">
      <formula>NOT(ISERROR(SEARCH("超过",F46)))</formula>
    </cfRule>
  </conditionalFormatting>
  <conditionalFormatting sqref="J48">
    <cfRule type="containsText" dxfId="48" priority="17" stopIfTrue="1" operator="containsText" text="超过">
      <formula>NOT(ISERROR(SEARCH("超过",J48)))</formula>
    </cfRule>
  </conditionalFormatting>
  <conditionalFormatting sqref="H48">
    <cfRule type="containsText" dxfId="47" priority="16" stopIfTrue="1" operator="containsText" text="超过">
      <formula>NOT(ISERROR(SEARCH("超过",H48)))</formula>
    </cfRule>
  </conditionalFormatting>
  <conditionalFormatting sqref="F48">
    <cfRule type="containsText" dxfId="46" priority="15" stopIfTrue="1" operator="containsText" text="超过">
      <formula>NOT(ISERROR(SEARCH("超过",F48)))</formula>
    </cfRule>
  </conditionalFormatting>
  <conditionalFormatting sqref="F47 H47 J47">
    <cfRule type="containsText" dxfId="45" priority="14" stopIfTrue="1" operator="containsText" text="超过">
      <formula>NOT(ISERROR(SEARCH("超过",F47)))</formula>
    </cfRule>
  </conditionalFormatting>
  <conditionalFormatting sqref="E46">
    <cfRule type="expression" dxfId="44" priority="13" stopIfTrue="1">
      <formula>$F$46="超过30%"</formula>
    </cfRule>
  </conditionalFormatting>
  <conditionalFormatting sqref="G48">
    <cfRule type="expression" dxfId="43" priority="12" stopIfTrue="1">
      <formula>$H$48="超过30%"</formula>
    </cfRule>
  </conditionalFormatting>
  <conditionalFormatting sqref="E48">
    <cfRule type="expression" dxfId="42" priority="10" stopIfTrue="1">
      <formula>$F$48="超过30%"</formula>
    </cfRule>
  </conditionalFormatting>
  <conditionalFormatting sqref="G46">
    <cfRule type="expression" dxfId="41" priority="9" stopIfTrue="1">
      <formula>$H$46="超过30%"</formula>
    </cfRule>
  </conditionalFormatting>
  <conditionalFormatting sqref="G47">
    <cfRule type="expression" dxfId="40" priority="8" stopIfTrue="1">
      <formula>$H$47="超过20%"</formula>
    </cfRule>
  </conditionalFormatting>
  <conditionalFormatting sqref="I46">
    <cfRule type="expression" dxfId="39" priority="7" stopIfTrue="1">
      <formula>$J$46="超过30%"</formula>
    </cfRule>
  </conditionalFormatting>
  <conditionalFormatting sqref="I47">
    <cfRule type="expression" dxfId="38" priority="6" stopIfTrue="1">
      <formula>$J$47="超过20%"</formula>
    </cfRule>
  </conditionalFormatting>
  <conditionalFormatting sqref="I48">
    <cfRule type="expression" dxfId="37" priority="5" stopIfTrue="1">
      <formula>$J$48="超过30%"</formula>
    </cfRule>
  </conditionalFormatting>
  <conditionalFormatting sqref="E47">
    <cfRule type="expression" dxfId="36" priority="53" stopIfTrue="1">
      <formula>#REF!+$F$47="超过20%"</formula>
    </cfRule>
  </conditionalFormatting>
  <conditionalFormatting sqref="F42">
    <cfRule type="expression" dxfId="35" priority="4">
      <formula>$D$42="简单平均"</formula>
    </cfRule>
  </conditionalFormatting>
  <conditionalFormatting sqref="H42">
    <cfRule type="expression" dxfId="34" priority="3">
      <formula>$D$42="简单平均"</formula>
    </cfRule>
  </conditionalFormatting>
  <conditionalFormatting sqref="J42">
    <cfRule type="expression" dxfId="33" priority="2">
      <formula>$D$42="简单平均"</formula>
    </cfRule>
  </conditionalFormatting>
  <conditionalFormatting sqref="F7:F40 H7:H40 J7:J40">
    <cfRule type="cellIs" dxfId="3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7" t="s">
        <v>2084</v>
      </c>
      <c r="D1" s="3768"/>
      <c r="E1" s="3768"/>
      <c r="F1" s="3768"/>
      <c r="G1" s="3768"/>
      <c r="H1" s="3768"/>
      <c r="I1" s="3768"/>
      <c r="J1" s="3768"/>
      <c r="K1" s="3768"/>
      <c r="L1" s="3768"/>
      <c r="M1" s="3768"/>
      <c r="N1" s="3768"/>
      <c r="O1" s="3768"/>
      <c r="P1" s="3768"/>
      <c r="Q1" s="3768"/>
      <c r="R1" s="3768"/>
      <c r="S1" s="376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4" t="s">
        <v>27</v>
      </c>
      <c r="D22" s="3765"/>
      <c r="E22" s="3765"/>
      <c r="F22" s="3765"/>
      <c r="G22" s="3765"/>
      <c r="H22" s="3765"/>
      <c r="I22" s="3765"/>
      <c r="J22" s="3765"/>
      <c r="K22" s="3765"/>
      <c r="L22" s="3765"/>
      <c r="M22" s="3765"/>
      <c r="N22" s="3765"/>
      <c r="O22" s="3765"/>
      <c r="P22" s="3765"/>
      <c r="Q22" s="376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3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31</v>
      </c>
      <c r="C2" s="2145" t="s">
        <v>2074</v>
      </c>
      <c r="D2" s="2145" t="s">
        <v>2075</v>
      </c>
      <c r="E2" s="2612">
        <f ca="1">SUMIF(E6:E13,"&lt;&gt;#ref!",E6:E13)</f>
        <v>66.03</v>
      </c>
      <c r="F2" s="2793"/>
      <c r="G2" s="2793"/>
      <c r="H2" s="2793"/>
      <c r="I2" s="2793"/>
      <c r="J2" s="2793"/>
      <c r="K2" s="2793"/>
      <c r="L2" s="2793"/>
      <c r="M2" s="2793"/>
      <c r="N2" s="2793"/>
      <c r="O2" s="2793"/>
      <c r="P2" s="2793"/>
    </row>
    <row r="3" spans="1:16" ht="15.75">
      <c r="A3" s="2145" t="s">
        <v>2076</v>
      </c>
      <c r="B3" s="2602">
        <f ca="1">ROUND(B2*10000/E2,0)</f>
        <v>4695</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31</v>
      </c>
      <c r="C6" s="2145" t="s">
        <v>2074</v>
      </c>
      <c r="D6" s="2793"/>
      <c r="E6" s="2612">
        <f ca="1">SUMIF(INDIRECT("'"&amp;A6&amp;"'"&amp;"!C:C"),"建筑面积",INDIRECT("'"&amp;A6&amp;"'"&amp;"!D:D"))</f>
        <v>66.03</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W17"/>
  <sheetViews>
    <sheetView workbookViewId="0">
      <selection activeCell="E11" sqref="E11"/>
    </sheetView>
  </sheetViews>
  <sheetFormatPr defaultRowHeight="13.5"/>
  <cols>
    <col min="1" max="1" width="40" customWidth="1"/>
  </cols>
  <sheetData>
    <row r="1" spans="1:49" ht="14.25">
      <c r="A1" s="3770" t="s">
        <v>3445</v>
      </c>
      <c r="B1" s="3771">
        <v>45231.333831018521</v>
      </c>
      <c r="C1" s="3770"/>
      <c r="D1" s="3770"/>
      <c r="E1" s="3770"/>
      <c r="F1" s="3771">
        <v>45200.333831018521</v>
      </c>
      <c r="G1" s="3770"/>
      <c r="H1" s="3770"/>
      <c r="I1" s="3770"/>
      <c r="J1" s="3771">
        <v>45170.333831018521</v>
      </c>
      <c r="K1" s="3770"/>
      <c r="L1" s="3770"/>
      <c r="M1" s="3770"/>
      <c r="N1" s="3771">
        <v>45139.333831018521</v>
      </c>
      <c r="O1" s="3770"/>
      <c r="P1" s="3770"/>
      <c r="Q1" s="3770"/>
      <c r="R1" s="3771">
        <v>45108.333831018521</v>
      </c>
      <c r="S1" s="3770"/>
      <c r="T1" s="3770"/>
      <c r="U1" s="3770"/>
      <c r="V1" s="3771">
        <v>45078.333831018521</v>
      </c>
      <c r="W1" s="3770"/>
      <c r="X1" s="3770"/>
      <c r="Y1" s="3770"/>
      <c r="Z1" s="3771">
        <v>45047.333831018521</v>
      </c>
      <c r="AA1" s="3770"/>
      <c r="AB1" s="3770"/>
      <c r="AC1" s="3770"/>
      <c r="AD1" s="3771">
        <v>45017.333831018521</v>
      </c>
      <c r="AE1" s="3770"/>
      <c r="AF1" s="3770"/>
      <c r="AG1" s="3770"/>
      <c r="AH1" s="3771">
        <v>44986.333831018521</v>
      </c>
      <c r="AI1" s="3770"/>
      <c r="AJ1" s="3770"/>
      <c r="AK1" s="3770"/>
      <c r="AL1" s="3771">
        <v>44958.333831018521</v>
      </c>
      <c r="AM1" s="3770"/>
      <c r="AN1" s="3770"/>
      <c r="AO1" s="3770"/>
      <c r="AP1" s="3771">
        <v>44927.333831018521</v>
      </c>
      <c r="AQ1" s="3770"/>
      <c r="AR1" s="3770"/>
      <c r="AS1" s="3770"/>
      <c r="AT1" s="3771">
        <v>44896.333831018521</v>
      </c>
      <c r="AU1" s="3770"/>
      <c r="AV1" s="3770"/>
      <c r="AW1" s="3770"/>
    </row>
    <row r="2" spans="1:49" ht="14.25">
      <c r="A2" s="3770"/>
      <c r="B2" s="3451" t="s">
        <v>3446</v>
      </c>
      <c r="C2" s="3451" t="s">
        <v>3447</v>
      </c>
      <c r="D2" s="3451" t="s">
        <v>3448</v>
      </c>
      <c r="E2" s="3451" t="s">
        <v>3449</v>
      </c>
      <c r="F2" s="3451" t="s">
        <v>3446</v>
      </c>
      <c r="G2" s="3451" t="s">
        <v>3447</v>
      </c>
      <c r="H2" s="3451" t="s">
        <v>3448</v>
      </c>
      <c r="I2" s="3451" t="s">
        <v>3449</v>
      </c>
      <c r="J2" s="3451" t="s">
        <v>3446</v>
      </c>
      <c r="K2" s="3451" t="s">
        <v>3447</v>
      </c>
      <c r="L2" s="3451" t="s">
        <v>3448</v>
      </c>
      <c r="M2" s="3451" t="s">
        <v>3449</v>
      </c>
      <c r="N2" s="3451" t="s">
        <v>3446</v>
      </c>
      <c r="O2" s="3451" t="s">
        <v>3447</v>
      </c>
      <c r="P2" s="3451" t="s">
        <v>3448</v>
      </c>
      <c r="Q2" s="3451" t="s">
        <v>3449</v>
      </c>
      <c r="R2" s="3451" t="s">
        <v>3446</v>
      </c>
      <c r="S2" s="3451" t="s">
        <v>3447</v>
      </c>
      <c r="T2" s="3451" t="s">
        <v>3448</v>
      </c>
      <c r="U2" s="3451" t="s">
        <v>3449</v>
      </c>
      <c r="V2" s="3451" t="s">
        <v>3446</v>
      </c>
      <c r="W2" s="3451" t="s">
        <v>3447</v>
      </c>
      <c r="X2" s="3451" t="s">
        <v>3448</v>
      </c>
      <c r="Y2" s="3451" t="s">
        <v>3449</v>
      </c>
      <c r="Z2" s="3451" t="s">
        <v>3446</v>
      </c>
      <c r="AA2" s="3451" t="s">
        <v>3447</v>
      </c>
      <c r="AB2" s="3451" t="s">
        <v>3448</v>
      </c>
      <c r="AC2" s="3451" t="s">
        <v>3449</v>
      </c>
      <c r="AD2" s="3451" t="s">
        <v>3446</v>
      </c>
      <c r="AE2" s="3451" t="s">
        <v>3447</v>
      </c>
      <c r="AF2" s="3451" t="s">
        <v>3448</v>
      </c>
      <c r="AG2" s="3451" t="s">
        <v>3449</v>
      </c>
      <c r="AH2" s="3451" t="s">
        <v>3446</v>
      </c>
      <c r="AI2" s="3451" t="s">
        <v>3447</v>
      </c>
      <c r="AJ2" s="3451" t="s">
        <v>3448</v>
      </c>
      <c r="AK2" s="3451" t="s">
        <v>3449</v>
      </c>
      <c r="AL2" s="3451" t="s">
        <v>3446</v>
      </c>
      <c r="AM2" s="3451" t="s">
        <v>3447</v>
      </c>
      <c r="AN2" s="3451" t="s">
        <v>3448</v>
      </c>
      <c r="AO2" s="3451" t="s">
        <v>3449</v>
      </c>
      <c r="AP2" s="3451" t="s">
        <v>3446</v>
      </c>
      <c r="AQ2" s="3451" t="s">
        <v>3447</v>
      </c>
      <c r="AR2" s="3451" t="s">
        <v>3448</v>
      </c>
      <c r="AS2" s="3451" t="s">
        <v>3449</v>
      </c>
      <c r="AT2" s="3451" t="s">
        <v>3446</v>
      </c>
      <c r="AU2" s="3451" t="s">
        <v>3447</v>
      </c>
      <c r="AV2" s="3451" t="s">
        <v>3448</v>
      </c>
      <c r="AW2" s="3451" t="s">
        <v>3449</v>
      </c>
    </row>
    <row r="3" spans="1:49" ht="14.25">
      <c r="A3" s="3451" t="s">
        <v>3570</v>
      </c>
      <c r="B3" s="3451">
        <v>43.52</v>
      </c>
      <c r="C3" s="3451">
        <v>4492</v>
      </c>
      <c r="D3" s="3451">
        <v>40577</v>
      </c>
      <c r="E3" s="3451" t="s">
        <v>3450</v>
      </c>
      <c r="F3" s="3451">
        <v>46.53</v>
      </c>
      <c r="G3" s="3451">
        <v>4476</v>
      </c>
      <c r="H3" s="3451">
        <v>39762</v>
      </c>
      <c r="I3" s="3451" t="s">
        <v>3451</v>
      </c>
      <c r="J3" s="3451">
        <v>47.16</v>
      </c>
      <c r="K3" s="3451">
        <v>4707</v>
      </c>
      <c r="L3" s="3451">
        <v>40001</v>
      </c>
      <c r="M3" s="3451" t="s">
        <v>3452</v>
      </c>
      <c r="N3" s="3451">
        <v>45.99</v>
      </c>
      <c r="O3" s="3451">
        <v>5550</v>
      </c>
      <c r="P3" s="3451">
        <v>40167</v>
      </c>
      <c r="Q3" s="3451" t="s">
        <v>3453</v>
      </c>
      <c r="R3" s="3451">
        <v>47.88</v>
      </c>
      <c r="S3" s="3451">
        <v>6016</v>
      </c>
      <c r="T3" s="3451">
        <v>40327</v>
      </c>
      <c r="U3" s="3451" t="s">
        <v>3454</v>
      </c>
      <c r="V3" s="3451">
        <v>47.24</v>
      </c>
      <c r="W3" s="3451">
        <v>6088</v>
      </c>
      <c r="X3" s="3451">
        <v>42473</v>
      </c>
      <c r="Y3" s="3451" t="s">
        <v>3455</v>
      </c>
      <c r="Z3" s="3451">
        <v>46.61</v>
      </c>
      <c r="AA3" s="3451">
        <v>6162</v>
      </c>
      <c r="AB3" s="3451">
        <v>42760</v>
      </c>
      <c r="AC3" s="3451" t="s">
        <v>3456</v>
      </c>
      <c r="AD3" s="3451">
        <v>47.42</v>
      </c>
      <c r="AE3" s="3451">
        <v>6323</v>
      </c>
      <c r="AF3" s="3451">
        <v>41351</v>
      </c>
      <c r="AG3" s="3451" t="s">
        <v>3457</v>
      </c>
      <c r="AH3" s="3451">
        <v>48.01</v>
      </c>
      <c r="AI3" s="3451">
        <v>5719</v>
      </c>
      <c r="AJ3" s="3451">
        <v>41331</v>
      </c>
      <c r="AK3" s="3451" t="s">
        <v>3458</v>
      </c>
      <c r="AL3" s="3451">
        <v>47.91</v>
      </c>
      <c r="AM3" s="3451">
        <v>5674</v>
      </c>
      <c r="AN3" s="3451">
        <v>41241</v>
      </c>
      <c r="AO3" s="3451" t="s">
        <v>3458</v>
      </c>
      <c r="AP3" s="3451">
        <v>46.92</v>
      </c>
      <c r="AQ3" s="3451">
        <v>5359</v>
      </c>
      <c r="AR3" s="3451">
        <v>41387</v>
      </c>
      <c r="AS3" s="3451" t="s">
        <v>3459</v>
      </c>
      <c r="AT3" s="3451">
        <v>46.82</v>
      </c>
      <c r="AU3" s="3451">
        <v>5197</v>
      </c>
      <c r="AV3" s="3451">
        <v>41792</v>
      </c>
      <c r="AW3" s="3451" t="s">
        <v>3460</v>
      </c>
    </row>
    <row r="4" spans="1:49" ht="14.25">
      <c r="A4" s="3451" t="s">
        <v>3571</v>
      </c>
      <c r="B4" s="3451">
        <v>41.11</v>
      </c>
      <c r="C4" s="3451">
        <v>3391</v>
      </c>
      <c r="D4" s="3451">
        <v>36892</v>
      </c>
      <c r="E4" s="3451" t="s">
        <v>3461</v>
      </c>
      <c r="F4" s="3451">
        <v>41.5</v>
      </c>
      <c r="G4" s="3451">
        <v>3227</v>
      </c>
      <c r="H4" s="3451">
        <v>37970</v>
      </c>
      <c r="I4" s="3451" t="s">
        <v>3462</v>
      </c>
      <c r="J4" s="3451">
        <v>42.03</v>
      </c>
      <c r="K4" s="3451">
        <v>3183</v>
      </c>
      <c r="L4" s="3451">
        <v>38200</v>
      </c>
      <c r="M4" s="3451" t="s">
        <v>3463</v>
      </c>
      <c r="N4" s="3451">
        <v>41.05</v>
      </c>
      <c r="O4" s="3451">
        <v>3246</v>
      </c>
      <c r="P4" s="3451">
        <v>38216</v>
      </c>
      <c r="Q4" s="3451" t="s">
        <v>3464</v>
      </c>
      <c r="R4" s="3451">
        <v>39.44</v>
      </c>
      <c r="S4" s="3451">
        <v>3331</v>
      </c>
      <c r="T4" s="3451">
        <v>37986</v>
      </c>
      <c r="U4" s="3451" t="s">
        <v>3465</v>
      </c>
      <c r="V4" s="3451">
        <v>40.15</v>
      </c>
      <c r="W4" s="3451">
        <v>3304</v>
      </c>
      <c r="X4" s="3451">
        <v>38873</v>
      </c>
      <c r="Y4" s="3451" t="s">
        <v>3466</v>
      </c>
      <c r="Z4" s="3451">
        <v>40.65</v>
      </c>
      <c r="AA4" s="3451">
        <v>3347</v>
      </c>
      <c r="AB4" s="3451">
        <v>38618</v>
      </c>
      <c r="AC4" s="3451" t="s">
        <v>3467</v>
      </c>
      <c r="AD4" s="3451">
        <v>40.479999999999997</v>
      </c>
      <c r="AE4" s="3451">
        <v>3379</v>
      </c>
      <c r="AF4" s="3451">
        <v>39031</v>
      </c>
      <c r="AG4" s="3451" t="s">
        <v>3468</v>
      </c>
      <c r="AH4" s="3451">
        <v>39.409999999999997</v>
      </c>
      <c r="AI4" s="3451">
        <v>3429</v>
      </c>
      <c r="AJ4" s="3451">
        <v>38794</v>
      </c>
      <c r="AK4" s="3451" t="s">
        <v>3469</v>
      </c>
      <c r="AL4" s="3451" t="s">
        <v>633</v>
      </c>
      <c r="AM4" s="3451" t="s">
        <v>633</v>
      </c>
      <c r="AN4" s="3451" t="s">
        <v>633</v>
      </c>
      <c r="AO4" s="3451" t="s">
        <v>633</v>
      </c>
      <c r="AP4" s="3451" t="s">
        <v>633</v>
      </c>
      <c r="AQ4" s="3451" t="s">
        <v>633</v>
      </c>
      <c r="AR4" s="3451" t="s">
        <v>633</v>
      </c>
      <c r="AS4" s="3451" t="s">
        <v>633</v>
      </c>
      <c r="AT4" s="3451" t="s">
        <v>633</v>
      </c>
      <c r="AU4" s="3451" t="s">
        <v>633</v>
      </c>
      <c r="AV4" s="3451" t="s">
        <v>633</v>
      </c>
      <c r="AW4" s="3451" t="s">
        <v>633</v>
      </c>
    </row>
    <row r="5" spans="1:49" ht="14.25">
      <c r="A5" s="3451" t="s">
        <v>3572</v>
      </c>
      <c r="B5" s="3451">
        <v>40.15</v>
      </c>
      <c r="C5" s="3451">
        <v>4033</v>
      </c>
      <c r="D5" s="3451">
        <v>39719</v>
      </c>
      <c r="E5" s="3451" t="s">
        <v>3470</v>
      </c>
      <c r="F5" s="3451">
        <v>41.07</v>
      </c>
      <c r="G5" s="3451">
        <v>3743</v>
      </c>
      <c r="H5" s="3451">
        <v>39701</v>
      </c>
      <c r="I5" s="3451" t="s">
        <v>3471</v>
      </c>
      <c r="J5" s="3451">
        <v>40.17</v>
      </c>
      <c r="K5" s="3451">
        <v>3590</v>
      </c>
      <c r="L5" s="3451">
        <v>39670</v>
      </c>
      <c r="M5" s="3451" t="s">
        <v>3472</v>
      </c>
      <c r="N5" s="3451">
        <v>39.68</v>
      </c>
      <c r="O5" s="3451">
        <v>3674</v>
      </c>
      <c r="P5" s="3451">
        <v>39935</v>
      </c>
      <c r="Q5" s="3451" t="s">
        <v>3473</v>
      </c>
      <c r="R5" s="3451">
        <v>42.11</v>
      </c>
      <c r="S5" s="3451">
        <v>3904</v>
      </c>
      <c r="T5" s="3451">
        <v>39731</v>
      </c>
      <c r="U5" s="3451" t="s">
        <v>3474</v>
      </c>
      <c r="V5" s="3451">
        <v>42.94</v>
      </c>
      <c r="W5" s="3451">
        <v>4065</v>
      </c>
      <c r="X5" s="3451">
        <v>40666</v>
      </c>
      <c r="Y5" s="3451" t="s">
        <v>3475</v>
      </c>
      <c r="Z5" s="3451">
        <v>42.22</v>
      </c>
      <c r="AA5" s="3451">
        <v>4357</v>
      </c>
      <c r="AB5" s="3451">
        <v>40698</v>
      </c>
      <c r="AC5" s="3451" t="s">
        <v>3465</v>
      </c>
      <c r="AD5" s="3451">
        <v>40.71</v>
      </c>
      <c r="AE5" s="3451">
        <v>4529</v>
      </c>
      <c r="AF5" s="3451">
        <v>40587</v>
      </c>
      <c r="AG5" s="3451" t="s">
        <v>3476</v>
      </c>
      <c r="AH5" s="3451">
        <v>39.78</v>
      </c>
      <c r="AI5" s="3451">
        <v>4089</v>
      </c>
      <c r="AJ5" s="3451">
        <v>40691</v>
      </c>
      <c r="AK5" s="3451" t="s">
        <v>3477</v>
      </c>
      <c r="AL5" s="3451" t="s">
        <v>633</v>
      </c>
      <c r="AM5" s="3451" t="s">
        <v>633</v>
      </c>
      <c r="AN5" s="3451" t="s">
        <v>633</v>
      </c>
      <c r="AO5" s="3451" t="s">
        <v>633</v>
      </c>
      <c r="AP5" s="3451" t="s">
        <v>633</v>
      </c>
      <c r="AQ5" s="3451" t="s">
        <v>633</v>
      </c>
      <c r="AR5" s="3451" t="s">
        <v>633</v>
      </c>
      <c r="AS5" s="3451" t="s">
        <v>633</v>
      </c>
      <c r="AT5" s="3451" t="s">
        <v>633</v>
      </c>
      <c r="AU5" s="3451" t="s">
        <v>633</v>
      </c>
      <c r="AV5" s="3451" t="s">
        <v>633</v>
      </c>
      <c r="AW5" s="3451" t="s">
        <v>633</v>
      </c>
    </row>
    <row r="6" spans="1:49" ht="14.25">
      <c r="A6" s="3451" t="s">
        <v>3478</v>
      </c>
      <c r="B6" s="3451">
        <v>39.799999999999997</v>
      </c>
      <c r="C6" s="3451">
        <v>6286</v>
      </c>
      <c r="D6" s="3451">
        <v>34735</v>
      </c>
      <c r="E6" s="3451" t="s">
        <v>3457</v>
      </c>
      <c r="F6" s="3451">
        <v>40.700000000000003</v>
      </c>
      <c r="G6" s="3451">
        <v>7018</v>
      </c>
      <c r="H6" s="3451">
        <v>36927</v>
      </c>
      <c r="I6" s="3451" t="s">
        <v>3479</v>
      </c>
      <c r="J6" s="3451">
        <v>39.76</v>
      </c>
      <c r="K6" s="3451">
        <v>6700</v>
      </c>
      <c r="L6" s="3451">
        <v>37356</v>
      </c>
      <c r="M6" s="3451" t="s">
        <v>3480</v>
      </c>
      <c r="N6" s="3451">
        <v>38.94</v>
      </c>
      <c r="O6" s="3451">
        <v>6714</v>
      </c>
      <c r="P6" s="3451">
        <v>36650</v>
      </c>
      <c r="Q6" s="3451" t="s">
        <v>3481</v>
      </c>
      <c r="R6" s="3451" t="s">
        <v>633</v>
      </c>
      <c r="S6" s="3451" t="s">
        <v>633</v>
      </c>
      <c r="T6" s="3451" t="s">
        <v>633</v>
      </c>
      <c r="U6" s="3451" t="s">
        <v>633</v>
      </c>
      <c r="V6" s="3451" t="s">
        <v>633</v>
      </c>
      <c r="W6" s="3451" t="s">
        <v>633</v>
      </c>
      <c r="X6" s="3451" t="s">
        <v>633</v>
      </c>
      <c r="Y6" s="3451" t="s">
        <v>633</v>
      </c>
      <c r="Z6" s="3451" t="s">
        <v>633</v>
      </c>
      <c r="AA6" s="3451" t="s">
        <v>633</v>
      </c>
      <c r="AB6" s="3451" t="s">
        <v>633</v>
      </c>
      <c r="AC6" s="3451" t="s">
        <v>633</v>
      </c>
      <c r="AD6" s="3451" t="s">
        <v>633</v>
      </c>
      <c r="AE6" s="3451" t="s">
        <v>633</v>
      </c>
      <c r="AF6" s="3451" t="s">
        <v>633</v>
      </c>
      <c r="AG6" s="3451" t="s">
        <v>633</v>
      </c>
      <c r="AH6" s="3451" t="s">
        <v>633</v>
      </c>
      <c r="AI6" s="3451" t="s">
        <v>633</v>
      </c>
      <c r="AJ6" s="3451" t="s">
        <v>633</v>
      </c>
      <c r="AK6" s="3451" t="s">
        <v>633</v>
      </c>
      <c r="AL6" s="3451" t="s">
        <v>633</v>
      </c>
      <c r="AM6" s="3451" t="s">
        <v>633</v>
      </c>
      <c r="AN6" s="3451" t="s">
        <v>633</v>
      </c>
      <c r="AO6" s="3451" t="s">
        <v>633</v>
      </c>
      <c r="AP6" s="3451" t="s">
        <v>633</v>
      </c>
      <c r="AQ6" s="3451" t="s">
        <v>633</v>
      </c>
      <c r="AR6" s="3451" t="s">
        <v>633</v>
      </c>
      <c r="AS6" s="3451" t="s">
        <v>633</v>
      </c>
      <c r="AT6" s="3451" t="s">
        <v>633</v>
      </c>
      <c r="AU6" s="3451" t="s">
        <v>633</v>
      </c>
      <c r="AV6" s="3451" t="s">
        <v>633</v>
      </c>
      <c r="AW6" s="3451" t="s">
        <v>633</v>
      </c>
    </row>
    <row r="7" spans="1:49" ht="14.25">
      <c r="A7" s="3451" t="s">
        <v>3482</v>
      </c>
      <c r="B7" s="3451">
        <v>39.24</v>
      </c>
      <c r="C7" s="3451">
        <v>3045</v>
      </c>
      <c r="D7" s="3451">
        <v>36005</v>
      </c>
      <c r="E7" s="3451" t="s">
        <v>3456</v>
      </c>
      <c r="F7" s="3451">
        <v>39.5</v>
      </c>
      <c r="G7" s="3451">
        <v>3337</v>
      </c>
      <c r="H7" s="3451">
        <v>35602</v>
      </c>
      <c r="I7" s="3451" t="s">
        <v>3483</v>
      </c>
      <c r="J7" s="3451">
        <v>39.43</v>
      </c>
      <c r="K7" s="3451">
        <v>3385</v>
      </c>
      <c r="L7" s="3451">
        <v>36014</v>
      </c>
      <c r="M7" s="3451" t="s">
        <v>3484</v>
      </c>
      <c r="N7" s="3451">
        <v>42.94</v>
      </c>
      <c r="O7" s="3451">
        <v>3667</v>
      </c>
      <c r="P7" s="3451">
        <v>35837</v>
      </c>
      <c r="Q7" s="3451" t="s">
        <v>3485</v>
      </c>
      <c r="R7" s="3451">
        <v>41.68</v>
      </c>
      <c r="S7" s="3451">
        <v>3617</v>
      </c>
      <c r="T7" s="3451">
        <v>35994</v>
      </c>
      <c r="U7" s="3451" t="s">
        <v>3486</v>
      </c>
      <c r="V7" s="3451">
        <v>39.69</v>
      </c>
      <c r="W7" s="3451">
        <v>3250</v>
      </c>
      <c r="X7" s="3451">
        <v>37058</v>
      </c>
      <c r="Y7" s="3451" t="s">
        <v>3487</v>
      </c>
      <c r="Z7" s="3451">
        <v>41.65</v>
      </c>
      <c r="AA7" s="3451">
        <v>3439</v>
      </c>
      <c r="AB7" s="3451">
        <v>36954</v>
      </c>
      <c r="AC7" s="3451" t="s">
        <v>3488</v>
      </c>
      <c r="AD7" s="3451">
        <v>43.95</v>
      </c>
      <c r="AE7" s="3451">
        <v>3313</v>
      </c>
      <c r="AF7" s="3451">
        <v>37203</v>
      </c>
      <c r="AG7" s="3451" t="s">
        <v>3489</v>
      </c>
      <c r="AH7" s="3451" t="s">
        <v>633</v>
      </c>
      <c r="AI7" s="3451" t="s">
        <v>633</v>
      </c>
      <c r="AJ7" s="3451" t="s">
        <v>633</v>
      </c>
      <c r="AK7" s="3451" t="s">
        <v>633</v>
      </c>
      <c r="AL7" s="3451" t="s">
        <v>633</v>
      </c>
      <c r="AM7" s="3451" t="s">
        <v>633</v>
      </c>
      <c r="AN7" s="3451" t="s">
        <v>633</v>
      </c>
      <c r="AO7" s="3451" t="s">
        <v>633</v>
      </c>
      <c r="AP7" s="3451" t="s">
        <v>633</v>
      </c>
      <c r="AQ7" s="3451" t="s">
        <v>633</v>
      </c>
      <c r="AR7" s="3451" t="s">
        <v>633</v>
      </c>
      <c r="AS7" s="3451" t="s">
        <v>633</v>
      </c>
      <c r="AT7" s="3451" t="s">
        <v>633</v>
      </c>
      <c r="AU7" s="3451" t="s">
        <v>633</v>
      </c>
      <c r="AV7" s="3451" t="s">
        <v>633</v>
      </c>
      <c r="AW7" s="3451" t="s">
        <v>633</v>
      </c>
    </row>
    <row r="8" spans="1:49" ht="14.25">
      <c r="A8" s="3451" t="s">
        <v>3490</v>
      </c>
      <c r="B8" s="3451">
        <v>39.200000000000003</v>
      </c>
      <c r="C8" s="3451">
        <v>2395</v>
      </c>
      <c r="D8" s="3451">
        <v>30375</v>
      </c>
      <c r="E8" s="3451" t="s">
        <v>3491</v>
      </c>
      <c r="F8" s="3451">
        <v>38.25</v>
      </c>
      <c r="G8" s="3451">
        <v>2344</v>
      </c>
      <c r="H8" s="3451">
        <v>30708</v>
      </c>
      <c r="I8" s="3451" t="s">
        <v>3492</v>
      </c>
      <c r="J8" s="3451">
        <v>37.85</v>
      </c>
      <c r="K8" s="3451">
        <v>2321</v>
      </c>
      <c r="L8" s="3451">
        <v>30708</v>
      </c>
      <c r="M8" s="3451" t="s">
        <v>3493</v>
      </c>
      <c r="N8" s="3451">
        <v>38.44</v>
      </c>
      <c r="O8" s="3451">
        <v>2356</v>
      </c>
      <c r="P8" s="3451">
        <v>30708</v>
      </c>
      <c r="Q8" s="3451" t="s">
        <v>3494</v>
      </c>
      <c r="R8" s="3451">
        <v>38.46</v>
      </c>
      <c r="S8" s="3451">
        <v>2357</v>
      </c>
      <c r="T8" s="3451">
        <v>30806</v>
      </c>
      <c r="U8" s="3451" t="s">
        <v>3495</v>
      </c>
      <c r="V8" s="3451">
        <v>38.92</v>
      </c>
      <c r="W8" s="3451">
        <v>2400</v>
      </c>
      <c r="X8" s="3451">
        <v>31015</v>
      </c>
      <c r="Y8" s="3451" t="s">
        <v>3496</v>
      </c>
      <c r="Z8" s="3451">
        <v>39.47</v>
      </c>
      <c r="AA8" s="3451">
        <v>2438</v>
      </c>
      <c r="AB8" s="3451">
        <v>30602</v>
      </c>
      <c r="AC8" s="3451" t="s">
        <v>3497</v>
      </c>
      <c r="AD8" s="3451">
        <v>39.020000000000003</v>
      </c>
      <c r="AE8" s="3451">
        <v>2389</v>
      </c>
      <c r="AF8" s="3451">
        <v>32878</v>
      </c>
      <c r="AG8" s="3451" t="s">
        <v>3454</v>
      </c>
      <c r="AH8" s="3451">
        <v>38.909999999999997</v>
      </c>
      <c r="AI8" s="3451">
        <v>2383</v>
      </c>
      <c r="AJ8" s="3451">
        <v>32940</v>
      </c>
      <c r="AK8" s="3451" t="s">
        <v>3489</v>
      </c>
      <c r="AL8" s="3451">
        <v>39.49</v>
      </c>
      <c r="AM8" s="3451">
        <v>2431</v>
      </c>
      <c r="AN8" s="3451">
        <v>32147</v>
      </c>
      <c r="AO8" s="3451" t="s">
        <v>3498</v>
      </c>
      <c r="AP8" s="3451">
        <v>40.46</v>
      </c>
      <c r="AQ8" s="3451">
        <v>2488</v>
      </c>
      <c r="AR8" s="3451">
        <v>30551</v>
      </c>
      <c r="AS8" s="3451" t="s">
        <v>3499</v>
      </c>
      <c r="AT8" s="3451">
        <v>40.619999999999997</v>
      </c>
      <c r="AU8" s="3451">
        <v>2487</v>
      </c>
      <c r="AV8" s="3451">
        <v>30541</v>
      </c>
      <c r="AW8" s="3451" t="s">
        <v>3500</v>
      </c>
    </row>
    <row r="9" spans="1:49" ht="14.25">
      <c r="A9" s="3451" t="s">
        <v>3501</v>
      </c>
      <c r="B9" s="3451">
        <v>38.93</v>
      </c>
      <c r="C9" s="3451">
        <v>2311</v>
      </c>
      <c r="D9" s="3451">
        <v>30935</v>
      </c>
      <c r="E9" s="3451" t="s">
        <v>3502</v>
      </c>
      <c r="F9" s="3451">
        <v>38.08</v>
      </c>
      <c r="G9" s="3451">
        <v>2289</v>
      </c>
      <c r="H9" s="3451">
        <v>31462</v>
      </c>
      <c r="I9" s="3451" t="s">
        <v>3503</v>
      </c>
      <c r="J9" s="3451">
        <v>38.619999999999997</v>
      </c>
      <c r="K9" s="3451">
        <v>2337</v>
      </c>
      <c r="L9" s="3451">
        <v>31550</v>
      </c>
      <c r="M9" s="3451" t="s">
        <v>3504</v>
      </c>
      <c r="N9" s="3451">
        <v>38.58</v>
      </c>
      <c r="O9" s="3451">
        <v>2366</v>
      </c>
      <c r="P9" s="3451">
        <v>31899</v>
      </c>
      <c r="Q9" s="3451" t="s">
        <v>3503</v>
      </c>
      <c r="R9" s="3451">
        <v>39.96</v>
      </c>
      <c r="S9" s="3451">
        <v>2387</v>
      </c>
      <c r="T9" s="3451">
        <v>32435</v>
      </c>
      <c r="U9" s="3451" t="s">
        <v>3493</v>
      </c>
      <c r="V9" s="3451">
        <v>40.57</v>
      </c>
      <c r="W9" s="3451">
        <v>2430</v>
      </c>
      <c r="X9" s="3451">
        <v>33635</v>
      </c>
      <c r="Y9" s="3451" t="s">
        <v>3505</v>
      </c>
      <c r="Z9" s="3451">
        <v>39.14</v>
      </c>
      <c r="AA9" s="3451">
        <v>2430</v>
      </c>
      <c r="AB9" s="3451">
        <v>33690</v>
      </c>
      <c r="AC9" s="3451" t="s">
        <v>3458</v>
      </c>
      <c r="AD9" s="3451">
        <v>37.94</v>
      </c>
      <c r="AE9" s="3451">
        <v>2425</v>
      </c>
      <c r="AF9" s="3451">
        <v>33559</v>
      </c>
      <c r="AG9" s="3451" t="s">
        <v>3506</v>
      </c>
      <c r="AH9" s="3451">
        <v>38.64</v>
      </c>
      <c r="AI9" s="3451">
        <v>2354</v>
      </c>
      <c r="AJ9" s="3451">
        <v>33353</v>
      </c>
      <c r="AK9" s="3451" t="s">
        <v>3486</v>
      </c>
      <c r="AL9" s="3451">
        <v>43.49</v>
      </c>
      <c r="AM9" s="3451">
        <v>2468</v>
      </c>
      <c r="AN9" s="3451">
        <v>33999</v>
      </c>
      <c r="AO9" s="3451" t="s">
        <v>3507</v>
      </c>
      <c r="AP9" s="3451">
        <v>44.72</v>
      </c>
      <c r="AQ9" s="3451">
        <v>2513</v>
      </c>
      <c r="AR9" s="3451">
        <v>34609</v>
      </c>
      <c r="AS9" s="3451" t="s">
        <v>3508</v>
      </c>
      <c r="AT9" s="3451">
        <v>43.99</v>
      </c>
      <c r="AU9" s="3451">
        <v>2530</v>
      </c>
      <c r="AV9" s="3451">
        <v>34303</v>
      </c>
      <c r="AW9" s="3451" t="s">
        <v>3509</v>
      </c>
    </row>
    <row r="10" spans="1:49" ht="14.25">
      <c r="A10" s="3451" t="s">
        <v>3510</v>
      </c>
      <c r="B10" s="3451">
        <v>38.79</v>
      </c>
      <c r="C10" s="3451">
        <v>2263</v>
      </c>
      <c r="D10" s="3451">
        <v>30668</v>
      </c>
      <c r="E10" s="3451" t="s">
        <v>3511</v>
      </c>
      <c r="F10" s="3451">
        <v>39.840000000000003</v>
      </c>
      <c r="G10" s="3451">
        <v>2343</v>
      </c>
      <c r="H10" s="3451">
        <v>31245</v>
      </c>
      <c r="I10" s="3451" t="s">
        <v>3512</v>
      </c>
      <c r="J10" s="3451">
        <v>40.29</v>
      </c>
      <c r="K10" s="3451">
        <v>2423</v>
      </c>
      <c r="L10" s="3451">
        <v>31347</v>
      </c>
      <c r="M10" s="3451" t="s">
        <v>3513</v>
      </c>
      <c r="N10" s="3451">
        <v>39.65</v>
      </c>
      <c r="O10" s="3451">
        <v>2438</v>
      </c>
      <c r="P10" s="3451">
        <v>31654</v>
      </c>
      <c r="Q10" s="3451" t="s">
        <v>3494</v>
      </c>
      <c r="R10" s="3451">
        <v>39.909999999999997</v>
      </c>
      <c r="S10" s="3451">
        <v>2397</v>
      </c>
      <c r="T10" s="3451">
        <v>31523</v>
      </c>
      <c r="U10" s="3451" t="s">
        <v>3514</v>
      </c>
      <c r="V10" s="3451">
        <v>39.46</v>
      </c>
      <c r="W10" s="3451">
        <v>2391</v>
      </c>
      <c r="X10" s="3451">
        <v>32102</v>
      </c>
      <c r="Y10" s="3451" t="s">
        <v>3515</v>
      </c>
      <c r="Z10" s="3451">
        <v>40.9</v>
      </c>
      <c r="AA10" s="3451">
        <v>2399</v>
      </c>
      <c r="AB10" s="3451">
        <v>32380</v>
      </c>
      <c r="AC10" s="3451" t="s">
        <v>3516</v>
      </c>
      <c r="AD10" s="3451">
        <v>42.13</v>
      </c>
      <c r="AE10" s="3451">
        <v>2372</v>
      </c>
      <c r="AF10" s="3451">
        <v>32518</v>
      </c>
      <c r="AG10" s="3451" t="s">
        <v>3517</v>
      </c>
      <c r="AH10" s="3451">
        <v>41.07</v>
      </c>
      <c r="AI10" s="3451">
        <v>2400</v>
      </c>
      <c r="AJ10" s="3451">
        <v>31985</v>
      </c>
      <c r="AK10" s="3451" t="s">
        <v>3513</v>
      </c>
      <c r="AL10" s="3451">
        <v>40.549999999999997</v>
      </c>
      <c r="AM10" s="3451">
        <v>2558</v>
      </c>
      <c r="AN10" s="3451">
        <v>32335</v>
      </c>
      <c r="AO10" s="3451" t="s">
        <v>3518</v>
      </c>
      <c r="AP10" s="3451">
        <v>39.369999999999997</v>
      </c>
      <c r="AQ10" s="3451">
        <v>2480</v>
      </c>
      <c r="AR10" s="3451">
        <v>32490</v>
      </c>
      <c r="AS10" s="3451" t="s">
        <v>3519</v>
      </c>
      <c r="AT10" s="3451">
        <v>37.22</v>
      </c>
      <c r="AU10" s="3451">
        <v>2643</v>
      </c>
      <c r="AV10" s="3451">
        <v>32508</v>
      </c>
      <c r="AW10" s="3451" t="s">
        <v>3453</v>
      </c>
    </row>
    <row r="11" spans="1:49" ht="14.25">
      <c r="A11" s="3451" t="s">
        <v>3520</v>
      </c>
      <c r="B11" s="3451">
        <v>38.33</v>
      </c>
      <c r="C11" s="3451">
        <v>2463</v>
      </c>
      <c r="D11" s="3451">
        <v>31453</v>
      </c>
      <c r="E11" s="3451" t="s">
        <v>3521</v>
      </c>
      <c r="F11" s="3451">
        <v>38.99</v>
      </c>
      <c r="G11" s="3451">
        <v>2583</v>
      </c>
      <c r="H11" s="3451">
        <v>32263</v>
      </c>
      <c r="I11" s="3451" t="s">
        <v>3522</v>
      </c>
      <c r="J11" s="3451">
        <v>37.76</v>
      </c>
      <c r="K11" s="3451">
        <v>2417</v>
      </c>
      <c r="L11" s="3451">
        <v>32341</v>
      </c>
      <c r="M11" s="3451" t="s">
        <v>3523</v>
      </c>
      <c r="N11" s="3451">
        <v>37.24</v>
      </c>
      <c r="O11" s="3451">
        <v>2289</v>
      </c>
      <c r="P11" s="3451">
        <v>32449</v>
      </c>
      <c r="Q11" s="3451" t="s">
        <v>3524</v>
      </c>
      <c r="R11" s="3451">
        <v>34.89</v>
      </c>
      <c r="S11" s="3451">
        <v>2243</v>
      </c>
      <c r="T11" s="3451">
        <v>32556</v>
      </c>
      <c r="U11" s="3451" t="s">
        <v>3487</v>
      </c>
      <c r="V11" s="3451">
        <v>37.14</v>
      </c>
      <c r="W11" s="3451">
        <v>2400</v>
      </c>
      <c r="X11" s="3451">
        <v>32988</v>
      </c>
      <c r="Y11" s="3451" t="s">
        <v>3525</v>
      </c>
      <c r="Z11" s="3451">
        <v>39.29</v>
      </c>
      <c r="AA11" s="3451">
        <v>2567</v>
      </c>
      <c r="AB11" s="3451">
        <v>32444</v>
      </c>
      <c r="AC11" s="3451" t="s">
        <v>3519</v>
      </c>
      <c r="AD11" s="3451">
        <v>42.07</v>
      </c>
      <c r="AE11" s="3451">
        <v>2588</v>
      </c>
      <c r="AF11" s="3451">
        <v>35494</v>
      </c>
      <c r="AG11" s="3451" t="s">
        <v>3526</v>
      </c>
      <c r="AH11" s="3451" t="s">
        <v>633</v>
      </c>
      <c r="AI11" s="3451" t="s">
        <v>633</v>
      </c>
      <c r="AJ11" s="3451" t="s">
        <v>633</v>
      </c>
      <c r="AK11" s="3451" t="s">
        <v>633</v>
      </c>
      <c r="AL11" s="3451" t="s">
        <v>633</v>
      </c>
      <c r="AM11" s="3451" t="s">
        <v>633</v>
      </c>
      <c r="AN11" s="3451" t="s">
        <v>633</v>
      </c>
      <c r="AO11" s="3451" t="s">
        <v>633</v>
      </c>
      <c r="AP11" s="3451" t="s">
        <v>633</v>
      </c>
      <c r="AQ11" s="3451" t="s">
        <v>633</v>
      </c>
      <c r="AR11" s="3451" t="s">
        <v>633</v>
      </c>
      <c r="AS11" s="3451" t="s">
        <v>633</v>
      </c>
      <c r="AT11" s="3451" t="s">
        <v>633</v>
      </c>
      <c r="AU11" s="3451" t="s">
        <v>633</v>
      </c>
      <c r="AV11" s="3451" t="s">
        <v>633</v>
      </c>
      <c r="AW11" s="3451" t="s">
        <v>633</v>
      </c>
    </row>
    <row r="12" spans="1:49" ht="14.25">
      <c r="A12" s="3451" t="s">
        <v>3527</v>
      </c>
      <c r="B12" s="3451">
        <v>38.04</v>
      </c>
      <c r="C12" s="3451">
        <v>3350</v>
      </c>
      <c r="D12" s="3451" t="s">
        <v>633</v>
      </c>
      <c r="E12" s="3451" t="s">
        <v>633</v>
      </c>
      <c r="F12" s="3451">
        <v>38.979999999999997</v>
      </c>
      <c r="G12" s="3451">
        <v>3450</v>
      </c>
      <c r="H12" s="3451" t="s">
        <v>633</v>
      </c>
      <c r="I12" s="3451" t="s">
        <v>633</v>
      </c>
      <c r="J12" s="3451">
        <v>42.4</v>
      </c>
      <c r="K12" s="3451">
        <v>3742</v>
      </c>
      <c r="L12" s="3451" t="s">
        <v>633</v>
      </c>
      <c r="M12" s="3451" t="s">
        <v>633</v>
      </c>
      <c r="N12" s="3451">
        <v>42.74</v>
      </c>
      <c r="O12" s="3451">
        <v>3767</v>
      </c>
      <c r="P12" s="3451" t="s">
        <v>633</v>
      </c>
      <c r="Q12" s="3451" t="s">
        <v>633</v>
      </c>
      <c r="R12" s="3451">
        <v>38.01</v>
      </c>
      <c r="S12" s="3451">
        <v>3354</v>
      </c>
      <c r="T12" s="3451" t="s">
        <v>633</v>
      </c>
      <c r="U12" s="3451" t="s">
        <v>633</v>
      </c>
      <c r="V12" s="3451">
        <v>38.32</v>
      </c>
      <c r="W12" s="3451">
        <v>3400</v>
      </c>
      <c r="X12" s="3451" t="s">
        <v>633</v>
      </c>
      <c r="Y12" s="3451" t="s">
        <v>633</v>
      </c>
      <c r="Z12" s="3451">
        <v>38.409999999999997</v>
      </c>
      <c r="AA12" s="3451">
        <v>3418</v>
      </c>
      <c r="AB12" s="3451" t="s">
        <v>633</v>
      </c>
      <c r="AC12" s="3451" t="s">
        <v>633</v>
      </c>
      <c r="AD12" s="3451">
        <v>41.93</v>
      </c>
      <c r="AE12" s="3451">
        <v>3740</v>
      </c>
      <c r="AF12" s="3451" t="s">
        <v>633</v>
      </c>
      <c r="AG12" s="3451" t="s">
        <v>633</v>
      </c>
      <c r="AH12" s="3451">
        <v>42.62</v>
      </c>
      <c r="AI12" s="3451">
        <v>3800</v>
      </c>
      <c r="AJ12" s="3451" t="s">
        <v>633</v>
      </c>
      <c r="AK12" s="3451" t="s">
        <v>633</v>
      </c>
      <c r="AL12" s="3451">
        <v>42.3</v>
      </c>
      <c r="AM12" s="3451">
        <v>3773</v>
      </c>
      <c r="AN12" s="3451" t="s">
        <v>633</v>
      </c>
      <c r="AO12" s="3451" t="s">
        <v>633</v>
      </c>
      <c r="AP12" s="3451">
        <v>40</v>
      </c>
      <c r="AQ12" s="3451">
        <v>3545</v>
      </c>
      <c r="AR12" s="3451" t="s">
        <v>633</v>
      </c>
      <c r="AS12" s="3451" t="s">
        <v>633</v>
      </c>
      <c r="AT12" s="3451">
        <v>37.99</v>
      </c>
      <c r="AU12" s="3451">
        <v>3107</v>
      </c>
      <c r="AV12" s="3451" t="s">
        <v>633</v>
      </c>
      <c r="AW12" s="3451" t="s">
        <v>633</v>
      </c>
    </row>
    <row r="13" spans="1:49" ht="14.25">
      <c r="A13" s="3451" t="s">
        <v>3528</v>
      </c>
      <c r="B13" s="3451">
        <v>37.32</v>
      </c>
      <c r="C13" s="3451">
        <v>2216</v>
      </c>
      <c r="D13" s="3451">
        <v>29585</v>
      </c>
      <c r="E13" s="3451" t="s">
        <v>3529</v>
      </c>
      <c r="F13" s="3451">
        <v>38.36</v>
      </c>
      <c r="G13" s="3451">
        <v>2218</v>
      </c>
      <c r="H13" s="3451">
        <v>29616</v>
      </c>
      <c r="I13" s="3451" t="s">
        <v>3530</v>
      </c>
      <c r="J13" s="3451" t="s">
        <v>633</v>
      </c>
      <c r="K13" s="3451" t="s">
        <v>633</v>
      </c>
      <c r="L13" s="3451" t="s">
        <v>633</v>
      </c>
      <c r="M13" s="3451" t="s">
        <v>633</v>
      </c>
      <c r="N13" s="3451">
        <v>37.6</v>
      </c>
      <c r="O13" s="3451">
        <v>2400</v>
      </c>
      <c r="P13" s="3451">
        <v>30722</v>
      </c>
      <c r="Q13" s="3451" t="s">
        <v>3531</v>
      </c>
      <c r="R13" s="3451">
        <v>38.9</v>
      </c>
      <c r="S13" s="3451">
        <v>2483</v>
      </c>
      <c r="T13" s="3451">
        <v>32040</v>
      </c>
      <c r="U13" s="3451" t="s">
        <v>3532</v>
      </c>
      <c r="V13" s="3451" t="s">
        <v>633</v>
      </c>
      <c r="W13" s="3451" t="s">
        <v>633</v>
      </c>
      <c r="X13" s="3451" t="s">
        <v>633</v>
      </c>
      <c r="Y13" s="3451" t="s">
        <v>633</v>
      </c>
      <c r="Z13" s="3451" t="s">
        <v>633</v>
      </c>
      <c r="AA13" s="3451" t="s">
        <v>633</v>
      </c>
      <c r="AB13" s="3451" t="s">
        <v>633</v>
      </c>
      <c r="AC13" s="3451" t="s">
        <v>633</v>
      </c>
      <c r="AD13" s="3451" t="s">
        <v>633</v>
      </c>
      <c r="AE13" s="3451" t="s">
        <v>633</v>
      </c>
      <c r="AF13" s="3451" t="s">
        <v>633</v>
      </c>
      <c r="AG13" s="3451" t="s">
        <v>633</v>
      </c>
      <c r="AH13" s="3451">
        <v>41.44</v>
      </c>
      <c r="AI13" s="3451">
        <v>2300</v>
      </c>
      <c r="AJ13" s="3451">
        <v>31766</v>
      </c>
      <c r="AK13" s="3451" t="s">
        <v>3533</v>
      </c>
      <c r="AL13" s="3451">
        <v>41.03</v>
      </c>
      <c r="AM13" s="3451">
        <v>2250</v>
      </c>
      <c r="AN13" s="3451">
        <v>32632</v>
      </c>
      <c r="AO13" s="3451" t="s">
        <v>3534</v>
      </c>
      <c r="AP13" s="3451">
        <v>36.86</v>
      </c>
      <c r="AQ13" s="3451">
        <v>2167</v>
      </c>
      <c r="AR13" s="3451">
        <v>32349</v>
      </c>
      <c r="AS13" s="3451" t="s">
        <v>3535</v>
      </c>
      <c r="AT13" s="3451">
        <v>36.549999999999997</v>
      </c>
      <c r="AU13" s="3451">
        <v>2175</v>
      </c>
      <c r="AV13" s="3451">
        <v>32143</v>
      </c>
      <c r="AW13" s="3451" t="s">
        <v>3536</v>
      </c>
    </row>
    <row r="14" spans="1:49" ht="14.25">
      <c r="A14" s="3451" t="s">
        <v>3537</v>
      </c>
      <c r="B14" s="3451">
        <v>37.299999999999997</v>
      </c>
      <c r="C14" s="3451">
        <v>2443</v>
      </c>
      <c r="D14" s="3451">
        <v>31810</v>
      </c>
      <c r="E14" s="3451" t="s">
        <v>3538</v>
      </c>
      <c r="F14" s="3451">
        <v>38.4</v>
      </c>
      <c r="G14" s="3451">
        <v>3108</v>
      </c>
      <c r="H14" s="3451">
        <v>31559</v>
      </c>
      <c r="I14" s="3451" t="s">
        <v>3539</v>
      </c>
      <c r="J14" s="3451">
        <v>38.51</v>
      </c>
      <c r="K14" s="3451">
        <v>2864</v>
      </c>
      <c r="L14" s="3451">
        <v>33208</v>
      </c>
      <c r="M14" s="3451" t="s">
        <v>3540</v>
      </c>
      <c r="N14" s="3451" t="s">
        <v>633</v>
      </c>
      <c r="O14" s="3451" t="s">
        <v>633</v>
      </c>
      <c r="P14" s="3451" t="s">
        <v>633</v>
      </c>
      <c r="Q14" s="3451" t="s">
        <v>633</v>
      </c>
      <c r="R14" s="3451">
        <v>42.16</v>
      </c>
      <c r="S14" s="3451">
        <v>3343</v>
      </c>
      <c r="T14" s="3451">
        <v>32852</v>
      </c>
      <c r="U14" s="3451" t="s">
        <v>3509</v>
      </c>
      <c r="V14" s="3451">
        <v>40</v>
      </c>
      <c r="W14" s="3451">
        <v>2767</v>
      </c>
      <c r="X14" s="3451">
        <v>32851</v>
      </c>
      <c r="Y14" s="3451" t="s">
        <v>3539</v>
      </c>
      <c r="Z14" s="3451" t="s">
        <v>633</v>
      </c>
      <c r="AA14" s="3451" t="s">
        <v>633</v>
      </c>
      <c r="AB14" s="3451" t="s">
        <v>633</v>
      </c>
      <c r="AC14" s="3451" t="s">
        <v>633</v>
      </c>
      <c r="AD14" s="3451" t="s">
        <v>633</v>
      </c>
      <c r="AE14" s="3451" t="s">
        <v>633</v>
      </c>
      <c r="AF14" s="3451" t="s">
        <v>633</v>
      </c>
      <c r="AG14" s="3451" t="s">
        <v>633</v>
      </c>
      <c r="AH14" s="3451" t="s">
        <v>633</v>
      </c>
      <c r="AI14" s="3451" t="s">
        <v>633</v>
      </c>
      <c r="AJ14" s="3451" t="s">
        <v>633</v>
      </c>
      <c r="AK14" s="3451" t="s">
        <v>633</v>
      </c>
      <c r="AL14" s="3451" t="s">
        <v>633</v>
      </c>
      <c r="AM14" s="3451" t="s">
        <v>633</v>
      </c>
      <c r="AN14" s="3451" t="s">
        <v>633</v>
      </c>
      <c r="AO14" s="3451" t="s">
        <v>633</v>
      </c>
      <c r="AP14" s="3451" t="s">
        <v>633</v>
      </c>
      <c r="AQ14" s="3451" t="s">
        <v>633</v>
      </c>
      <c r="AR14" s="3451" t="s">
        <v>633</v>
      </c>
      <c r="AS14" s="3451" t="s">
        <v>633</v>
      </c>
      <c r="AT14" s="3451" t="s">
        <v>633</v>
      </c>
      <c r="AU14" s="3451" t="s">
        <v>633</v>
      </c>
      <c r="AV14" s="3451" t="s">
        <v>633</v>
      </c>
      <c r="AW14" s="3451" t="s">
        <v>633</v>
      </c>
    </row>
    <row r="15" spans="1:49" ht="14.25">
      <c r="A15" s="3451" t="s">
        <v>3541</v>
      </c>
      <c r="B15" s="3451">
        <v>37.22</v>
      </c>
      <c r="C15" s="3451">
        <v>3133</v>
      </c>
      <c r="D15" s="3451">
        <v>38135</v>
      </c>
      <c r="E15" s="3451" t="s">
        <v>3542</v>
      </c>
      <c r="F15" s="3451">
        <v>40.94</v>
      </c>
      <c r="G15" s="3451">
        <v>3139</v>
      </c>
      <c r="H15" s="3451">
        <v>38344</v>
      </c>
      <c r="I15" s="3451" t="s">
        <v>3543</v>
      </c>
      <c r="J15" s="3451">
        <v>42.64</v>
      </c>
      <c r="K15" s="3451">
        <v>3212</v>
      </c>
      <c r="L15" s="3451">
        <v>37990</v>
      </c>
      <c r="M15" s="3451" t="s">
        <v>3544</v>
      </c>
      <c r="N15" s="3451">
        <v>44.11</v>
      </c>
      <c r="O15" s="3451">
        <v>3320</v>
      </c>
      <c r="P15" s="3451">
        <v>38344</v>
      </c>
      <c r="Q15" s="3451" t="s">
        <v>3545</v>
      </c>
      <c r="R15" s="3451">
        <v>44.23</v>
      </c>
      <c r="S15" s="3451">
        <v>3429</v>
      </c>
      <c r="T15" s="3451">
        <v>38954</v>
      </c>
      <c r="U15" s="3451" t="s">
        <v>3546</v>
      </c>
      <c r="V15" s="3451">
        <v>41.55</v>
      </c>
      <c r="W15" s="3451">
        <v>3210</v>
      </c>
      <c r="X15" s="3451">
        <v>39827</v>
      </c>
      <c r="Y15" s="3451" t="s">
        <v>3547</v>
      </c>
      <c r="Z15" s="3451">
        <v>41.87</v>
      </c>
      <c r="AA15" s="3451">
        <v>3295</v>
      </c>
      <c r="AB15" s="3451">
        <v>39894</v>
      </c>
      <c r="AC15" s="3451" t="s">
        <v>3548</v>
      </c>
      <c r="AD15" s="3451">
        <v>42.27</v>
      </c>
      <c r="AE15" s="3451">
        <v>3376</v>
      </c>
      <c r="AF15" s="3451">
        <v>39764</v>
      </c>
      <c r="AG15" s="3451" t="s">
        <v>3549</v>
      </c>
      <c r="AH15" s="3451">
        <v>41.52</v>
      </c>
      <c r="AI15" s="3451">
        <v>3340</v>
      </c>
      <c r="AJ15" s="3451">
        <v>39335</v>
      </c>
      <c r="AK15" s="3451" t="s">
        <v>3475</v>
      </c>
      <c r="AL15" s="3451">
        <v>41.1</v>
      </c>
      <c r="AM15" s="3451">
        <v>3194</v>
      </c>
      <c r="AN15" s="3451">
        <v>39174</v>
      </c>
      <c r="AO15" s="3451" t="s">
        <v>3550</v>
      </c>
      <c r="AP15" s="3451">
        <v>40.700000000000003</v>
      </c>
      <c r="AQ15" s="3451">
        <v>2984</v>
      </c>
      <c r="AR15" s="3451">
        <v>39117</v>
      </c>
      <c r="AS15" s="3451" t="s">
        <v>3551</v>
      </c>
      <c r="AT15" s="3451">
        <v>41.33</v>
      </c>
      <c r="AU15" s="3451">
        <v>2983</v>
      </c>
      <c r="AV15" s="3451">
        <v>39046</v>
      </c>
      <c r="AW15" s="3451" t="s">
        <v>3552</v>
      </c>
    </row>
    <row r="16" spans="1:49" ht="14.25">
      <c r="A16" s="3451" t="s">
        <v>3553</v>
      </c>
      <c r="B16" s="3451">
        <v>37.01</v>
      </c>
      <c r="C16" s="3451">
        <v>2380</v>
      </c>
      <c r="D16" s="3451">
        <v>29551</v>
      </c>
      <c r="E16" s="3451" t="s">
        <v>3494</v>
      </c>
      <c r="F16" s="3451">
        <v>35.729999999999997</v>
      </c>
      <c r="G16" s="3451">
        <v>2439</v>
      </c>
      <c r="H16" s="3451">
        <v>29679</v>
      </c>
      <c r="I16" s="3451" t="s">
        <v>3554</v>
      </c>
      <c r="J16" s="3451">
        <v>36.159999999999997</v>
      </c>
      <c r="K16" s="3451">
        <v>2474</v>
      </c>
      <c r="L16" s="3451">
        <v>29366</v>
      </c>
      <c r="M16" s="3451" t="s">
        <v>3555</v>
      </c>
      <c r="N16" s="3451">
        <v>36.61</v>
      </c>
      <c r="O16" s="3451">
        <v>2624</v>
      </c>
      <c r="P16" s="3451">
        <v>29529</v>
      </c>
      <c r="Q16" s="3451" t="s">
        <v>3556</v>
      </c>
      <c r="R16" s="3451">
        <v>36.68</v>
      </c>
      <c r="S16" s="3451">
        <v>2625</v>
      </c>
      <c r="T16" s="3451">
        <v>30226</v>
      </c>
      <c r="U16" s="3451" t="s">
        <v>3557</v>
      </c>
      <c r="V16" s="3451">
        <v>34.619999999999997</v>
      </c>
      <c r="W16" s="3451">
        <v>2636</v>
      </c>
      <c r="X16" s="3451">
        <v>32003</v>
      </c>
      <c r="Y16" s="3451" t="s">
        <v>3558</v>
      </c>
      <c r="Z16" s="3451">
        <v>37.700000000000003</v>
      </c>
      <c r="AA16" s="3451">
        <v>2550</v>
      </c>
      <c r="AB16" s="3451">
        <v>32111</v>
      </c>
      <c r="AC16" s="3451" t="s">
        <v>3559</v>
      </c>
      <c r="AD16" s="3451">
        <v>40.21</v>
      </c>
      <c r="AE16" s="3451">
        <v>2567</v>
      </c>
      <c r="AF16" s="3451">
        <v>31314</v>
      </c>
      <c r="AG16" s="3451" t="s">
        <v>3513</v>
      </c>
      <c r="AH16" s="3451">
        <v>37.08</v>
      </c>
      <c r="AI16" s="3451">
        <v>2686</v>
      </c>
      <c r="AJ16" s="3451">
        <v>31687</v>
      </c>
      <c r="AK16" s="3451" t="s">
        <v>3451</v>
      </c>
      <c r="AL16" s="3451" t="s">
        <v>633</v>
      </c>
      <c r="AM16" s="3451" t="s">
        <v>633</v>
      </c>
      <c r="AN16" s="3451" t="s">
        <v>633</v>
      </c>
      <c r="AO16" s="3451" t="s">
        <v>633</v>
      </c>
      <c r="AP16" s="3451" t="s">
        <v>633</v>
      </c>
      <c r="AQ16" s="3451" t="s">
        <v>633</v>
      </c>
      <c r="AR16" s="3451" t="s">
        <v>633</v>
      </c>
      <c r="AS16" s="3451" t="s">
        <v>633</v>
      </c>
      <c r="AT16" s="3451">
        <v>58.27</v>
      </c>
      <c r="AU16" s="3451">
        <v>2700</v>
      </c>
      <c r="AV16" s="3451">
        <v>31178</v>
      </c>
      <c r="AW16" s="3451" t="s">
        <v>3560</v>
      </c>
    </row>
    <row r="17" spans="1:49" ht="14.25">
      <c r="A17" s="3451" t="s">
        <v>3561</v>
      </c>
      <c r="B17" s="3451">
        <v>37.01</v>
      </c>
      <c r="C17" s="3451">
        <v>2973</v>
      </c>
      <c r="D17" s="3451">
        <v>31994</v>
      </c>
      <c r="E17" s="3451" t="s">
        <v>3562</v>
      </c>
      <c r="F17" s="3451">
        <v>38.1</v>
      </c>
      <c r="G17" s="3451">
        <v>2995</v>
      </c>
      <c r="H17" s="3451">
        <v>30846</v>
      </c>
      <c r="I17" s="3451" t="s">
        <v>3563</v>
      </c>
      <c r="J17" s="3451">
        <v>38.44</v>
      </c>
      <c r="K17" s="3451">
        <v>3091</v>
      </c>
      <c r="L17" s="3451">
        <v>31623</v>
      </c>
      <c r="M17" s="3451" t="s">
        <v>3564</v>
      </c>
      <c r="N17" s="3451">
        <v>37</v>
      </c>
      <c r="O17" s="3451">
        <v>2886</v>
      </c>
      <c r="P17" s="3451">
        <v>31501</v>
      </c>
      <c r="Q17" s="3451" t="s">
        <v>3559</v>
      </c>
      <c r="R17" s="3451">
        <v>37.729999999999997</v>
      </c>
      <c r="S17" s="3451">
        <v>2927</v>
      </c>
      <c r="T17" s="3451">
        <v>31632</v>
      </c>
      <c r="U17" s="3451" t="s">
        <v>3565</v>
      </c>
      <c r="V17" s="3451">
        <v>38.35</v>
      </c>
      <c r="W17" s="3451">
        <v>2913</v>
      </c>
      <c r="X17" s="3451">
        <v>31720</v>
      </c>
      <c r="Y17" s="3451" t="s">
        <v>3522</v>
      </c>
      <c r="Z17" s="3451">
        <v>37.15</v>
      </c>
      <c r="AA17" s="3451">
        <v>2761</v>
      </c>
      <c r="AB17" s="3451">
        <v>32139</v>
      </c>
      <c r="AC17" s="3451" t="s">
        <v>3566</v>
      </c>
      <c r="AD17" s="3451">
        <v>36.97</v>
      </c>
      <c r="AE17" s="3451">
        <v>2822</v>
      </c>
      <c r="AF17" s="3451">
        <v>33120</v>
      </c>
      <c r="AG17" s="3451" t="s">
        <v>3567</v>
      </c>
      <c r="AH17" s="3451">
        <v>39.409999999999997</v>
      </c>
      <c r="AI17" s="3451">
        <v>3027</v>
      </c>
      <c r="AJ17" s="3451">
        <v>32962</v>
      </c>
      <c r="AK17" s="3451" t="s">
        <v>3568</v>
      </c>
      <c r="AL17" s="3451">
        <v>41</v>
      </c>
      <c r="AM17" s="3451">
        <v>3187</v>
      </c>
      <c r="AN17" s="3451">
        <v>32652</v>
      </c>
      <c r="AO17" s="3451" t="s">
        <v>3496</v>
      </c>
      <c r="AP17" s="3451">
        <v>39.159999999999997</v>
      </c>
      <c r="AQ17" s="3451">
        <v>3063</v>
      </c>
      <c r="AR17" s="3451">
        <v>32721</v>
      </c>
      <c r="AS17" s="3451" t="s">
        <v>3569</v>
      </c>
      <c r="AT17" s="3451">
        <v>39.65</v>
      </c>
      <c r="AU17" s="3451">
        <v>2965</v>
      </c>
      <c r="AV17" s="3451">
        <v>32276</v>
      </c>
      <c r="AW17" s="3451" t="s">
        <v>3498</v>
      </c>
    </row>
  </sheetData>
  <mergeCells count="13">
    <mergeCell ref="AL1:AO1"/>
    <mergeCell ref="AP1:AS1"/>
    <mergeCell ref="AT1:AW1"/>
    <mergeCell ref="R1:U1"/>
    <mergeCell ref="V1:Y1"/>
    <mergeCell ref="Z1:AC1"/>
    <mergeCell ref="AD1:AG1"/>
    <mergeCell ref="AH1:AK1"/>
    <mergeCell ref="A1:A2"/>
    <mergeCell ref="B1:E1"/>
    <mergeCell ref="F1:I1"/>
    <mergeCell ref="J1:M1"/>
    <mergeCell ref="N1:Q1"/>
  </mergeCells>
  <phoneticPr fontId="13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topLeftCell="A40" workbookViewId="0">
      <selection activeCell="G17" sqref="G17"/>
    </sheetView>
  </sheetViews>
  <sheetFormatPr defaultRowHeight="13.5"/>
  <cols>
    <col min="1" max="1" width="18.625" customWidth="1"/>
    <col min="6" max="6" width="19" customWidth="1"/>
    <col min="7" max="7" width="21.875" customWidth="1"/>
  </cols>
  <sheetData>
    <row r="1" spans="1:12" ht="15">
      <c r="A1" s="3450" t="s">
        <v>3644</v>
      </c>
    </row>
    <row r="2" spans="1:12" ht="14.25">
      <c r="A2" s="3770" t="s">
        <v>3415</v>
      </c>
      <c r="B2" s="3770" t="s">
        <v>3416</v>
      </c>
      <c r="C2" s="3770" t="s">
        <v>3417</v>
      </c>
      <c r="D2" s="3770" t="s">
        <v>3418</v>
      </c>
      <c r="E2" s="3770" t="s">
        <v>3419</v>
      </c>
      <c r="F2" s="3770" t="s">
        <v>3420</v>
      </c>
      <c r="G2" s="3770" t="s">
        <v>3421</v>
      </c>
      <c r="H2" s="3770" t="s">
        <v>3422</v>
      </c>
      <c r="I2" s="3770" t="s">
        <v>3423</v>
      </c>
      <c r="J2" s="3770" t="s">
        <v>3424</v>
      </c>
      <c r="K2" s="3770" t="s">
        <v>3425</v>
      </c>
      <c r="L2" s="3770" t="s">
        <v>3426</v>
      </c>
    </row>
    <row r="3" spans="1:12" ht="14.25">
      <c r="A3" s="3782">
        <v>45075.333831018521</v>
      </c>
      <c r="B3" s="3781" t="s">
        <v>3427</v>
      </c>
      <c r="C3" s="3781" t="s">
        <v>633</v>
      </c>
      <c r="D3" s="3781" t="s">
        <v>633</v>
      </c>
      <c r="E3" s="3781">
        <v>1</v>
      </c>
      <c r="F3" s="3781">
        <v>101</v>
      </c>
      <c r="G3" s="3781" t="s">
        <v>3428</v>
      </c>
      <c r="H3" s="3781" t="s">
        <v>21</v>
      </c>
      <c r="I3" s="3781" t="s">
        <v>3429</v>
      </c>
      <c r="J3" s="3781">
        <v>626.19000000000005</v>
      </c>
      <c r="K3" s="3781">
        <v>1937.11</v>
      </c>
      <c r="L3" s="3781">
        <v>30935</v>
      </c>
    </row>
    <row r="4" spans="1:12" ht="14.25">
      <c r="A4" s="3771">
        <v>45075.333831018521</v>
      </c>
      <c r="B4" s="3770" t="s">
        <v>3427</v>
      </c>
      <c r="C4" s="3770" t="s">
        <v>633</v>
      </c>
      <c r="D4" s="3770" t="s">
        <v>633</v>
      </c>
      <c r="E4" s="3770">
        <v>4</v>
      </c>
      <c r="F4" s="3770">
        <v>401</v>
      </c>
      <c r="G4" s="3770" t="s">
        <v>3428</v>
      </c>
      <c r="H4" s="3770" t="s">
        <v>21</v>
      </c>
      <c r="I4" s="3770" t="s">
        <v>3429</v>
      </c>
      <c r="J4" s="3770">
        <v>746.71</v>
      </c>
      <c r="K4" s="3770">
        <v>2309.9499999999998</v>
      </c>
      <c r="L4" s="3770">
        <v>30935</v>
      </c>
    </row>
    <row r="5" spans="1:12" ht="14.25">
      <c r="A5" s="3771">
        <v>45075.333831018521</v>
      </c>
      <c r="B5" s="3770" t="s">
        <v>3427</v>
      </c>
      <c r="C5" s="3770" t="s">
        <v>633</v>
      </c>
      <c r="D5" s="3770" t="s">
        <v>633</v>
      </c>
      <c r="E5" s="3770">
        <v>2</v>
      </c>
      <c r="F5" s="3770">
        <v>201</v>
      </c>
      <c r="G5" s="3770" t="s">
        <v>3428</v>
      </c>
      <c r="H5" s="3770" t="s">
        <v>21</v>
      </c>
      <c r="I5" s="3770" t="s">
        <v>3429</v>
      </c>
      <c r="J5" s="3770">
        <v>625.6</v>
      </c>
      <c r="K5" s="3770">
        <v>1935.29</v>
      </c>
      <c r="L5" s="3770">
        <v>30935</v>
      </c>
    </row>
    <row r="6" spans="1:12" ht="14.25">
      <c r="A6" s="3771">
        <v>45075.333831018521</v>
      </c>
      <c r="B6" s="3770" t="s">
        <v>3427</v>
      </c>
      <c r="C6" s="3770" t="s">
        <v>633</v>
      </c>
      <c r="D6" s="3770" t="s">
        <v>633</v>
      </c>
      <c r="E6" s="3770">
        <v>3</v>
      </c>
      <c r="F6" s="3770">
        <v>301</v>
      </c>
      <c r="G6" s="3770" t="s">
        <v>3428</v>
      </c>
      <c r="H6" s="3770" t="s">
        <v>21</v>
      </c>
      <c r="I6" s="3770" t="s">
        <v>3429</v>
      </c>
      <c r="J6" s="3770">
        <v>671.61</v>
      </c>
      <c r="K6" s="3770">
        <v>2077.63</v>
      </c>
      <c r="L6" s="3770">
        <v>30935</v>
      </c>
    </row>
    <row r="8" spans="1:12" ht="14.25">
      <c r="A8" s="3462" t="s">
        <v>3645</v>
      </c>
    </row>
    <row r="9" spans="1:12" ht="14.25">
      <c r="A9" s="3770" t="s">
        <v>3415</v>
      </c>
      <c r="B9" s="3770" t="s">
        <v>3416</v>
      </c>
      <c r="C9" s="3770" t="s">
        <v>3417</v>
      </c>
      <c r="D9" s="3770" t="s">
        <v>3418</v>
      </c>
      <c r="E9" s="3770" t="s">
        <v>3419</v>
      </c>
      <c r="F9" s="3770" t="s">
        <v>3420</v>
      </c>
      <c r="G9" s="3770" t="s">
        <v>3421</v>
      </c>
      <c r="H9" s="3770" t="s">
        <v>3422</v>
      </c>
      <c r="I9" s="3770" t="s">
        <v>3423</v>
      </c>
      <c r="J9" s="3770" t="s">
        <v>3424</v>
      </c>
      <c r="K9" s="3770" t="s">
        <v>3425</v>
      </c>
      <c r="L9" s="3770" t="s">
        <v>3426</v>
      </c>
    </row>
    <row r="10" spans="1:12" ht="14.25">
      <c r="A10" s="3771">
        <v>45014.333831018521</v>
      </c>
      <c r="B10" s="3770" t="s">
        <v>3430</v>
      </c>
      <c r="C10" s="3770" t="s">
        <v>633</v>
      </c>
      <c r="D10" s="3770" t="s">
        <v>633</v>
      </c>
      <c r="E10" s="3770">
        <v>5</v>
      </c>
      <c r="F10" s="3770">
        <v>503</v>
      </c>
      <c r="G10" s="3770" t="s">
        <v>3431</v>
      </c>
      <c r="H10" s="3770" t="s">
        <v>21</v>
      </c>
      <c r="I10" s="3770" t="s">
        <v>3429</v>
      </c>
      <c r="J10" s="3770">
        <v>702.93</v>
      </c>
      <c r="K10" s="3770">
        <v>1897.91</v>
      </c>
      <c r="L10" s="3770">
        <v>27000</v>
      </c>
    </row>
    <row r="11" spans="1:12" s="3473" customFormat="1" ht="14.25">
      <c r="A11" s="3776">
        <v>45014.333831018521</v>
      </c>
      <c r="B11" s="3773" t="s">
        <v>3430</v>
      </c>
      <c r="C11" s="3773" t="s">
        <v>633</v>
      </c>
      <c r="D11" s="3773" t="s">
        <v>633</v>
      </c>
      <c r="E11" s="3773">
        <v>2</v>
      </c>
      <c r="F11" s="3773">
        <v>203</v>
      </c>
      <c r="G11" s="3773" t="s">
        <v>3431</v>
      </c>
      <c r="H11" s="3773" t="s">
        <v>21</v>
      </c>
      <c r="I11" s="3773" t="s">
        <v>3429</v>
      </c>
      <c r="J11" s="3773">
        <v>772.68</v>
      </c>
      <c r="K11" s="3773">
        <v>1854.43</v>
      </c>
      <c r="L11" s="3773">
        <v>24000</v>
      </c>
    </row>
    <row r="12" spans="1:12" s="3473" customFormat="1" ht="14.25">
      <c r="A12" s="3774">
        <v>45014.333831018521</v>
      </c>
      <c r="B12" s="3775" t="s">
        <v>3430</v>
      </c>
      <c r="C12" s="3775" t="s">
        <v>633</v>
      </c>
      <c r="D12" s="3775" t="s">
        <v>633</v>
      </c>
      <c r="E12" s="3775">
        <v>9</v>
      </c>
      <c r="F12" s="3775">
        <v>903</v>
      </c>
      <c r="G12" s="3775" t="s">
        <v>3431</v>
      </c>
      <c r="H12" s="3775" t="s">
        <v>21</v>
      </c>
      <c r="I12" s="3775" t="s">
        <v>3429</v>
      </c>
      <c r="J12" s="3775">
        <v>678.98</v>
      </c>
      <c r="K12" s="3775">
        <v>2104.84</v>
      </c>
      <c r="L12" s="3775">
        <v>31000</v>
      </c>
    </row>
    <row r="13" spans="1:12" s="3473" customFormat="1" ht="14.25">
      <c r="A13" s="3776">
        <v>45014.333831018521</v>
      </c>
      <c r="B13" s="3773" t="s">
        <v>3430</v>
      </c>
      <c r="C13" s="3773" t="s">
        <v>633</v>
      </c>
      <c r="D13" s="3773" t="s">
        <v>633</v>
      </c>
      <c r="E13" s="3773">
        <v>3</v>
      </c>
      <c r="F13" s="3773">
        <v>303</v>
      </c>
      <c r="G13" s="3773" t="s">
        <v>3431</v>
      </c>
      <c r="H13" s="3773" t="s">
        <v>21</v>
      </c>
      <c r="I13" s="3773" t="s">
        <v>3429</v>
      </c>
      <c r="J13" s="3773">
        <v>688.59</v>
      </c>
      <c r="K13" s="3773">
        <v>1721.48</v>
      </c>
      <c r="L13" s="3773">
        <v>25000</v>
      </c>
    </row>
    <row r="14" spans="1:12" s="3474" customFormat="1" ht="14.25">
      <c r="A14" s="3777">
        <v>45014.333831018521</v>
      </c>
      <c r="B14" s="3778" t="s">
        <v>3430</v>
      </c>
      <c r="C14" s="3778" t="s">
        <v>633</v>
      </c>
      <c r="D14" s="3778" t="s">
        <v>633</v>
      </c>
      <c r="E14" s="3778">
        <v>6</v>
      </c>
      <c r="F14" s="3778">
        <v>603</v>
      </c>
      <c r="G14" s="3778" t="s">
        <v>3431</v>
      </c>
      <c r="H14" s="3778" t="s">
        <v>21</v>
      </c>
      <c r="I14" s="3778" t="s">
        <v>3429</v>
      </c>
      <c r="J14" s="3778">
        <v>739.6</v>
      </c>
      <c r="K14" s="3778">
        <v>2070.88</v>
      </c>
      <c r="L14" s="3778">
        <v>28000</v>
      </c>
    </row>
    <row r="15" spans="1:12" s="3473" customFormat="1" ht="14.25">
      <c r="A15" s="3776">
        <v>45014.333831018521</v>
      </c>
      <c r="B15" s="3773" t="s">
        <v>3430</v>
      </c>
      <c r="C15" s="3773" t="s">
        <v>633</v>
      </c>
      <c r="D15" s="3773" t="s">
        <v>633</v>
      </c>
      <c r="E15" s="3773">
        <v>3</v>
      </c>
      <c r="F15" s="3773">
        <v>301</v>
      </c>
      <c r="G15" s="3773" t="s">
        <v>3431</v>
      </c>
      <c r="H15" s="3773" t="s">
        <v>21</v>
      </c>
      <c r="I15" s="3773" t="s">
        <v>3429</v>
      </c>
      <c r="J15" s="3773">
        <v>700.88</v>
      </c>
      <c r="K15" s="3773">
        <v>1752.2</v>
      </c>
      <c r="L15" s="3773">
        <v>25000</v>
      </c>
    </row>
    <row r="16" spans="1:12" s="3480" customFormat="1" ht="14.25">
      <c r="A16" s="3779">
        <v>45014.333831018521</v>
      </c>
      <c r="B16" s="3780" t="s">
        <v>3430</v>
      </c>
      <c r="C16" s="3780" t="s">
        <v>633</v>
      </c>
      <c r="D16" s="3780" t="s">
        <v>633</v>
      </c>
      <c r="E16" s="3780">
        <v>7</v>
      </c>
      <c r="F16" s="3780">
        <v>703</v>
      </c>
      <c r="G16" s="3780" t="s">
        <v>3431</v>
      </c>
      <c r="H16" s="3780" t="s">
        <v>21</v>
      </c>
      <c r="I16" s="3780" t="s">
        <v>3429</v>
      </c>
      <c r="J16" s="3780">
        <v>702.93</v>
      </c>
      <c r="K16" s="3780">
        <v>2038.5</v>
      </c>
      <c r="L16" s="3780">
        <v>29000</v>
      </c>
    </row>
    <row r="17" spans="1:12" ht="14.25">
      <c r="A17" s="3771">
        <v>45014.333831018521</v>
      </c>
      <c r="B17" s="3770" t="s">
        <v>3430</v>
      </c>
      <c r="C17" s="3770" t="s">
        <v>633</v>
      </c>
      <c r="D17" s="3770" t="s">
        <v>633</v>
      </c>
      <c r="E17" s="3770">
        <v>4</v>
      </c>
      <c r="F17" s="3770">
        <v>401</v>
      </c>
      <c r="G17" s="3770" t="s">
        <v>3431</v>
      </c>
      <c r="H17" s="3770" t="s">
        <v>21</v>
      </c>
      <c r="I17" s="3770" t="s">
        <v>3429</v>
      </c>
      <c r="J17" s="3770">
        <v>1209.21</v>
      </c>
      <c r="K17" s="3770">
        <v>3143.95</v>
      </c>
      <c r="L17" s="3770">
        <v>26000</v>
      </c>
    </row>
    <row r="18" spans="1:12" ht="14.25">
      <c r="A18" s="3771">
        <v>45014.333831018521</v>
      </c>
      <c r="B18" s="3770" t="s">
        <v>3430</v>
      </c>
      <c r="C18" s="3770" t="s">
        <v>633</v>
      </c>
      <c r="D18" s="3770" t="s">
        <v>633</v>
      </c>
      <c r="E18" s="3770">
        <v>6</v>
      </c>
      <c r="F18" s="3770">
        <v>601</v>
      </c>
      <c r="G18" s="3770" t="s">
        <v>3431</v>
      </c>
      <c r="H18" s="3770" t="s">
        <v>21</v>
      </c>
      <c r="I18" s="3770" t="s">
        <v>3429</v>
      </c>
      <c r="J18" s="3770">
        <v>1209.46</v>
      </c>
      <c r="K18" s="3770">
        <v>3386.49</v>
      </c>
      <c r="L18" s="3770">
        <v>28000</v>
      </c>
    </row>
    <row r="19" spans="1:12" ht="14.25">
      <c r="A19" s="3782">
        <v>45014.333831018521</v>
      </c>
      <c r="B19" s="3781" t="s">
        <v>3430</v>
      </c>
      <c r="C19" s="3781" t="s">
        <v>633</v>
      </c>
      <c r="D19" s="3781" t="s">
        <v>633</v>
      </c>
      <c r="E19" s="3781">
        <v>10</v>
      </c>
      <c r="F19" s="3781">
        <v>1003</v>
      </c>
      <c r="G19" s="3781" t="s">
        <v>3431</v>
      </c>
      <c r="H19" s="3781" t="s">
        <v>21</v>
      </c>
      <c r="I19" s="3781" t="s">
        <v>3429</v>
      </c>
      <c r="J19" s="3781">
        <v>678.98</v>
      </c>
      <c r="K19" s="3781">
        <v>2104.84</v>
      </c>
      <c r="L19" s="3781">
        <v>31000</v>
      </c>
    </row>
    <row r="20" spans="1:12" s="3480" customFormat="1" ht="14.25">
      <c r="A20" s="3783">
        <v>45014.333831018521</v>
      </c>
      <c r="B20" s="3784" t="s">
        <v>3430</v>
      </c>
      <c r="C20" s="3784" t="s">
        <v>633</v>
      </c>
      <c r="D20" s="3784" t="s">
        <v>633</v>
      </c>
      <c r="E20" s="3784">
        <v>8</v>
      </c>
      <c r="F20" s="3784">
        <v>803</v>
      </c>
      <c r="G20" s="3784" t="s">
        <v>3431</v>
      </c>
      <c r="H20" s="3784" t="s">
        <v>21</v>
      </c>
      <c r="I20" s="3784" t="s">
        <v>3429</v>
      </c>
      <c r="J20" s="3784">
        <v>739.6</v>
      </c>
      <c r="K20" s="3784">
        <v>2218.8000000000002</v>
      </c>
      <c r="L20" s="3784">
        <v>30000</v>
      </c>
    </row>
    <row r="21" spans="1:12" ht="14.25">
      <c r="A21" s="3771">
        <v>45014.333831018521</v>
      </c>
      <c r="B21" s="3770" t="s">
        <v>3430</v>
      </c>
      <c r="C21" s="3770" t="s">
        <v>633</v>
      </c>
      <c r="D21" s="3770" t="s">
        <v>633</v>
      </c>
      <c r="E21" s="3770">
        <v>8</v>
      </c>
      <c r="F21" s="3770">
        <v>801</v>
      </c>
      <c r="G21" s="3770" t="s">
        <v>3431</v>
      </c>
      <c r="H21" s="3770" t="s">
        <v>21</v>
      </c>
      <c r="I21" s="3770" t="s">
        <v>3429</v>
      </c>
      <c r="J21" s="3770">
        <v>1209.46</v>
      </c>
      <c r="K21" s="3770">
        <v>3628.38</v>
      </c>
      <c r="L21" s="3770">
        <v>30000</v>
      </c>
    </row>
    <row r="22" spans="1:12" ht="14.25">
      <c r="A22" s="3771">
        <v>45014.333831018521</v>
      </c>
      <c r="B22" s="3770" t="s">
        <v>3430</v>
      </c>
      <c r="C22" s="3770" t="s">
        <v>633</v>
      </c>
      <c r="D22" s="3770" t="s">
        <v>633</v>
      </c>
      <c r="E22" s="3770">
        <v>10</v>
      </c>
      <c r="F22" s="3770">
        <v>1002</v>
      </c>
      <c r="G22" s="3770" t="s">
        <v>3431</v>
      </c>
      <c r="H22" s="3770" t="s">
        <v>21</v>
      </c>
      <c r="I22" s="3770" t="s">
        <v>3429</v>
      </c>
      <c r="J22" s="3770">
        <v>695.41</v>
      </c>
      <c r="K22" s="3770">
        <v>2155.77</v>
      </c>
      <c r="L22" s="3770">
        <v>31000</v>
      </c>
    </row>
    <row r="23" spans="1:12" ht="14.25">
      <c r="A23" s="3771">
        <v>45014.333831018521</v>
      </c>
      <c r="B23" s="3770" t="s">
        <v>3430</v>
      </c>
      <c r="C23" s="3770" t="s">
        <v>633</v>
      </c>
      <c r="D23" s="3770" t="s">
        <v>633</v>
      </c>
      <c r="E23" s="3770">
        <v>9</v>
      </c>
      <c r="F23" s="3770">
        <v>902</v>
      </c>
      <c r="G23" s="3770" t="s">
        <v>3431</v>
      </c>
      <c r="H23" s="3770" t="s">
        <v>3600</v>
      </c>
      <c r="I23" s="3770" t="s">
        <v>3429</v>
      </c>
      <c r="J23" s="3770">
        <v>695.41</v>
      </c>
      <c r="K23" s="3770">
        <v>2155.77</v>
      </c>
      <c r="L23" s="3770">
        <v>31000</v>
      </c>
    </row>
    <row r="24" spans="1:12" ht="14.25">
      <c r="A24" s="3771">
        <v>45014.333831018521</v>
      </c>
      <c r="B24" s="3770" t="s">
        <v>3430</v>
      </c>
      <c r="C24" s="3770" t="s">
        <v>633</v>
      </c>
      <c r="D24" s="3770" t="s">
        <v>633</v>
      </c>
      <c r="E24" s="3770">
        <v>9</v>
      </c>
      <c r="F24" s="3770">
        <v>901</v>
      </c>
      <c r="G24" s="3770" t="s">
        <v>3431</v>
      </c>
      <c r="H24" s="3770" t="s">
        <v>21</v>
      </c>
      <c r="I24" s="3770" t="s">
        <v>3429</v>
      </c>
      <c r="J24" s="3770">
        <v>1161.3800000000001</v>
      </c>
      <c r="K24" s="3770">
        <v>3600.28</v>
      </c>
      <c r="L24" s="3770">
        <v>31000</v>
      </c>
    </row>
    <row r="26" spans="1:12" ht="14.25">
      <c r="A26" s="3770" t="s">
        <v>3415</v>
      </c>
      <c r="B26" s="3770" t="s">
        <v>3416</v>
      </c>
      <c r="C26" s="3770" t="s">
        <v>3417</v>
      </c>
      <c r="D26" s="3770" t="s">
        <v>3418</v>
      </c>
      <c r="E26" s="3770" t="s">
        <v>3419</v>
      </c>
      <c r="F26" s="3770" t="s">
        <v>3420</v>
      </c>
      <c r="G26" s="3770" t="s">
        <v>3421</v>
      </c>
      <c r="H26" s="3770" t="s">
        <v>3422</v>
      </c>
      <c r="I26" s="3770" t="s">
        <v>3423</v>
      </c>
      <c r="J26" s="3770" t="s">
        <v>3424</v>
      </c>
      <c r="K26" s="3770" t="s">
        <v>3425</v>
      </c>
      <c r="L26" s="3770" t="s">
        <v>3426</v>
      </c>
    </row>
    <row r="27" spans="1:12" ht="14.25">
      <c r="A27" s="3771">
        <v>45106.333831018521</v>
      </c>
      <c r="B27" s="3770" t="s">
        <v>3432</v>
      </c>
      <c r="C27" s="3770" t="s">
        <v>633</v>
      </c>
      <c r="D27" s="3770" t="s">
        <v>633</v>
      </c>
      <c r="E27" s="3770">
        <v>1</v>
      </c>
      <c r="F27" s="3772" t="s">
        <v>3442</v>
      </c>
      <c r="G27" s="3770" t="s">
        <v>3433</v>
      </c>
      <c r="H27" s="3770" t="s">
        <v>673</v>
      </c>
      <c r="I27" s="3770" t="s">
        <v>3429</v>
      </c>
      <c r="J27" s="3770">
        <v>156.77000000000001</v>
      </c>
      <c r="K27" s="3770">
        <v>342.78</v>
      </c>
      <c r="L27" s="3770">
        <v>21865</v>
      </c>
    </row>
    <row r="28" spans="1:12" ht="14.25">
      <c r="A28" s="3771">
        <v>45103.333831018521</v>
      </c>
      <c r="B28" s="3770" t="s">
        <v>3434</v>
      </c>
      <c r="C28" s="3770" t="s">
        <v>633</v>
      </c>
      <c r="D28" s="3770" t="s">
        <v>633</v>
      </c>
      <c r="E28" s="3770">
        <v>1</v>
      </c>
      <c r="F28" s="3772" t="s">
        <v>3443</v>
      </c>
      <c r="G28" s="3770" t="s">
        <v>3435</v>
      </c>
      <c r="H28" s="3770" t="s">
        <v>673</v>
      </c>
      <c r="I28" s="3770" t="s">
        <v>3429</v>
      </c>
      <c r="J28" s="3770">
        <v>117.91</v>
      </c>
      <c r="K28" s="3770">
        <v>332.39</v>
      </c>
      <c r="L28" s="3770">
        <v>28190</v>
      </c>
    </row>
    <row r="29" spans="1:12" ht="14.25">
      <c r="A29" s="3771">
        <v>45097.333831018521</v>
      </c>
      <c r="B29" s="3770" t="s">
        <v>3432</v>
      </c>
      <c r="C29" s="3770" t="s">
        <v>633</v>
      </c>
      <c r="D29" s="3770" t="s">
        <v>633</v>
      </c>
      <c r="E29" s="3770">
        <v>1</v>
      </c>
      <c r="F29" s="3772" t="s">
        <v>3444</v>
      </c>
      <c r="G29" s="3770" t="s">
        <v>3433</v>
      </c>
      <c r="H29" s="3770" t="s">
        <v>673</v>
      </c>
      <c r="I29" s="3770" t="s">
        <v>3429</v>
      </c>
      <c r="J29" s="3770">
        <v>104.95</v>
      </c>
      <c r="K29" s="3770">
        <v>237.39</v>
      </c>
      <c r="L29" s="3770">
        <v>22619</v>
      </c>
    </row>
    <row r="30" spans="1:12" ht="14.25">
      <c r="A30" s="3770" t="s">
        <v>3415</v>
      </c>
      <c r="B30" s="3770" t="s">
        <v>3416</v>
      </c>
      <c r="C30" s="3770" t="s">
        <v>3417</v>
      </c>
      <c r="D30" s="3770" t="s">
        <v>3418</v>
      </c>
      <c r="E30" s="3770" t="s">
        <v>3419</v>
      </c>
      <c r="F30" s="3772" t="s">
        <v>3420</v>
      </c>
      <c r="G30" s="3770" t="s">
        <v>3421</v>
      </c>
      <c r="H30" s="3770" t="s">
        <v>3422</v>
      </c>
      <c r="I30" s="3770" t="s">
        <v>3423</v>
      </c>
      <c r="J30" s="3770" t="s">
        <v>3424</v>
      </c>
      <c r="K30" s="3770" t="s">
        <v>3425</v>
      </c>
      <c r="L30" s="3770" t="s">
        <v>3426</v>
      </c>
    </row>
    <row r="31" spans="1:12" ht="14.25">
      <c r="A31" s="3771">
        <v>45016.333831018521</v>
      </c>
      <c r="B31" s="3770" t="s">
        <v>3434</v>
      </c>
      <c r="C31" s="3770" t="s">
        <v>633</v>
      </c>
      <c r="D31" s="3770" t="s">
        <v>633</v>
      </c>
      <c r="E31" s="3770">
        <v>1</v>
      </c>
      <c r="F31" s="3772" t="s">
        <v>3437</v>
      </c>
      <c r="G31" s="3770" t="s">
        <v>3435</v>
      </c>
      <c r="H31" s="3770" t="s">
        <v>673</v>
      </c>
      <c r="I31" s="3770" t="s">
        <v>3429</v>
      </c>
      <c r="J31" s="3770">
        <v>169.91</v>
      </c>
      <c r="K31" s="3770">
        <v>413.85</v>
      </c>
      <c r="L31" s="3770">
        <v>24357</v>
      </c>
    </row>
    <row r="32" spans="1:12" ht="14.25">
      <c r="A32" s="3771">
        <v>45016.333831018521</v>
      </c>
      <c r="B32" s="3770" t="s">
        <v>3434</v>
      </c>
      <c r="C32" s="3770" t="s">
        <v>633</v>
      </c>
      <c r="D32" s="3770" t="s">
        <v>633</v>
      </c>
      <c r="E32" s="3770">
        <v>1</v>
      </c>
      <c r="F32" s="3772" t="s">
        <v>3438</v>
      </c>
      <c r="G32" s="3770" t="s">
        <v>3435</v>
      </c>
      <c r="H32" s="3770" t="s">
        <v>673</v>
      </c>
      <c r="I32" s="3770" t="s">
        <v>3429</v>
      </c>
      <c r="J32" s="3770">
        <v>93.05</v>
      </c>
      <c r="K32" s="3770">
        <v>229.31</v>
      </c>
      <c r="L32" s="3770">
        <v>24643</v>
      </c>
    </row>
    <row r="33" spans="1:12" ht="14.25">
      <c r="A33" s="3771">
        <v>45013.333831018521</v>
      </c>
      <c r="B33" s="3770" t="s">
        <v>3430</v>
      </c>
      <c r="C33" s="3770" t="s">
        <v>633</v>
      </c>
      <c r="D33" s="3770" t="s">
        <v>633</v>
      </c>
      <c r="E33" s="3770">
        <v>1</v>
      </c>
      <c r="F33" s="3772" t="s">
        <v>3439</v>
      </c>
      <c r="G33" s="3770" t="s">
        <v>3431</v>
      </c>
      <c r="H33" s="3770" t="s">
        <v>673</v>
      </c>
      <c r="I33" s="3770" t="s">
        <v>3429</v>
      </c>
      <c r="J33" s="3770">
        <v>672.04</v>
      </c>
      <c r="K33" s="3770">
        <v>2217.73</v>
      </c>
      <c r="L33" s="3770">
        <v>33000</v>
      </c>
    </row>
    <row r="34" spans="1:12" ht="14.25">
      <c r="A34" s="3771">
        <v>45013.333831018521</v>
      </c>
      <c r="B34" s="3770" t="s">
        <v>3430</v>
      </c>
      <c r="C34" s="3770" t="s">
        <v>633</v>
      </c>
      <c r="D34" s="3770" t="s">
        <v>633</v>
      </c>
      <c r="E34" s="3770">
        <v>1</v>
      </c>
      <c r="F34" s="3772" t="s">
        <v>3440</v>
      </c>
      <c r="G34" s="3770" t="s">
        <v>3436</v>
      </c>
      <c r="H34" s="3770" t="s">
        <v>673</v>
      </c>
      <c r="I34" s="3770" t="s">
        <v>3429</v>
      </c>
      <c r="J34" s="3770">
        <v>682.14</v>
      </c>
      <c r="K34" s="3770">
        <v>2114.77</v>
      </c>
      <c r="L34" s="3770">
        <v>31002</v>
      </c>
    </row>
    <row r="35" spans="1:12" ht="14.25">
      <c r="A35" s="3771">
        <v>45013.333831018521</v>
      </c>
      <c r="B35" s="3770" t="s">
        <v>3430</v>
      </c>
      <c r="C35" s="3770" t="s">
        <v>633</v>
      </c>
      <c r="D35" s="3770" t="s">
        <v>633</v>
      </c>
      <c r="E35" s="3770">
        <v>1</v>
      </c>
      <c r="F35" s="3772" t="s">
        <v>3441</v>
      </c>
      <c r="G35" s="3770" t="s">
        <v>3431</v>
      </c>
      <c r="H35" s="3770" t="s">
        <v>673</v>
      </c>
      <c r="I35" s="3770" t="s">
        <v>3429</v>
      </c>
      <c r="J35" s="3770">
        <v>740.19</v>
      </c>
      <c r="K35" s="3770">
        <v>2442.63</v>
      </c>
      <c r="L35" s="3770">
        <v>33000</v>
      </c>
    </row>
  </sheetData>
  <mergeCells count="372">
    <mergeCell ref="K6"/>
    <mergeCell ref="L6"/>
    <mergeCell ref="F6"/>
    <mergeCell ref="G6"/>
    <mergeCell ref="H6"/>
    <mergeCell ref="I6"/>
    <mergeCell ref="J6"/>
    <mergeCell ref="A20"/>
    <mergeCell ref="B20"/>
    <mergeCell ref="C20"/>
    <mergeCell ref="D20"/>
    <mergeCell ref="E20"/>
    <mergeCell ref="F20"/>
    <mergeCell ref="G20"/>
    <mergeCell ref="H20"/>
    <mergeCell ref="I20"/>
    <mergeCell ref="J20"/>
    <mergeCell ref="K20"/>
    <mergeCell ref="L20"/>
    <mergeCell ref="A19"/>
    <mergeCell ref="B19"/>
    <mergeCell ref="C19"/>
    <mergeCell ref="D19"/>
    <mergeCell ref="E19"/>
    <mergeCell ref="A6"/>
    <mergeCell ref="B6"/>
    <mergeCell ref="C6"/>
    <mergeCell ref="D6"/>
    <mergeCell ref="E6"/>
    <mergeCell ref="L23"/>
    <mergeCell ref="A24"/>
    <mergeCell ref="B24"/>
    <mergeCell ref="C24"/>
    <mergeCell ref="D24"/>
    <mergeCell ref="E24"/>
    <mergeCell ref="F24"/>
    <mergeCell ref="G24"/>
    <mergeCell ref="H24"/>
    <mergeCell ref="I24"/>
    <mergeCell ref="J24"/>
    <mergeCell ref="K24"/>
    <mergeCell ref="L24"/>
    <mergeCell ref="L21"/>
    <mergeCell ref="L22"/>
    <mergeCell ref="I21"/>
    <mergeCell ref="J19"/>
    <mergeCell ref="K19"/>
    <mergeCell ref="L19"/>
    <mergeCell ref="K4"/>
    <mergeCell ref="L4"/>
    <mergeCell ref="A5"/>
    <mergeCell ref="B5"/>
    <mergeCell ref="C5"/>
    <mergeCell ref="D5"/>
    <mergeCell ref="E5"/>
    <mergeCell ref="F5"/>
    <mergeCell ref="G5"/>
    <mergeCell ref="H5"/>
    <mergeCell ref="I5"/>
    <mergeCell ref="J5"/>
    <mergeCell ref="K5"/>
    <mergeCell ref="L5"/>
    <mergeCell ref="F4"/>
    <mergeCell ref="G4"/>
    <mergeCell ref="H4"/>
    <mergeCell ref="I4"/>
    <mergeCell ref="J4"/>
    <mergeCell ref="A4"/>
    <mergeCell ref="B4"/>
    <mergeCell ref="C4"/>
    <mergeCell ref="D4"/>
    <mergeCell ref="E4"/>
    <mergeCell ref="K23"/>
    <mergeCell ref="K21"/>
    <mergeCell ref="F22"/>
    <mergeCell ref="G22"/>
    <mergeCell ref="H22"/>
    <mergeCell ref="I22"/>
    <mergeCell ref="J22"/>
    <mergeCell ref="K22"/>
    <mergeCell ref="A21"/>
    <mergeCell ref="B21"/>
    <mergeCell ref="C21"/>
    <mergeCell ref="D21"/>
    <mergeCell ref="E21"/>
    <mergeCell ref="F21"/>
    <mergeCell ref="G21"/>
    <mergeCell ref="H21"/>
    <mergeCell ref="J23"/>
    <mergeCell ref="A23"/>
    <mergeCell ref="B23"/>
    <mergeCell ref="C23"/>
    <mergeCell ref="D23"/>
    <mergeCell ref="E23"/>
    <mergeCell ref="F23"/>
    <mergeCell ref="G23"/>
    <mergeCell ref="K2"/>
    <mergeCell ref="L2"/>
    <mergeCell ref="A3"/>
    <mergeCell ref="B3"/>
    <mergeCell ref="C3"/>
    <mergeCell ref="D3"/>
    <mergeCell ref="E3"/>
    <mergeCell ref="F3"/>
    <mergeCell ref="G3"/>
    <mergeCell ref="H3"/>
    <mergeCell ref="I3"/>
    <mergeCell ref="J3"/>
    <mergeCell ref="K3"/>
    <mergeCell ref="L3"/>
    <mergeCell ref="F2"/>
    <mergeCell ref="G2"/>
    <mergeCell ref="H2"/>
    <mergeCell ref="I2"/>
    <mergeCell ref="J2"/>
    <mergeCell ref="A2"/>
    <mergeCell ref="B2"/>
    <mergeCell ref="C2"/>
    <mergeCell ref="D2"/>
    <mergeCell ref="E2"/>
    <mergeCell ref="H23"/>
    <mergeCell ref="I23"/>
    <mergeCell ref="J21"/>
    <mergeCell ref="A22"/>
    <mergeCell ref="B22"/>
    <mergeCell ref="C22"/>
    <mergeCell ref="D22"/>
    <mergeCell ref="E22"/>
    <mergeCell ref="F19"/>
    <mergeCell ref="G19"/>
    <mergeCell ref="H19"/>
    <mergeCell ref="I19"/>
    <mergeCell ref="J17"/>
    <mergeCell ref="K17"/>
    <mergeCell ref="L17"/>
    <mergeCell ref="A18"/>
    <mergeCell ref="B18"/>
    <mergeCell ref="C18"/>
    <mergeCell ref="D18"/>
    <mergeCell ref="E18"/>
    <mergeCell ref="F18"/>
    <mergeCell ref="G18"/>
    <mergeCell ref="H18"/>
    <mergeCell ref="I18"/>
    <mergeCell ref="J18"/>
    <mergeCell ref="K18"/>
    <mergeCell ref="L18"/>
    <mergeCell ref="A17"/>
    <mergeCell ref="B17"/>
    <mergeCell ref="C17"/>
    <mergeCell ref="D17"/>
    <mergeCell ref="E17"/>
    <mergeCell ref="F17"/>
    <mergeCell ref="G17"/>
    <mergeCell ref="H17"/>
    <mergeCell ref="I17"/>
    <mergeCell ref="J15"/>
    <mergeCell ref="K15"/>
    <mergeCell ref="L15"/>
    <mergeCell ref="A16"/>
    <mergeCell ref="B16"/>
    <mergeCell ref="C16"/>
    <mergeCell ref="D16"/>
    <mergeCell ref="E16"/>
    <mergeCell ref="F16"/>
    <mergeCell ref="G16"/>
    <mergeCell ref="H16"/>
    <mergeCell ref="I16"/>
    <mergeCell ref="J16"/>
    <mergeCell ref="K16"/>
    <mergeCell ref="L16"/>
    <mergeCell ref="A15"/>
    <mergeCell ref="B15"/>
    <mergeCell ref="C15"/>
    <mergeCell ref="D15"/>
    <mergeCell ref="E15"/>
    <mergeCell ref="H15"/>
    <mergeCell ref="I15"/>
    <mergeCell ref="F15"/>
    <mergeCell ref="G15"/>
    <mergeCell ref="K13"/>
    <mergeCell ref="L13"/>
    <mergeCell ref="A14"/>
    <mergeCell ref="B14"/>
    <mergeCell ref="C14"/>
    <mergeCell ref="D14"/>
    <mergeCell ref="E14"/>
    <mergeCell ref="F14"/>
    <mergeCell ref="G14"/>
    <mergeCell ref="H14"/>
    <mergeCell ref="I14"/>
    <mergeCell ref="J14"/>
    <mergeCell ref="K14"/>
    <mergeCell ref="L14"/>
    <mergeCell ref="A13"/>
    <mergeCell ref="B13"/>
    <mergeCell ref="C13"/>
    <mergeCell ref="D13"/>
    <mergeCell ref="E13"/>
    <mergeCell ref="F13"/>
    <mergeCell ref="G13"/>
    <mergeCell ref="H13"/>
    <mergeCell ref="I13"/>
    <mergeCell ref="J13"/>
    <mergeCell ref="L11"/>
    <mergeCell ref="A12"/>
    <mergeCell ref="B12"/>
    <mergeCell ref="C12"/>
    <mergeCell ref="D12"/>
    <mergeCell ref="E12"/>
    <mergeCell ref="F12"/>
    <mergeCell ref="G12"/>
    <mergeCell ref="H12"/>
    <mergeCell ref="I12"/>
    <mergeCell ref="J12"/>
    <mergeCell ref="K12"/>
    <mergeCell ref="L12"/>
    <mergeCell ref="A11"/>
    <mergeCell ref="B11"/>
    <mergeCell ref="C11"/>
    <mergeCell ref="D11"/>
    <mergeCell ref="E11"/>
    <mergeCell ref="K11"/>
    <mergeCell ref="F11"/>
    <mergeCell ref="G11"/>
    <mergeCell ref="H11"/>
    <mergeCell ref="I11"/>
    <mergeCell ref="J11"/>
    <mergeCell ref="K10"/>
    <mergeCell ref="L10"/>
    <mergeCell ref="A9"/>
    <mergeCell ref="B9"/>
    <mergeCell ref="C9"/>
    <mergeCell ref="D9"/>
    <mergeCell ref="E9"/>
    <mergeCell ref="F9"/>
    <mergeCell ref="G9"/>
    <mergeCell ref="H9"/>
    <mergeCell ref="B10"/>
    <mergeCell ref="C10"/>
    <mergeCell ref="D10"/>
    <mergeCell ref="E10"/>
    <mergeCell ref="F10"/>
    <mergeCell ref="G10"/>
    <mergeCell ref="H10"/>
    <mergeCell ref="I10"/>
    <mergeCell ref="J10"/>
    <mergeCell ref="I9"/>
    <mergeCell ref="J9"/>
    <mergeCell ref="K9"/>
    <mergeCell ref="L9"/>
    <mergeCell ref="A10"/>
    <mergeCell ref="A28"/>
    <mergeCell ref="B28"/>
    <mergeCell ref="C28"/>
    <mergeCell ref="D28"/>
    <mergeCell ref="E28"/>
    <mergeCell ref="L28"/>
    <mergeCell ref="A29"/>
    <mergeCell ref="B29"/>
    <mergeCell ref="C29"/>
    <mergeCell ref="D29"/>
    <mergeCell ref="E29"/>
    <mergeCell ref="F29"/>
    <mergeCell ref="G29"/>
    <mergeCell ref="H29"/>
    <mergeCell ref="I29"/>
    <mergeCell ref="J29"/>
    <mergeCell ref="K29"/>
    <mergeCell ref="L29"/>
    <mergeCell ref="F28"/>
    <mergeCell ref="G28"/>
    <mergeCell ref="H28"/>
    <mergeCell ref="K28"/>
    <mergeCell ref="I28"/>
    <mergeCell ref="J28"/>
    <mergeCell ref="A26"/>
    <mergeCell ref="B26"/>
    <mergeCell ref="C26"/>
    <mergeCell ref="D26"/>
    <mergeCell ref="E26"/>
    <mergeCell ref="L26"/>
    <mergeCell ref="A27"/>
    <mergeCell ref="B27"/>
    <mergeCell ref="C27"/>
    <mergeCell ref="D27"/>
    <mergeCell ref="E27"/>
    <mergeCell ref="F27"/>
    <mergeCell ref="G27"/>
    <mergeCell ref="H27"/>
    <mergeCell ref="I27"/>
    <mergeCell ref="J27"/>
    <mergeCell ref="K27"/>
    <mergeCell ref="L27"/>
    <mergeCell ref="F26"/>
    <mergeCell ref="G26"/>
    <mergeCell ref="H26"/>
    <mergeCell ref="K26"/>
    <mergeCell ref="I26"/>
    <mergeCell ref="J26"/>
    <mergeCell ref="L34"/>
    <mergeCell ref="A35"/>
    <mergeCell ref="B35"/>
    <mergeCell ref="C35"/>
    <mergeCell ref="D35"/>
    <mergeCell ref="E35"/>
    <mergeCell ref="F35"/>
    <mergeCell ref="G35"/>
    <mergeCell ref="H35"/>
    <mergeCell ref="I35"/>
    <mergeCell ref="J35"/>
    <mergeCell ref="K35"/>
    <mergeCell ref="L35"/>
    <mergeCell ref="F34"/>
    <mergeCell ref="G34"/>
    <mergeCell ref="H34"/>
    <mergeCell ref="I34"/>
    <mergeCell ref="J34"/>
    <mergeCell ref="A34"/>
    <mergeCell ref="B34"/>
    <mergeCell ref="C34"/>
    <mergeCell ref="D34"/>
    <mergeCell ref="E34"/>
    <mergeCell ref="K34"/>
    <mergeCell ref="L32"/>
    <mergeCell ref="A33"/>
    <mergeCell ref="B33"/>
    <mergeCell ref="C33"/>
    <mergeCell ref="D33"/>
    <mergeCell ref="E33"/>
    <mergeCell ref="F33"/>
    <mergeCell ref="G33"/>
    <mergeCell ref="H33"/>
    <mergeCell ref="I33"/>
    <mergeCell ref="J33"/>
    <mergeCell ref="K33"/>
    <mergeCell ref="L33"/>
    <mergeCell ref="F32"/>
    <mergeCell ref="G32"/>
    <mergeCell ref="H32"/>
    <mergeCell ref="I32"/>
    <mergeCell ref="J32"/>
    <mergeCell ref="A32"/>
    <mergeCell ref="B32"/>
    <mergeCell ref="C32"/>
    <mergeCell ref="D32"/>
    <mergeCell ref="E32"/>
    <mergeCell ref="K32"/>
    <mergeCell ref="L30"/>
    <mergeCell ref="A31"/>
    <mergeCell ref="B31"/>
    <mergeCell ref="C31"/>
    <mergeCell ref="D31"/>
    <mergeCell ref="E31"/>
    <mergeCell ref="F31"/>
    <mergeCell ref="G31"/>
    <mergeCell ref="H31"/>
    <mergeCell ref="I31"/>
    <mergeCell ref="J31"/>
    <mergeCell ref="K31"/>
    <mergeCell ref="L31"/>
    <mergeCell ref="F30"/>
    <mergeCell ref="G30"/>
    <mergeCell ref="H30"/>
    <mergeCell ref="I30"/>
    <mergeCell ref="J30"/>
    <mergeCell ref="A30"/>
    <mergeCell ref="B30"/>
    <mergeCell ref="C30"/>
    <mergeCell ref="D30"/>
    <mergeCell ref="E30"/>
    <mergeCell ref="K30"/>
  </mergeCells>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L2" sqref="L2"/>
    </sheetView>
  </sheetViews>
  <sheetFormatPr defaultRowHeight="13.5"/>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
  <sheetViews>
    <sheetView workbookViewId="0">
      <selection activeCell="I4" sqref="I3:I4"/>
    </sheetView>
  </sheetViews>
  <sheetFormatPr defaultRowHeight="13.5"/>
  <cols>
    <col min="1" max="1" width="4.125" style="3466" customWidth="1"/>
    <col min="2" max="2" width="23.75" style="3466" customWidth="1"/>
    <col min="3" max="3" width="7.25" style="3466" customWidth="1"/>
    <col min="4" max="4" width="10.375" style="3466" customWidth="1"/>
    <col min="5" max="6" width="10.5" style="3466" bestFit="1" customWidth="1"/>
    <col min="7" max="9" width="12.75" style="3466" bestFit="1" customWidth="1"/>
    <col min="10" max="10" width="12.75" style="3466" customWidth="1"/>
    <col min="11" max="11" width="11.625" style="3466" bestFit="1" customWidth="1"/>
    <col min="12" max="12" width="45.875" style="3466" customWidth="1"/>
    <col min="13" max="16384" width="9" style="3466"/>
  </cols>
  <sheetData>
    <row r="1" spans="1:12" ht="27">
      <c r="A1" s="3465" t="s">
        <v>3621</v>
      </c>
      <c r="B1" s="3465" t="s">
        <v>3611</v>
      </c>
      <c r="C1" s="3465" t="s">
        <v>3615</v>
      </c>
      <c r="D1" s="3465" t="s">
        <v>3616</v>
      </c>
      <c r="E1" s="3465" t="s">
        <v>3612</v>
      </c>
      <c r="F1" s="3465" t="s">
        <v>3618</v>
      </c>
      <c r="G1" s="3465" t="s">
        <v>3619</v>
      </c>
      <c r="H1" s="3465" t="s">
        <v>3614</v>
      </c>
      <c r="I1" s="3465" t="s">
        <v>3620</v>
      </c>
      <c r="J1" s="3465"/>
      <c r="K1" s="3465" t="s">
        <v>3613</v>
      </c>
    </row>
    <row r="2" spans="1:12" ht="33.75" customHeight="1">
      <c r="A2" s="3466">
        <v>1</v>
      </c>
      <c r="B2" s="3465" t="s">
        <v>3610</v>
      </c>
      <c r="C2" s="3465" t="s">
        <v>3617</v>
      </c>
      <c r="D2" s="3465">
        <v>132.9</v>
      </c>
      <c r="E2" s="3466">
        <v>1134000</v>
      </c>
      <c r="F2" s="3466">
        <v>1499000</v>
      </c>
      <c r="G2" s="3466">
        <f>ROUND(F2/D2,0)</f>
        <v>11279</v>
      </c>
      <c r="H2" s="3466">
        <v>1620000</v>
      </c>
      <c r="I2" s="3466">
        <f>ROUND(H2/D2,0)</f>
        <v>12190</v>
      </c>
      <c r="J2" s="3466">
        <f>G2/I2</f>
        <v>0.92526661197703031</v>
      </c>
      <c r="K2" s="3467">
        <v>45258</v>
      </c>
      <c r="L2" s="3468" t="s">
        <v>3622</v>
      </c>
    </row>
    <row r="3" spans="1:12" ht="37.5" customHeight="1">
      <c r="A3" s="3466">
        <v>2</v>
      </c>
      <c r="B3" s="3465" t="s">
        <v>3623</v>
      </c>
      <c r="C3" s="3465" t="s">
        <v>3625</v>
      </c>
      <c r="D3" s="3466">
        <v>206.81</v>
      </c>
      <c r="E3" s="3466">
        <v>2854660.2</v>
      </c>
      <c r="F3" s="3466">
        <v>2914660.2</v>
      </c>
      <c r="G3" s="3466">
        <f>ROUND(F3/D3,0)</f>
        <v>14093</v>
      </c>
      <c r="H3" s="3466">
        <v>4078086</v>
      </c>
      <c r="I3" s="3466">
        <f>ROUND(H3/D3,0)</f>
        <v>19719</v>
      </c>
      <c r="J3" s="3466">
        <f t="shared" ref="J3:J9" si="0">G3/I3</f>
        <v>0.71469141437192552</v>
      </c>
      <c r="K3" s="3467">
        <v>44600</v>
      </c>
      <c r="L3" s="3468" t="s">
        <v>3624</v>
      </c>
    </row>
    <row r="4" spans="1:12" ht="46.5" customHeight="1">
      <c r="A4" s="3466">
        <v>3</v>
      </c>
      <c r="B4" s="3465" t="s">
        <v>3626</v>
      </c>
      <c r="C4" s="3465" t="s">
        <v>3625</v>
      </c>
      <c r="D4" s="3466">
        <v>1807.6</v>
      </c>
      <c r="E4" s="3466">
        <v>35000000</v>
      </c>
      <c r="F4" s="3466">
        <v>35000000</v>
      </c>
      <c r="G4" s="3466">
        <f t="shared" ref="G4:G10" si="1">ROUND(F4/D4,0)</f>
        <v>19363</v>
      </c>
      <c r="H4" s="3466">
        <v>38066000</v>
      </c>
      <c r="I4" s="3466">
        <f t="shared" ref="I4:I10" si="2">ROUND(H4/D4,0)</f>
        <v>21059</v>
      </c>
      <c r="J4" s="3466">
        <f t="shared" si="0"/>
        <v>0.91946436203048576</v>
      </c>
      <c r="K4" s="3467">
        <v>44395</v>
      </c>
      <c r="L4" s="3468" t="s">
        <v>3627</v>
      </c>
    </row>
    <row r="5" spans="1:12" ht="30.75" customHeight="1">
      <c r="A5" s="3466">
        <v>4</v>
      </c>
      <c r="B5" s="3465" t="s">
        <v>3628</v>
      </c>
      <c r="C5" s="3465" t="s">
        <v>3629</v>
      </c>
      <c r="D5" s="3466">
        <v>769.6</v>
      </c>
      <c r="E5" s="3466">
        <v>13150000</v>
      </c>
      <c r="F5" s="3466">
        <v>13150000</v>
      </c>
      <c r="G5" s="3466">
        <f t="shared" si="1"/>
        <v>17087</v>
      </c>
      <c r="H5" s="3466">
        <v>23465615.329999998</v>
      </c>
      <c r="I5" s="3466">
        <f t="shared" si="2"/>
        <v>30491</v>
      </c>
      <c r="K5" s="3469">
        <v>43993</v>
      </c>
      <c r="L5" s="3468" t="s">
        <v>3630</v>
      </c>
    </row>
    <row r="6" spans="1:12" ht="30.75" customHeight="1">
      <c r="A6" s="3466">
        <v>5</v>
      </c>
      <c r="B6" s="3465" t="s">
        <v>3639</v>
      </c>
      <c r="C6" s="3465" t="s">
        <v>3625</v>
      </c>
      <c r="D6" s="3466">
        <v>747</v>
      </c>
      <c r="E6" s="3466">
        <v>16279915</v>
      </c>
      <c r="F6" s="3466">
        <f>E6</f>
        <v>16279915</v>
      </c>
      <c r="G6" s="3466">
        <f t="shared" si="1"/>
        <v>21794</v>
      </c>
      <c r="H6" s="3466">
        <v>20349893</v>
      </c>
      <c r="I6" s="3466">
        <f t="shared" si="2"/>
        <v>27242</v>
      </c>
      <c r="K6" s="3469">
        <v>45139</v>
      </c>
      <c r="L6" s="3468" t="s">
        <v>3631</v>
      </c>
    </row>
    <row r="7" spans="1:12" ht="27">
      <c r="A7" s="3466">
        <v>6</v>
      </c>
      <c r="B7" s="3465" t="s">
        <v>3632</v>
      </c>
      <c r="C7" s="3465" t="s">
        <v>3625</v>
      </c>
      <c r="D7" s="3466">
        <v>753</v>
      </c>
      <c r="E7" s="3466">
        <f>E6</f>
        <v>16279915</v>
      </c>
      <c r="F7" s="3466">
        <f>E7</f>
        <v>16279915</v>
      </c>
      <c r="G7" s="3466">
        <f t="shared" si="1"/>
        <v>21620</v>
      </c>
      <c r="H7" s="3466">
        <f>H6</f>
        <v>20349893</v>
      </c>
      <c r="I7" s="3466">
        <f t="shared" si="2"/>
        <v>27025</v>
      </c>
      <c r="K7" s="3469">
        <v>45139</v>
      </c>
    </row>
    <row r="8" spans="1:12" ht="28.5" customHeight="1">
      <c r="A8" s="3466">
        <v>7</v>
      </c>
      <c r="B8" s="3465" t="s">
        <v>3633</v>
      </c>
      <c r="C8" s="3465" t="s">
        <v>3629</v>
      </c>
      <c r="D8" s="3466">
        <v>76.5</v>
      </c>
      <c r="E8" s="3466">
        <v>1190400</v>
      </c>
      <c r="F8" s="3466">
        <f>E8</f>
        <v>1190400</v>
      </c>
      <c r="G8" s="3466">
        <f t="shared" si="1"/>
        <v>15561</v>
      </c>
      <c r="H8" s="3466">
        <v>2120000</v>
      </c>
      <c r="I8" s="3466">
        <f t="shared" si="2"/>
        <v>27712</v>
      </c>
      <c r="K8" s="3469">
        <v>44607</v>
      </c>
      <c r="L8" s="3468" t="s">
        <v>3634</v>
      </c>
    </row>
    <row r="9" spans="1:12" s="3470" customFormat="1" ht="48.75" customHeight="1">
      <c r="A9" s="3470">
        <v>8</v>
      </c>
      <c r="B9" s="3470" t="s">
        <v>3635</v>
      </c>
      <c r="C9" s="3470" t="s">
        <v>3625</v>
      </c>
      <c r="D9" s="3470">
        <f>103.18+102.55+105.36+105.36+103.18</f>
        <v>519.63000000000011</v>
      </c>
      <c r="E9" s="3470">
        <v>8015000</v>
      </c>
      <c r="F9" s="3470">
        <f>E9</f>
        <v>8015000</v>
      </c>
      <c r="G9" s="3470">
        <f t="shared" si="1"/>
        <v>15424</v>
      </c>
      <c r="H9" s="3470">
        <v>11450000</v>
      </c>
      <c r="I9" s="3470">
        <f t="shared" si="2"/>
        <v>22035</v>
      </c>
      <c r="J9" s="3466">
        <f t="shared" si="0"/>
        <v>0.69997730882686637</v>
      </c>
      <c r="K9" s="3471">
        <v>45115</v>
      </c>
      <c r="L9" s="3472" t="s">
        <v>3636</v>
      </c>
    </row>
    <row r="10" spans="1:12" ht="54">
      <c r="A10" s="3466">
        <v>9</v>
      </c>
      <c r="B10" s="3465" t="s">
        <v>3637</v>
      </c>
      <c r="C10" s="3465" t="s">
        <v>3625</v>
      </c>
      <c r="D10" s="3466">
        <v>42.6</v>
      </c>
      <c r="E10" s="3466">
        <v>798890.4</v>
      </c>
      <c r="F10" s="3466">
        <f>E10</f>
        <v>798890.4</v>
      </c>
      <c r="G10" s="3466">
        <f t="shared" si="1"/>
        <v>18753</v>
      </c>
      <c r="H10" s="3466">
        <v>1426590</v>
      </c>
      <c r="I10" s="3466">
        <f t="shared" si="2"/>
        <v>33488</v>
      </c>
      <c r="K10" s="3469">
        <v>44827</v>
      </c>
      <c r="L10" s="3468" t="s">
        <v>3638</v>
      </c>
    </row>
  </sheetData>
  <phoneticPr fontId="134" type="noConversion"/>
  <hyperlinks>
    <hyperlink ref="L2" r:id="rId1"/>
    <hyperlink ref="L3" r:id="rId2"/>
    <hyperlink ref="L4" r:id="rId3"/>
    <hyperlink ref="L5" r:id="rId4"/>
    <hyperlink ref="L6" r:id="rId5"/>
    <hyperlink ref="L8" r:id="rId6"/>
    <hyperlink ref="L9" r:id="rId7"/>
    <hyperlink ref="L10" r:id="rId8"/>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21:R23"/>
  <sheetViews>
    <sheetView topLeftCell="B1" workbookViewId="0">
      <selection activeCell="Q23" sqref="Q23"/>
    </sheetView>
  </sheetViews>
  <sheetFormatPr defaultRowHeight="13.5"/>
  <cols>
    <col min="15" max="15" width="11.625" bestFit="1" customWidth="1"/>
  </cols>
  <sheetData>
    <row r="21" spans="15:18">
      <c r="O21">
        <v>24602527.52</v>
      </c>
      <c r="P21">
        <v>2259.85</v>
      </c>
      <c r="Q21">
        <f>O21/P21</f>
        <v>10886.796698895945</v>
      </c>
      <c r="R21">
        <f>Q21/16517</f>
        <v>0.65912676024071837</v>
      </c>
    </row>
    <row r="22" spans="15:18">
      <c r="P22">
        <v>1189.08</v>
      </c>
      <c r="R22">
        <f>18246*R21</f>
        <v>12026.426867352147</v>
      </c>
    </row>
    <row r="23" spans="15:18">
      <c r="P23">
        <v>1070.77</v>
      </c>
    </row>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topLeftCell="G40" zoomScale="80" zoomScaleNormal="70" zoomScaleSheetLayoutView="80" workbookViewId="0">
      <selection activeCell="F35" sqref="F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14.6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46.944000000000003</v>
      </c>
      <c r="C2" s="1387" t="s">
        <v>879</v>
      </c>
      <c r="D2" s="1471">
        <f ca="1">C40+J29+L46</f>
        <v>469440</v>
      </c>
      <c r="E2" s="1388" t="s">
        <v>880</v>
      </c>
      <c r="F2" s="1389"/>
      <c r="G2" s="2706"/>
      <c r="H2" s="2695"/>
      <c r="I2" s="2695"/>
      <c r="J2" s="2695"/>
      <c r="K2" s="2696"/>
      <c r="L2" s="2695"/>
      <c r="M2" s="2695"/>
    </row>
    <row r="3" spans="1:37" ht="18" customHeight="1" thickBot="1">
      <c r="A3" s="1390" t="s">
        <v>881</v>
      </c>
      <c r="B3" s="1391">
        <f ca="1">IF(ISERROR(D2/F43),0,ROUND(D2/F43,0))</f>
        <v>7109</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51074</v>
      </c>
      <c r="D5" s="1364" t="s">
        <v>889</v>
      </c>
      <c r="E5" s="1071"/>
      <c r="F5" s="1072"/>
      <c r="G5" s="1384"/>
      <c r="H5" s="299">
        <v>1</v>
      </c>
      <c r="I5" s="300" t="s">
        <v>888</v>
      </c>
      <c r="J5" s="1070">
        <f ca="1">J6+J10+J12</f>
        <v>0</v>
      </c>
      <c r="K5" s="1364" t="s">
        <v>889</v>
      </c>
      <c r="L5" s="1071"/>
      <c r="M5" s="1072"/>
    </row>
    <row r="6" spans="1:37" ht="18" customHeight="1">
      <c r="A6" s="1069" t="s">
        <v>398</v>
      </c>
      <c r="B6" s="3669" t="s">
        <v>694</v>
      </c>
      <c r="C6" s="1074">
        <f ca="1">ROUND(F6*F8*F7*(1-F9),0)</f>
        <v>51010</v>
      </c>
      <c r="D6" s="155" t="s">
        <v>2106</v>
      </c>
      <c r="E6" s="302" t="s">
        <v>696</v>
      </c>
      <c r="F6" s="303">
        <f ca="1">INDIRECT("'数据-取费表'!u"&amp;$G$1)</f>
        <v>2.4900000000000002</v>
      </c>
      <c r="G6" s="1384"/>
      <c r="H6" s="1069" t="s">
        <v>398</v>
      </c>
      <c r="I6" s="3669" t="s">
        <v>694</v>
      </c>
      <c r="J6" s="301">
        <f ca="1">ROUND(M6*M8*M7*(1-M9),0)</f>
        <v>0</v>
      </c>
      <c r="K6" s="1376" t="s">
        <v>2107</v>
      </c>
      <c r="L6" s="302" t="s">
        <v>696</v>
      </c>
      <c r="M6" s="303">
        <f ca="1">INDIRECT("'数据-取费表'!z"&amp;$G$1)</f>
        <v>0</v>
      </c>
    </row>
    <row r="7" spans="1:37" ht="18" customHeight="1">
      <c r="A7" s="1073"/>
      <c r="B7" s="3670"/>
      <c r="C7" s="1075"/>
      <c r="D7" s="307"/>
      <c r="E7" s="1076" t="s">
        <v>697</v>
      </c>
      <c r="F7" s="303">
        <f ca="1">IF(INDIRECT("'数据-取费表'!ah"&amp;$G$1)="",INDIRECT("'数据-取费表'!k"&amp;$G$1),INDIRECT("'数据-取费表'!ah"&amp;$G$1))</f>
        <v>66.03</v>
      </c>
      <c r="G7" s="1384"/>
      <c r="H7" s="304"/>
      <c r="I7" s="3670"/>
      <c r="J7" s="306"/>
      <c r="K7" s="307"/>
      <c r="L7" s="302" t="s">
        <v>697</v>
      </c>
      <c r="M7" s="303">
        <f ca="1">F7</f>
        <v>66.03</v>
      </c>
    </row>
    <row r="8" spans="1:37" ht="18" customHeight="1">
      <c r="A8" s="304"/>
      <c r="B8" s="3670"/>
      <c r="C8" s="306"/>
      <c r="D8" s="307"/>
      <c r="E8" s="302" t="s">
        <v>698</v>
      </c>
      <c r="F8" s="303">
        <f ca="1">INDIRECT("'数据-取费表'!ai"&amp;$G$1)</f>
        <v>365</v>
      </c>
      <c r="G8" s="1384"/>
      <c r="H8" s="304"/>
      <c r="I8" s="3670"/>
      <c r="J8" s="306"/>
      <c r="K8" s="307"/>
      <c r="L8" s="302" t="s">
        <v>698</v>
      </c>
      <c r="M8" s="303">
        <f ca="1">INDIRECT("'数据-取费表'!ai"&amp;$G$1)</f>
        <v>365</v>
      </c>
    </row>
    <row r="9" spans="1:37" ht="18" customHeight="1">
      <c r="A9" s="304"/>
      <c r="B9" s="3671"/>
      <c r="C9" s="306"/>
      <c r="D9" s="307"/>
      <c r="E9" s="302" t="s">
        <v>699</v>
      </c>
      <c r="F9" s="312">
        <f ca="1">INDIRECT("'数据-取费表'!w"&amp;$G$1)</f>
        <v>0.15</v>
      </c>
      <c r="G9" s="1384"/>
      <c r="H9" s="304"/>
      <c r="I9" s="3671"/>
      <c r="J9" s="306"/>
      <c r="K9" s="307"/>
      <c r="L9" s="313" t="s">
        <v>699</v>
      </c>
      <c r="M9" s="314">
        <f ca="1">INDIRECT("'数据-取费表'!ab"&amp;$G$1)</f>
        <v>0</v>
      </c>
    </row>
    <row r="10" spans="1:37" ht="18" customHeight="1">
      <c r="A10" s="1069" t="s">
        <v>402</v>
      </c>
      <c r="B10" s="1365" t="s">
        <v>700</v>
      </c>
      <c r="C10" s="316">
        <f ca="1">ROUND(IF(F10="押一",C6/12*F11,IF(F10="押二",C6/12*2*F11,IF(F10="押三",C6/12*3*F11,C11*F11))),0)</f>
        <v>64</v>
      </c>
      <c r="D10" s="1366" t="s">
        <v>2116</v>
      </c>
      <c r="E10" s="313" t="s">
        <v>701</v>
      </c>
      <c r="F10" s="1116" t="s">
        <v>3650</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257349</v>
      </c>
      <c r="D13" s="1081" t="s">
        <v>705</v>
      </c>
      <c r="E13" s="1081" t="s">
        <v>706</v>
      </c>
      <c r="F13" s="1082">
        <f ca="1">INDIRECT("'数据-取费表'!y"&amp;$G$1)</f>
        <v>0.65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264120</v>
      </c>
      <c r="D14" s="1345" t="s">
        <v>708</v>
      </c>
      <c r="E14" s="1342"/>
      <c r="F14" s="319"/>
      <c r="G14" s="1384"/>
      <c r="H14" s="982" t="s">
        <v>398</v>
      </c>
      <c r="I14" s="302" t="s">
        <v>709</v>
      </c>
      <c r="J14" s="21">
        <f ca="1">C29</f>
        <v>395922</v>
      </c>
      <c r="K14" s="12"/>
      <c r="L14" s="807"/>
      <c r="M14" s="808"/>
    </row>
    <row r="15" spans="1:37" s="1397" customFormat="1" ht="18" customHeight="1" thickBot="1">
      <c r="A15" s="982" t="s">
        <v>399</v>
      </c>
      <c r="B15" s="302" t="s">
        <v>710</v>
      </c>
      <c r="C15" s="21">
        <f ca="1">ROUND(C14*F15,0)</f>
        <v>13206</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5989</v>
      </c>
      <c r="K16" s="1087" t="s">
        <v>715</v>
      </c>
      <c r="L16" s="1088"/>
      <c r="M16" s="1072"/>
    </row>
    <row r="17" spans="1:37" s="1397" customFormat="1" ht="18" customHeight="1">
      <c r="A17" s="982" t="s">
        <v>681</v>
      </c>
      <c r="B17" s="302" t="s">
        <v>716</v>
      </c>
      <c r="C17" s="21">
        <f ca="1">ROUND(F17*(F43+INDIRECT("'数据-取费表'!S"&amp;$G$1)),0)</f>
        <v>13206</v>
      </c>
      <c r="D17" s="302" t="s">
        <v>717</v>
      </c>
      <c r="E17" s="302" t="s">
        <v>718</v>
      </c>
      <c r="F17" s="23">
        <f>'数据-取费表'!B35</f>
        <v>200</v>
      </c>
      <c r="G17" s="1396"/>
      <c r="H17" s="982" t="s">
        <v>398</v>
      </c>
      <c r="I17" s="302" t="s">
        <v>719</v>
      </c>
      <c r="J17" s="2316">
        <f ca="1">ROUND(IF(AND(项目基本情况!B11="自然人",项目基本情况!B10="北京市"),J6*M17/(1+'数据-取费表'!C42),J18+J19+J20),0)</f>
        <v>50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3962</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294494</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5890</v>
      </c>
      <c r="D20" s="323" t="s">
        <v>729</v>
      </c>
      <c r="E20" s="302" t="s">
        <v>712</v>
      </c>
      <c r="F20" s="322">
        <f>'数据-取费表'!B37</f>
        <v>0.02</v>
      </c>
      <c r="G20" s="1396"/>
      <c r="H20" s="982" t="s">
        <v>680</v>
      </c>
      <c r="I20" s="155" t="s">
        <v>730</v>
      </c>
      <c r="J20" s="22">
        <f ca="1">ROUND(M20*M21,0)</f>
        <v>50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0.05</v>
      </c>
      <c r="G21" s="1396"/>
      <c r="H21" s="326"/>
      <c r="I21" s="311"/>
      <c r="J21" s="26"/>
      <c r="K21" s="327"/>
      <c r="L21" s="302" t="s">
        <v>736</v>
      </c>
      <c r="M21" s="303">
        <f ca="1">INDIRECT("'数据-取费表'!r"&amp;$G$1)</f>
        <v>33.020000000000003</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5939</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6533</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1.1000000000000001E-3</v>
      </c>
      <c r="D24" s="329" t="str">
        <f>IF(F23&lt;=1,"销售费用×利率×(建设周期÷2)","销售费用×((1+利率)^(建设周期÷2)-1)")</f>
        <v>销售费用×利率×(建设周期÷2)</v>
      </c>
      <c r="E24" s="302" t="s">
        <v>747</v>
      </c>
      <c r="F24" s="331">
        <f ca="1">'数据-取费表'!B40</f>
        <v>4.3500000000000004E-2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-5989</v>
      </c>
      <c r="K25" s="1095" t="s">
        <v>753</v>
      </c>
      <c r="L25" s="1096"/>
      <c r="M25" s="1097"/>
    </row>
    <row r="26" spans="1:37" ht="18" customHeight="1">
      <c r="A26" s="982" t="s">
        <v>397</v>
      </c>
      <c r="B26" s="302" t="s">
        <v>754</v>
      </c>
      <c r="C26" s="21">
        <f ca="1">ROUND((C19+C20)*F26,0)</f>
        <v>45058</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7.4999999999999997E-3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395922</v>
      </c>
      <c r="D29" s="1092"/>
      <c r="E29" s="1090"/>
      <c r="F29" s="1093"/>
      <c r="G29" s="1396"/>
      <c r="H29" s="334" t="s">
        <v>396</v>
      </c>
      <c r="I29" s="335" t="s">
        <v>768</v>
      </c>
      <c r="J29" s="336">
        <f ca="1">ROUND(J26/(1+F40)^F41,0)</f>
        <v>0</v>
      </c>
      <c r="K29" s="337" t="s">
        <v>769</v>
      </c>
      <c r="L29" s="338"/>
      <c r="M29" s="339">
        <f ca="1">INDIRECT("'数据-取费表'!k"&amp;$G$1)</f>
        <v>66.03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15388</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8552</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IF(项目基本情况!B11="自然人","——",ROUND(C6*F32/(1+'数据-取费表'!C42),0))</f>
        <v>2672</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5830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50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33.020000000000003</v>
      </c>
      <c r="G35" s="1384"/>
      <c r="H35" s="2697"/>
      <c r="I35" s="1398"/>
      <c r="J35" s="1399"/>
      <c r="K35" s="2701"/>
      <c r="L35" s="2700"/>
      <c r="M35" s="2700"/>
    </row>
    <row r="36" spans="1:18" ht="18" customHeight="1">
      <c r="A36" s="1102" t="s">
        <v>402</v>
      </c>
      <c r="B36" s="302" t="s">
        <v>738</v>
      </c>
      <c r="C36" s="21">
        <f ca="1">ROUND(C29*F36,0)</f>
        <v>5939</v>
      </c>
      <c r="D36" s="1344" t="s">
        <v>771</v>
      </c>
      <c r="E36" s="302" t="s">
        <v>712</v>
      </c>
      <c r="F36" s="328">
        <f ca="1">INDIRECT("'数据-取费表'!Ak"&amp;$G$1)</f>
        <v>1.4999999999999999E-2</v>
      </c>
      <c r="G36" s="1384"/>
      <c r="H36" s="2700"/>
      <c r="I36" s="1398"/>
      <c r="J36" s="1399"/>
      <c r="K36" s="2544"/>
      <c r="L36" s="2700"/>
      <c r="M36" s="2700"/>
    </row>
    <row r="37" spans="1:18" ht="18" customHeight="1">
      <c r="A37" s="982" t="s">
        <v>437</v>
      </c>
      <c r="B37" s="302" t="s">
        <v>742</v>
      </c>
      <c r="C37" s="21">
        <f ca="1">ROUND(C13*F37,0)</f>
        <v>386</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511</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35686</v>
      </c>
      <c r="D39" s="1095" t="s">
        <v>773</v>
      </c>
      <c r="E39" s="1096"/>
      <c r="F39" s="1097"/>
      <c r="G39" s="1384"/>
      <c r="H39" s="2700"/>
      <c r="I39" s="1398"/>
      <c r="J39" s="1399"/>
      <c r="K39" s="2704"/>
      <c r="L39" s="2700"/>
      <c r="M39" s="2700"/>
    </row>
    <row r="40" spans="1:18" ht="18" customHeight="1">
      <c r="A40" s="299" t="s">
        <v>395</v>
      </c>
      <c r="B40" s="300" t="s">
        <v>774</v>
      </c>
      <c r="C40" s="301">
        <f ca="1">ROUND(C39*(1-((1+F42)/(1+F40))^F41)/(F40-F42),0)</f>
        <v>410465</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14.6</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6216</v>
      </c>
      <c r="D43" s="337" t="s">
        <v>777</v>
      </c>
      <c r="E43" s="338" t="s">
        <v>778</v>
      </c>
      <c r="F43" s="339">
        <f ca="1">INDIRECT("'数据-取费表'!k"&amp;$G$1)</f>
        <v>66.03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f ca="1">ROUND((C68-C40)/10000,4)</f>
        <v>-47.542700000000004</v>
      </c>
      <c r="D45" s="3432" t="s">
        <v>3353</v>
      </c>
      <c r="E45" s="1400"/>
      <c r="F45" s="1400"/>
      <c r="O45" s="1403" t="s">
        <v>808</v>
      </c>
      <c r="P45" s="1461"/>
      <c r="Q45" s="1461"/>
      <c r="R45" s="1461"/>
    </row>
    <row r="46" spans="1:18" s="1384" customFormat="1" ht="13.5" thickBot="1">
      <c r="A46" s="1404" t="s">
        <v>809</v>
      </c>
      <c r="C46" s="1405">
        <f ca="1">ROUND(C45,0)</f>
        <v>-48</v>
      </c>
      <c r="D46" s="1406" t="str">
        <f>C2</f>
        <v>万元</v>
      </c>
      <c r="I46" s="1407" t="s">
        <v>810</v>
      </c>
      <c r="J46" s="1408"/>
      <c r="K46" s="1409"/>
      <c r="L46" s="1410">
        <f ca="1">IF(M47="住宅",0,IF(L48&gt;J51,L60,J60))</f>
        <v>58975</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3651</v>
      </c>
      <c r="K47" s="1416" t="s">
        <v>816</v>
      </c>
      <c r="L47" s="1417">
        <f ca="1">INDIRECT("'数据-取费表'!d"&amp;$G$1)</f>
        <v>50</v>
      </c>
      <c r="M47" s="1380" t="str">
        <f>IF(ISNUMBER(FIND("住宅",C1)),"住宅","非住宅")</f>
        <v>非住宅</v>
      </c>
      <c r="O47" s="1418" t="s">
        <v>403</v>
      </c>
      <c r="P47" s="1419" t="s">
        <v>817</v>
      </c>
      <c r="Q47" s="1420">
        <f ca="1">C40+J29</f>
        <v>410465</v>
      </c>
      <c r="R47" s="1420" t="s">
        <v>818</v>
      </c>
    </row>
    <row r="48" spans="1:18" s="1384" customFormat="1" ht="28.5" thickBot="1">
      <c r="A48" s="1110" t="s">
        <v>438</v>
      </c>
      <c r="B48" s="300" t="s">
        <v>692</v>
      </c>
      <c r="C48" s="1359">
        <f ca="1">C49+C53+C55</f>
        <v>0</v>
      </c>
      <c r="D48" s="1112"/>
      <c r="E48" s="1113"/>
      <c r="F48" s="962"/>
      <c r="G48" s="722"/>
      <c r="H48" s="723"/>
      <c r="I48" s="1421" t="s">
        <v>819</v>
      </c>
      <c r="J48" s="1422" t="s">
        <v>3573</v>
      </c>
      <c r="K48" s="1423" t="s">
        <v>820</v>
      </c>
      <c r="L48" s="1424">
        <f ca="1">INDIRECT("'数据-取费表'!f"&amp;$G$1)</f>
        <v>14.6</v>
      </c>
      <c r="O48" s="1418" t="s">
        <v>404</v>
      </c>
      <c r="P48" s="1419" t="s">
        <v>821</v>
      </c>
      <c r="Q48" s="1420">
        <f ca="1">J60</f>
        <v>58975</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1998</v>
      </c>
      <c r="K49" s="1423" t="s">
        <v>824</v>
      </c>
      <c r="L49" s="1427"/>
      <c r="O49" s="1428" t="s">
        <v>405</v>
      </c>
      <c r="P49" s="1419" t="s">
        <v>825</v>
      </c>
      <c r="Q49" s="1420">
        <f ca="1">C29</f>
        <v>395922</v>
      </c>
      <c r="R49" s="1420" t="s">
        <v>818</v>
      </c>
    </row>
    <row r="50" spans="1:18" s="1384" customFormat="1" ht="13.5" thickBot="1">
      <c r="A50" s="976"/>
      <c r="B50" s="979"/>
      <c r="C50" s="980"/>
      <c r="D50" s="953"/>
      <c r="E50" s="1056" t="s">
        <v>697</v>
      </c>
      <c r="F50" s="1057">
        <f ca="1">F7</f>
        <v>66.03</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25</v>
      </c>
      <c r="K51" s="1434" t="s">
        <v>830</v>
      </c>
      <c r="L51" s="1435">
        <f ca="1">ROUND(-PV(INDIRECT("'数据-取费表'!h"&amp;$G$1),J51,(C39-C13*C76),0),0)</f>
        <v>312462</v>
      </c>
      <c r="M51" s="1436"/>
      <c r="O51" s="1428" t="s">
        <v>407</v>
      </c>
      <c r="P51" s="1419" t="s">
        <v>831</v>
      </c>
      <c r="Q51" s="1431">
        <f>J52</f>
        <v>7.0000000000000007E-2</v>
      </c>
      <c r="R51" s="1420"/>
    </row>
    <row r="52" spans="1:18" s="1384" customFormat="1" ht="13.5" thickBot="1">
      <c r="A52" s="977"/>
      <c r="B52" s="979"/>
      <c r="C52" s="980"/>
      <c r="D52" s="953"/>
      <c r="E52" s="981" t="s">
        <v>699</v>
      </c>
      <c r="F52" s="1054"/>
      <c r="I52" s="1437" t="s">
        <v>832</v>
      </c>
      <c r="J52" s="1438">
        <v>7.0000000000000007E-2</v>
      </c>
      <c r="K52" s="1437" t="s">
        <v>833</v>
      </c>
      <c r="L52" s="1438">
        <v>0.04</v>
      </c>
      <c r="O52" s="1428" t="s">
        <v>408</v>
      </c>
      <c r="P52" s="1419" t="s">
        <v>834</v>
      </c>
      <c r="Q52" s="1420">
        <f ca="1">J53</f>
        <v>14.6</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14.6</v>
      </c>
      <c r="K53" s="3667" t="s">
        <v>837</v>
      </c>
      <c r="L53" s="3668"/>
      <c r="O53" s="1418" t="s">
        <v>409</v>
      </c>
      <c r="P53" s="1419" t="s">
        <v>838</v>
      </c>
      <c r="Q53" s="1420">
        <f ca="1">Q47+Q48</f>
        <v>469440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0.224</v>
      </c>
      <c r="K55" s="1445" t="s">
        <v>841</v>
      </c>
      <c r="L55" s="1446" t="s">
        <v>3585</v>
      </c>
      <c r="O55" s="1411" t="s">
        <v>811</v>
      </c>
      <c r="P55" s="1412" t="s">
        <v>812</v>
      </c>
      <c r="Q55" s="1413" t="s">
        <v>813</v>
      </c>
      <c r="R55" s="1413" t="s">
        <v>814</v>
      </c>
    </row>
    <row r="56" spans="1:18" s="1384" customFormat="1" ht="36" customHeight="1" thickTop="1" thickBot="1">
      <c r="A56" s="957">
        <v>2</v>
      </c>
      <c r="B56" s="958" t="s">
        <v>704</v>
      </c>
      <c r="C56" s="232">
        <f ca="1">C13</f>
        <v>257349</v>
      </c>
      <c r="D56" s="1447"/>
      <c r="E56" s="1448"/>
      <c r="F56" s="1440"/>
      <c r="I56" s="1449" t="s">
        <v>842</v>
      </c>
      <c r="J56" s="1450" t="s">
        <v>3574</v>
      </c>
      <c r="K56" s="1421" t="s">
        <v>843</v>
      </c>
      <c r="L56" s="1424" t="str">
        <f ca="1">IF(L48&lt;J51,"——",L48-J51)</f>
        <v>——</v>
      </c>
      <c r="O56" s="1418" t="s">
        <v>403</v>
      </c>
      <c r="P56" s="1419" t="s">
        <v>817</v>
      </c>
      <c r="Q56" s="1420">
        <f ca="1">C40+J29</f>
        <v>410465</v>
      </c>
      <c r="R56" s="1420" t="s">
        <v>818</v>
      </c>
    </row>
    <row r="57" spans="1:18" s="1384" customFormat="1" ht="24.75" thickBot="1">
      <c r="A57" s="1451"/>
      <c r="B57" s="950" t="s">
        <v>767</v>
      </c>
      <c r="C57" s="238">
        <f ca="1">C29</f>
        <v>395922</v>
      </c>
      <c r="D57" s="1452"/>
      <c r="E57" s="1453"/>
      <c r="F57" s="1454"/>
      <c r="I57" s="1455" t="s">
        <v>844</v>
      </c>
      <c r="J57" s="1456">
        <f ca="1">IF(OR(M47="住宅",J51&lt;L48,J56="是"),"——",J51-L48)</f>
        <v>10.4</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6375</v>
      </c>
      <c r="D58" s="960" t="s">
        <v>715</v>
      </c>
      <c r="E58" s="961"/>
      <c r="F58" s="962"/>
      <c r="I58" s="1455" t="s">
        <v>848</v>
      </c>
      <c r="J58" s="1457">
        <f ca="1">IF(J55&lt;0.4,0.4,J55)</f>
        <v>0.4</v>
      </c>
      <c r="K58" s="1434" t="s">
        <v>895</v>
      </c>
      <c r="L58" s="1424">
        <f ca="1">ROUND(POWER(1+L52,L47-L48)*(POWER(1+L52,L48)-1)/(POWER(1+L52,L47)-1),4)</f>
        <v>0.50729999999999997</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50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158369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0.72719999999999996</v>
      </c>
      <c r="M59" s="1381">
        <f ca="1">ROUND(POWER(1+L52,L47-(J51+'数据-取费表'!B24))*(POWER(1+L52,(J51+'数据-取费表'!B24))-1)/(POWER(1+L52,L47)-1),4)</f>
        <v>0.72719999999999996</v>
      </c>
      <c r="N59" s="1381">
        <f ca="1">ROUND(POWER(1+L52,L47-(J51+'数据-取费表'!B20))*(POWER(1+L52,(J51+'数据-取费表'!B20))-1)/(POWER(1+L52,L47)-1),4)</f>
        <v>0.74399999999999999</v>
      </c>
      <c r="O59" s="1428" t="s">
        <v>406</v>
      </c>
      <c r="P59" s="1419" t="s">
        <v>852</v>
      </c>
      <c r="Q59" s="1431">
        <f>L52</f>
        <v>0.04</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58975</v>
      </c>
      <c r="K60" s="1460" t="s">
        <v>854</v>
      </c>
      <c r="L60" s="1459">
        <f ca="1">IF(OR(M47="住宅",L48&lt;J51),0,ROUND(L57*(L58/L59-1),0))</f>
        <v>0</v>
      </c>
      <c r="O60" s="1428" t="s">
        <v>407</v>
      </c>
      <c r="P60" s="1419" t="s">
        <v>855</v>
      </c>
      <c r="Q60" s="1420">
        <f ca="1">L58</f>
        <v>0.50729999999999997</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f ca="1">L59</f>
        <v>0.72719999999999996</v>
      </c>
      <c r="R61" s="1420" t="s">
        <v>857</v>
      </c>
    </row>
    <row r="62" spans="1:18" s="1384" customFormat="1" ht="13.5" thickBot="1">
      <c r="A62" s="982" t="s">
        <v>784</v>
      </c>
      <c r="B62" s="949" t="s">
        <v>785</v>
      </c>
      <c r="C62" s="22">
        <f ca="1">IF(项目基本情况!B11="自然人","——",ROUND(F62*F63,0))</f>
        <v>50</v>
      </c>
      <c r="D62" s="965" t="s">
        <v>786</v>
      </c>
      <c r="E62" s="950" t="s">
        <v>787</v>
      </c>
      <c r="F62" s="325">
        <f t="shared" si="0"/>
        <v>1.5</v>
      </c>
      <c r="I62" s="1462" t="s">
        <v>858</v>
      </c>
      <c r="J62" s="1463" t="s">
        <v>859</v>
      </c>
      <c r="K62" s="1463" t="s">
        <v>860</v>
      </c>
      <c r="L62" s="1463" t="s">
        <v>861</v>
      </c>
      <c r="M62" s="1464" t="s">
        <v>862</v>
      </c>
      <c r="O62" s="1418" t="s">
        <v>409</v>
      </c>
      <c r="P62" s="1419" t="s">
        <v>863</v>
      </c>
      <c r="Q62" s="1420">
        <f ca="1">Q56+Q57</f>
        <v>410465</v>
      </c>
      <c r="R62" s="1420" t="s">
        <v>410</v>
      </c>
    </row>
    <row r="63" spans="1:18" s="1384" customFormat="1" ht="13.5" thickBot="1">
      <c r="A63" s="326"/>
      <c r="B63" s="956"/>
      <c r="C63" s="26"/>
      <c r="D63" s="966"/>
      <c r="E63" s="950" t="s">
        <v>788</v>
      </c>
      <c r="F63" s="303">
        <f t="shared" ca="1" si="0"/>
        <v>33.020000000000003</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5939</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386</v>
      </c>
      <c r="D65" s="964" t="s">
        <v>743</v>
      </c>
      <c r="E65" s="950" t="s">
        <v>744</v>
      </c>
      <c r="F65" s="330">
        <f t="shared" ca="1" si="0"/>
        <v>1.5E-3</v>
      </c>
      <c r="I65" s="1462" t="s">
        <v>867</v>
      </c>
      <c r="J65" s="1463">
        <v>40</v>
      </c>
      <c r="K65" s="1463">
        <v>30</v>
      </c>
      <c r="L65" s="1463">
        <v>50</v>
      </c>
      <c r="M65" s="1465">
        <v>0.02</v>
      </c>
      <c r="O65" s="1418" t="s">
        <v>403</v>
      </c>
      <c r="P65" s="1419" t="s">
        <v>868</v>
      </c>
      <c r="Q65" s="1420">
        <f ca="1">C40+J29</f>
        <v>410465</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-6375</v>
      </c>
      <c r="D67" s="963" t="s">
        <v>753</v>
      </c>
      <c r="E67" s="968"/>
      <c r="F67" s="969"/>
      <c r="O67" s="1428" t="s">
        <v>405</v>
      </c>
      <c r="P67" s="1419" t="s">
        <v>850</v>
      </c>
      <c r="Q67" s="1466">
        <f ca="1">L51</f>
        <v>312462</v>
      </c>
      <c r="R67" s="1420" t="s">
        <v>870</v>
      </c>
    </row>
    <row r="68" spans="1:18" s="1384" customFormat="1" ht="16.5" thickBot="1">
      <c r="A68" s="947" t="s">
        <v>395</v>
      </c>
      <c r="B68" s="948" t="s">
        <v>774</v>
      </c>
      <c r="C68" s="301">
        <f ca="1">ROUND(C67*(1-((1+F70)/(1+F68))^F69)/(F68-F70),0)</f>
        <v>-64962</v>
      </c>
      <c r="D68" s="965" t="s">
        <v>758</v>
      </c>
      <c r="E68" s="950" t="s">
        <v>759</v>
      </c>
      <c r="F68" s="312">
        <f ca="1">F40</f>
        <v>0.05</v>
      </c>
      <c r="O68" s="1428" t="s">
        <v>406</v>
      </c>
      <c r="P68" s="1467" t="s">
        <v>871</v>
      </c>
      <c r="Q68" s="1420">
        <f ca="1">ROUND(Q69-Q70*Q71,0)</f>
        <v>18958</v>
      </c>
      <c r="R68" s="1420" t="s">
        <v>414</v>
      </c>
    </row>
    <row r="69" spans="1:18" s="1384" customFormat="1" ht="13.5" thickBot="1">
      <c r="A69" s="951"/>
      <c r="B69" s="952"/>
      <c r="C69" s="306"/>
      <c r="D69" s="970" t="s">
        <v>762</v>
      </c>
      <c r="E69" s="950" t="s">
        <v>763</v>
      </c>
      <c r="F69" s="333">
        <f ca="1">F41</f>
        <v>14.6</v>
      </c>
      <c r="O69" s="1428" t="s">
        <v>411</v>
      </c>
      <c r="P69" s="1467" t="s">
        <v>872</v>
      </c>
      <c r="Q69" s="1420">
        <f ca="1">C39</f>
        <v>35686</v>
      </c>
      <c r="R69" s="1420" t="s">
        <v>818</v>
      </c>
    </row>
    <row r="70" spans="1:18" s="1384" customFormat="1" ht="13.5" thickBot="1">
      <c r="A70" s="954"/>
      <c r="B70" s="955"/>
      <c r="C70" s="310"/>
      <c r="D70" s="966"/>
      <c r="E70" s="950" t="s">
        <v>766</v>
      </c>
      <c r="F70" s="1054"/>
      <c r="O70" s="1428" t="s">
        <v>412</v>
      </c>
      <c r="P70" s="1467" t="s">
        <v>873</v>
      </c>
      <c r="Q70" s="1420">
        <f ca="1">C13</f>
        <v>257349</v>
      </c>
      <c r="R70" s="1420" t="s">
        <v>818</v>
      </c>
    </row>
    <row r="71" spans="1:18" s="1384" customFormat="1" ht="13.5" thickBot="1">
      <c r="A71" s="971" t="s">
        <v>396</v>
      </c>
      <c r="B71" s="972" t="s">
        <v>776</v>
      </c>
      <c r="C71" s="336">
        <f ca="1">ROUND(C68/F71,0)</f>
        <v>-984</v>
      </c>
      <c r="D71" s="973" t="s">
        <v>777</v>
      </c>
      <c r="E71" s="974" t="s">
        <v>778</v>
      </c>
      <c r="F71" s="339">
        <f ca="1">F43</f>
        <v>66.03</v>
      </c>
      <c r="O71" s="1428" t="s">
        <v>413</v>
      </c>
      <c r="P71" s="1467" t="s">
        <v>874</v>
      </c>
      <c r="Q71" s="1431">
        <f ca="1">C76</f>
        <v>6.5000000000000002E-2</v>
      </c>
      <c r="R71" s="1420"/>
    </row>
    <row r="72" spans="1:18" s="1384" customFormat="1" ht="13.5" thickBot="1">
      <c r="B72" s="726"/>
      <c r="C72" s="726"/>
      <c r="O72" s="1428" t="s">
        <v>407</v>
      </c>
      <c r="P72" s="1419" t="s">
        <v>852</v>
      </c>
      <c r="Q72" s="1431">
        <f>L52</f>
        <v>0.04</v>
      </c>
      <c r="R72" s="1420"/>
    </row>
    <row r="73" spans="1:18" ht="16.5" thickBot="1">
      <c r="A73" s="1384"/>
      <c r="B73" s="726"/>
      <c r="C73" s="726"/>
      <c r="D73" s="1384"/>
      <c r="E73" s="1384"/>
      <c r="F73" s="1384"/>
      <c r="O73" s="1428" t="s">
        <v>408</v>
      </c>
      <c r="P73" s="1419" t="s">
        <v>855</v>
      </c>
      <c r="Q73" s="1420">
        <f ca="1">L58</f>
        <v>0.50729999999999997</v>
      </c>
      <c r="R73" s="1420" t="s">
        <v>856</v>
      </c>
    </row>
    <row r="74" spans="1:18" ht="13.5" thickBot="1">
      <c r="A74" s="1384"/>
      <c r="B74" s="273" t="s">
        <v>875</v>
      </c>
      <c r="C74" s="1469"/>
      <c r="D74" s="1384"/>
      <c r="E74" s="1384"/>
      <c r="F74" s="1384"/>
      <c r="O74" s="1428" t="s">
        <v>415</v>
      </c>
      <c r="P74" s="1419" t="str">
        <f>K59</f>
        <v>建筑物剩余耐用年限下的土地年期修正系数Kn</v>
      </c>
      <c r="Q74" s="1420">
        <f ca="1">L59</f>
        <v>0.72719999999999996</v>
      </c>
      <c r="R74" s="1420" t="s">
        <v>857</v>
      </c>
    </row>
    <row r="75" spans="1:18" ht="13.5" thickBot="1">
      <c r="A75" s="1384"/>
      <c r="B75" s="340" t="s">
        <v>795</v>
      </c>
      <c r="C75" s="341">
        <f ca="1">ROUND(C13*C76,0)</f>
        <v>16728</v>
      </c>
      <c r="D75" s="1384"/>
      <c r="E75" s="1384"/>
      <c r="F75" s="1384"/>
      <c r="K75" s="1402"/>
      <c r="L75" s="1384"/>
      <c r="O75" s="1418" t="s">
        <v>409</v>
      </c>
      <c r="P75" s="1419" t="s">
        <v>838</v>
      </c>
      <c r="Q75" s="1420">
        <f ca="1">Q65+Q66</f>
        <v>410465</v>
      </c>
      <c r="R75" s="1420" t="s">
        <v>410</v>
      </c>
    </row>
    <row r="76" spans="1:18">
      <c r="B76" s="342" t="s">
        <v>796</v>
      </c>
      <c r="C76" s="343">
        <f ca="1">INDIRECT("'数据-取费表'!j"&amp;$G$1)</f>
        <v>6.5000000000000002E-2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0.53100000000000003</v>
      </c>
    </row>
    <row r="80" spans="1:18">
      <c r="B80" s="340" t="s">
        <v>800</v>
      </c>
      <c r="C80" s="274">
        <f ca="1">ROUND(C75/C39,3)</f>
        <v>0.46899999999999997</v>
      </c>
    </row>
    <row r="81" spans="2:3">
      <c r="B81" s="270" t="s">
        <v>801</v>
      </c>
      <c r="C81" s="238"/>
    </row>
    <row r="82" spans="2:3">
      <c r="B82" s="273" t="s">
        <v>802</v>
      </c>
      <c r="C82" s="275">
        <f ca="1">1-C83</f>
        <v>0.373</v>
      </c>
    </row>
    <row r="83" spans="2:3">
      <c r="B83" s="273" t="s">
        <v>803</v>
      </c>
      <c r="C83" s="274">
        <f ca="1">ROUND(C13/C40,3)</f>
        <v>0.627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30" priority="4">
      <formula>$L$48&gt;$J$51</formula>
    </cfRule>
  </conditionalFormatting>
  <conditionalFormatting sqref="I55 I60">
    <cfRule type="expression" dxfId="29" priority="5">
      <formula>$J$51&gt;$L$48</formula>
    </cfRule>
  </conditionalFormatting>
  <conditionalFormatting sqref="C11">
    <cfRule type="expression" dxfId="28" priority="3">
      <formula>$F$10="自定义"</formula>
    </cfRule>
  </conditionalFormatting>
  <conditionalFormatting sqref="J11">
    <cfRule type="expression" dxfId="27" priority="2">
      <formula>$M$10="自定义"</formula>
    </cfRule>
  </conditionalFormatting>
  <conditionalFormatting sqref="C54">
    <cfRule type="expression" dxfId="2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6"/>
      <c r="C2" s="3486"/>
      <c r="D2" s="3486"/>
      <c r="E2" s="3486"/>
    </row>
    <row r="3" spans="1:5" ht="18">
      <c r="A3" s="3487" t="str">
        <f>IF(项目基本情况!B9="房地产市场价值","估价结果一览表（市场价值不需“结果表-1”）","估价结果一览表")</f>
        <v>估价结果一览表（市场价值不需“结果表-1”）</v>
      </c>
      <c r="B3" s="3487"/>
      <c r="C3" s="3487"/>
      <c r="D3" s="3487"/>
      <c r="E3" s="3487"/>
    </row>
    <row r="4" spans="1:5" ht="19.5" thickBot="1">
      <c r="A4" s="1493"/>
      <c r="B4" s="3485" t="s">
        <v>917</v>
      </c>
      <c r="C4" s="3485"/>
      <c r="D4" s="3485"/>
      <c r="E4" s="1493"/>
    </row>
    <row r="5" spans="1:5" ht="16.5" thickTop="1">
      <c r="A5" s="1491"/>
      <c r="B5" s="3483" t="s">
        <v>909</v>
      </c>
      <c r="C5" s="1494" t="s">
        <v>910</v>
      </c>
      <c r="D5" s="850" t="e">
        <f ca="1">结果表!H101</f>
        <v>#REF!</v>
      </c>
      <c r="E5" s="1491"/>
    </row>
    <row r="6" spans="1:5" ht="15.75">
      <c r="A6" s="1491"/>
      <c r="B6" s="3483"/>
      <c r="C6" s="1494" t="s">
        <v>911</v>
      </c>
      <c r="D6" s="850" t="e">
        <f ca="1">NUMBERSTRING(INT(D5*10000),2)&amp;"元整"</f>
        <v>#REF!</v>
      </c>
      <c r="E6" s="1491"/>
    </row>
    <row r="7" spans="1:5" ht="15.75">
      <c r="A7" s="1491"/>
      <c r="B7" s="3488"/>
      <c r="C7" s="1495" t="s">
        <v>912</v>
      </c>
      <c r="D7" s="851" t="e">
        <f ca="1">结果表!H102</f>
        <v>#REF!</v>
      </c>
      <c r="E7" s="1491"/>
    </row>
    <row r="8" spans="1:5" ht="15.75">
      <c r="A8" s="1491"/>
      <c r="B8" s="3489" t="str">
        <f>结果表!E103</f>
        <v>2.估价师知悉的法定优先受偿款</v>
      </c>
      <c r="C8" s="1496" t="s">
        <v>913</v>
      </c>
      <c r="D8" s="851">
        <f>结果表!H103</f>
        <v>0</v>
      </c>
      <c r="E8" s="1491"/>
    </row>
    <row r="9" spans="1:5" ht="15.75">
      <c r="A9" s="1491"/>
      <c r="B9" s="349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2" t="str">
        <f>结果表!E107</f>
        <v>3.房地产抵押价值</v>
      </c>
      <c r="C13" s="1499" t="s">
        <v>910</v>
      </c>
      <c r="D13" s="853" t="e">
        <f ca="1">结果表!H107</f>
        <v>#REF!</v>
      </c>
      <c r="E13" s="1491"/>
    </row>
    <row r="14" spans="1:5" ht="15.75">
      <c r="A14" s="1491"/>
      <c r="B14" s="3483"/>
      <c r="C14" s="1494" t="s">
        <v>911</v>
      </c>
      <c r="D14" s="850" t="e">
        <f ca="1">NUMBERSTRING(INT(D13*10000),2)&amp;"元整"</f>
        <v>#REF!</v>
      </c>
      <c r="E14" s="1491"/>
    </row>
    <row r="15" spans="1:5" ht="15">
      <c r="A15" s="1491"/>
      <c r="B15" s="3488"/>
      <c r="C15" s="1495" t="s">
        <v>921</v>
      </c>
      <c r="D15" s="859" t="e">
        <f ca="1">结果表!H108</f>
        <v>#REF!</v>
      </c>
      <c r="E15" s="1491"/>
    </row>
    <row r="16" spans="1:5" ht="15">
      <c r="A16" s="1491"/>
      <c r="B16" s="3489" t="str">
        <f>结果表!E109</f>
        <v>——</v>
      </c>
      <c r="C16" s="1499" t="s">
        <v>922</v>
      </c>
      <c r="D16" s="1500" t="str">
        <f>结果表!H109</f>
        <v>——</v>
      </c>
      <c r="E16" s="1491"/>
    </row>
    <row r="17" spans="1:5" ht="15.75">
      <c r="A17" s="1491"/>
      <c r="B17" s="3490"/>
      <c r="C17" s="1494" t="s">
        <v>923</v>
      </c>
      <c r="D17" s="850" t="e">
        <f>NUMBERSTRING(INT(D16*10000),2)&amp;"元整"</f>
        <v>#VALUE!</v>
      </c>
      <c r="E17" s="1491"/>
    </row>
    <row r="18" spans="1:5" ht="15">
      <c r="A18" s="1491"/>
      <c r="B18" s="3491"/>
      <c r="C18" s="1495" t="s">
        <v>912</v>
      </c>
      <c r="D18" s="859" t="str">
        <f>结果表!H110</f>
        <v>——</v>
      </c>
      <c r="E18" s="1491"/>
    </row>
    <row r="19" spans="1:5" ht="15.75">
      <c r="A19" s="1491"/>
      <c r="B19" s="3482" t="str">
        <f>结果表!E111</f>
        <v>——</v>
      </c>
      <c r="C19" s="1499" t="s">
        <v>910</v>
      </c>
      <c r="D19" s="851" t="str">
        <f>结果表!H111</f>
        <v>——</v>
      </c>
      <c r="E19" s="1491"/>
    </row>
    <row r="20" spans="1:5" ht="15.75">
      <c r="A20" s="1491"/>
      <c r="B20" s="3483"/>
      <c r="C20" s="1494" t="s">
        <v>923</v>
      </c>
      <c r="D20" s="850" t="e">
        <f>NUMBERSTRING(INT(D19*10000),2)&amp;"元整"</f>
        <v>#VALUE!</v>
      </c>
      <c r="E20" s="1491"/>
    </row>
    <row r="21" spans="1:5" ht="15.75" thickBot="1">
      <c r="A21" s="1491"/>
      <c r="B21" s="348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4" zoomScaleNormal="70" zoomScaleSheetLayoutView="100" workbookViewId="0">
      <selection activeCell="G41" sqref="G4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3414</v>
      </c>
      <c r="F1" s="1879" t="s">
        <v>3584</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2.4900000000000002</v>
      </c>
      <c r="C3" s="354" t="s">
        <v>1768</v>
      </c>
      <c r="D3" s="353">
        <f>IF(D1="",'数据-汇总表'!E3,SUMIF('数据-汇总表'!$C19:$C33,D1,'数据-汇总表'!$E19:$E33))</f>
        <v>66.03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1" t="s">
        <v>1770</v>
      </c>
      <c r="D4" s="3712"/>
      <c r="E4" s="3713" t="s">
        <v>1771</v>
      </c>
      <c r="F4" s="3714"/>
      <c r="G4" s="3711" t="s">
        <v>1772</v>
      </c>
      <c r="H4" s="3712"/>
      <c r="I4" s="3711" t="s">
        <v>1773</v>
      </c>
      <c r="J4" s="3712"/>
      <c r="K4" s="559" t="s">
        <v>1774</v>
      </c>
      <c r="L4" s="2715"/>
      <c r="M4" s="2716"/>
      <c r="N4" s="2716"/>
      <c r="O4" s="2716"/>
      <c r="P4" s="3745" t="s">
        <v>1775</v>
      </c>
      <c r="Q4" s="3746"/>
      <c r="R4" s="3749" t="s">
        <v>1771</v>
      </c>
      <c r="S4" s="3750"/>
      <c r="T4" s="3749" t="s">
        <v>1772</v>
      </c>
      <c r="U4" s="3750"/>
      <c r="V4" s="3751" t="s">
        <v>1773</v>
      </c>
      <c r="W4" s="3751"/>
      <c r="X4" s="3461"/>
      <c r="Y4" s="3749" t="s">
        <v>1775</v>
      </c>
      <c r="Z4" s="3750"/>
      <c r="AA4" s="3754" t="s">
        <v>1771</v>
      </c>
      <c r="AB4" s="3754" t="s">
        <v>1772</v>
      </c>
      <c r="AC4" s="3742" t="s">
        <v>1773</v>
      </c>
    </row>
    <row r="5" spans="1:29" ht="15">
      <c r="A5" s="358"/>
      <c r="B5" s="359"/>
      <c r="C5" s="3730" t="s">
        <v>1673</v>
      </c>
      <c r="D5" s="3731"/>
      <c r="E5" s="3785" t="s">
        <v>3647</v>
      </c>
      <c r="F5" s="3738"/>
      <c r="G5" s="3786" t="s">
        <v>3649</v>
      </c>
      <c r="H5" s="3731"/>
      <c r="I5" s="3786" t="s">
        <v>3648</v>
      </c>
      <c r="J5" s="3731"/>
      <c r="K5" s="559"/>
      <c r="L5" s="2715"/>
      <c r="M5" s="2716"/>
      <c r="N5" s="2716"/>
      <c r="O5" s="2716"/>
      <c r="P5" s="3747"/>
      <c r="Q5" s="3718"/>
      <c r="R5" s="3723"/>
      <c r="S5" s="3724"/>
      <c r="T5" s="3723"/>
      <c r="U5" s="3724"/>
      <c r="V5" s="3727"/>
      <c r="W5" s="3727"/>
      <c r="X5" s="3459"/>
      <c r="Y5" s="3723"/>
      <c r="Z5" s="3724"/>
      <c r="AA5" s="3709"/>
      <c r="AB5" s="3709"/>
      <c r="AC5" s="3743"/>
    </row>
    <row r="6" spans="1:29" ht="15.75" thickBot="1">
      <c r="A6" s="360"/>
      <c r="B6" s="361"/>
      <c r="C6" s="3728" t="s">
        <v>1677</v>
      </c>
      <c r="D6" s="3729"/>
      <c r="E6" s="3735" t="s">
        <v>1677</v>
      </c>
      <c r="F6" s="3736"/>
      <c r="G6" s="3728" t="s">
        <v>1677</v>
      </c>
      <c r="H6" s="3729"/>
      <c r="I6" s="3728" t="s">
        <v>1677</v>
      </c>
      <c r="J6" s="3729"/>
      <c r="K6" s="559" t="s">
        <v>1678</v>
      </c>
      <c r="L6" s="2715"/>
      <c r="M6" s="2716"/>
      <c r="N6" s="2716"/>
      <c r="O6" s="2716"/>
      <c r="P6" s="3748"/>
      <c r="Q6" s="3720"/>
      <c r="R6" s="3723"/>
      <c r="S6" s="3724"/>
      <c r="T6" s="3725"/>
      <c r="U6" s="3726"/>
      <c r="V6" s="3727"/>
      <c r="W6" s="3727"/>
      <c r="X6" s="3459"/>
      <c r="Y6" s="3725"/>
      <c r="Z6" s="3726"/>
      <c r="AA6" s="3710"/>
      <c r="AB6" s="3710"/>
      <c r="AC6" s="3744"/>
    </row>
    <row r="7" spans="1:29" s="108" customFormat="1" ht="15.75" thickBot="1">
      <c r="A7" s="362" t="s">
        <v>1679</v>
      </c>
      <c r="B7" s="363"/>
      <c r="C7" s="364">
        <f>'数据-取费表'!B2</f>
        <v>45275</v>
      </c>
      <c r="D7" s="365">
        <v>100</v>
      </c>
      <c r="E7" s="366">
        <v>45275</v>
      </c>
      <c r="F7" s="367">
        <f>SUMIF(59:59,YEAR(E7)&amp;"-"&amp;MONTH(E7),60:60)</f>
        <v>100</v>
      </c>
      <c r="G7" s="366">
        <f>E7</f>
        <v>45275</v>
      </c>
      <c r="H7" s="365">
        <f>SUMIF(59:59,YEAR(G7)&amp;"-"&amp;MONTH(G7),60:60)</f>
        <v>100</v>
      </c>
      <c r="I7" s="366">
        <f>E7</f>
        <v>45275</v>
      </c>
      <c r="J7" s="365">
        <f>SUMIF(59:59,YEAR(I7)&amp;"-"&amp;MONTH(I7),60:60)</f>
        <v>100</v>
      </c>
      <c r="K7" s="560"/>
      <c r="L7" s="2717"/>
      <c r="M7" s="2718"/>
      <c r="N7" s="2718"/>
      <c r="O7" s="2718"/>
      <c r="P7" s="3753" t="s">
        <v>1680</v>
      </c>
      <c r="Q7" s="3734"/>
      <c r="R7" s="701" t="s">
        <v>14</v>
      </c>
      <c r="S7" s="702">
        <f t="shared" ref="S7:S15" si="0">F7</f>
        <v>100</v>
      </c>
      <c r="T7" s="701" t="s">
        <v>14</v>
      </c>
      <c r="U7" s="702">
        <f t="shared" ref="U7:U15" si="1">H7</f>
        <v>100</v>
      </c>
      <c r="V7" s="701" t="s">
        <v>14</v>
      </c>
      <c r="W7" s="702">
        <f t="shared" ref="W7:W15" si="2">J7</f>
        <v>100</v>
      </c>
      <c r="X7" s="703"/>
      <c r="Y7" s="3732" t="s">
        <v>1680</v>
      </c>
      <c r="Z7" s="3733"/>
      <c r="AA7" s="704">
        <f>D7/F7</f>
        <v>1</v>
      </c>
      <c r="AB7" s="704">
        <f>D7/H7</f>
        <v>1</v>
      </c>
      <c r="AC7" s="1959">
        <f>D7/J7</f>
        <v>1</v>
      </c>
    </row>
    <row r="8" spans="1:29" s="108" customFormat="1" ht="15.75" thickBot="1">
      <c r="A8" s="362" t="s">
        <v>1681</v>
      </c>
      <c r="B8" s="363"/>
      <c r="C8" s="368" t="s">
        <v>3576</v>
      </c>
      <c r="D8" s="365">
        <v>100</v>
      </c>
      <c r="E8" s="368" t="s">
        <v>3576</v>
      </c>
      <c r="F8" s="367">
        <f>SUMIF(62:62,E8,63:63)-SUMIF(62:62,C8,63:63)+100</f>
        <v>100</v>
      </c>
      <c r="G8" s="368" t="s">
        <v>3576</v>
      </c>
      <c r="H8" s="365">
        <f>SUMIF(62:62,G8,63:63)-SUMIF(62:62,C8,63:63)+100</f>
        <v>100</v>
      </c>
      <c r="I8" s="368" t="s">
        <v>3576</v>
      </c>
      <c r="J8" s="365">
        <f>SUMIF(62:62,I8,63:63)-SUMIF(62:62,C8,63:63)+100</f>
        <v>100</v>
      </c>
      <c r="K8" s="560"/>
      <c r="L8" s="2717"/>
      <c r="M8" s="2718"/>
      <c r="N8" s="2718"/>
      <c r="O8" s="2718"/>
      <c r="P8" s="3753" t="s">
        <v>1683</v>
      </c>
      <c r="Q8" s="3733"/>
      <c r="R8" s="701" t="s">
        <v>14</v>
      </c>
      <c r="S8" s="702">
        <f t="shared" si="0"/>
        <v>100</v>
      </c>
      <c r="T8" s="701" t="s">
        <v>14</v>
      </c>
      <c r="U8" s="702">
        <f t="shared" si="1"/>
        <v>100</v>
      </c>
      <c r="V8" s="701" t="s">
        <v>14</v>
      </c>
      <c r="W8" s="702">
        <f t="shared" si="2"/>
        <v>100</v>
      </c>
      <c r="X8" s="703"/>
      <c r="Y8" s="3732" t="s">
        <v>1683</v>
      </c>
      <c r="Z8" s="3733"/>
      <c r="AA8" s="704">
        <f t="shared" ref="AA8:AA47" si="3">D8/F8</f>
        <v>1</v>
      </c>
      <c r="AB8" s="704">
        <f t="shared" ref="AB8:AB47" si="4">D8/H8</f>
        <v>1</v>
      </c>
      <c r="AC8" s="1959">
        <f t="shared" ref="AC8:AC47" si="5">D8/J8</f>
        <v>1</v>
      </c>
    </row>
    <row r="9" spans="1:29" s="108" customFormat="1">
      <c r="A9" s="369" t="s">
        <v>1684</v>
      </c>
      <c r="B9" s="63" t="s">
        <v>1685</v>
      </c>
      <c r="C9" s="3452" t="s">
        <v>3577</v>
      </c>
      <c r="D9" s="126">
        <v>100</v>
      </c>
      <c r="E9" s="373" t="s">
        <v>673</v>
      </c>
      <c r="F9" s="126">
        <f>SUMIF(64:64,E9,65:65)-SUMIF(64:64,C9,65:65)+100</f>
        <v>100</v>
      </c>
      <c r="G9" s="373" t="s">
        <v>673</v>
      </c>
      <c r="H9" s="126">
        <f>SUMIF(64:64,G9,65:65)-SUMIF(64:64,C9,65:65)+100</f>
        <v>100</v>
      </c>
      <c r="I9" s="373" t="s">
        <v>673</v>
      </c>
      <c r="J9" s="126">
        <f>SUMIF(64:64,I9,65:65)-SUMIF(64:64,C9,65:65)+100</f>
        <v>100</v>
      </c>
      <c r="K9" s="560"/>
      <c r="L9" s="2717"/>
      <c r="M9" s="2718"/>
      <c r="N9" s="2718"/>
      <c r="O9" s="2718"/>
      <c r="P9" s="3707" t="s">
        <v>1686</v>
      </c>
      <c r="Q9" s="3455" t="str">
        <f t="shared" ref="Q9:Q15" si="6">B9</f>
        <v>用途</v>
      </c>
      <c r="R9" s="701" t="s">
        <v>14</v>
      </c>
      <c r="S9" s="702">
        <f t="shared" si="0"/>
        <v>100</v>
      </c>
      <c r="T9" s="701" t="s">
        <v>14</v>
      </c>
      <c r="U9" s="702">
        <f t="shared" si="1"/>
        <v>100</v>
      </c>
      <c r="V9" s="701" t="s">
        <v>14</v>
      </c>
      <c r="W9" s="702">
        <f t="shared" si="2"/>
        <v>100</v>
      </c>
      <c r="X9" s="703"/>
      <c r="Y9" s="3571" t="s">
        <v>1687</v>
      </c>
      <c r="Z9" s="3454" t="str">
        <f t="shared" ref="Z9:Z15" si="7">Q9</f>
        <v>用途</v>
      </c>
      <c r="AA9" s="704">
        <f t="shared" si="3"/>
        <v>1</v>
      </c>
      <c r="AB9" s="704">
        <f t="shared" si="4"/>
        <v>1</v>
      </c>
      <c r="AC9" s="1959">
        <f t="shared" si="5"/>
        <v>1</v>
      </c>
    </row>
    <row r="10" spans="1:29" s="378" customFormat="1" ht="27.75" hidden="1" thickTop="1">
      <c r="A10" s="374"/>
      <c r="B10" s="375" t="s">
        <v>1688</v>
      </c>
      <c r="C10" s="3434" t="str">
        <f>D66</f>
        <v>10-20（含）</v>
      </c>
      <c r="D10" s="127">
        <v>100</v>
      </c>
      <c r="E10" s="532" t="s">
        <v>3582</v>
      </c>
      <c r="F10" s="127">
        <f>SUMIF(66:66,E10,67:67)-SUMIF(66:66,C10,67:67)+100</f>
        <v>100</v>
      </c>
      <c r="G10" s="532" t="s">
        <v>3582</v>
      </c>
      <c r="H10" s="127">
        <f>SUMIF(66:66,G10,67:67)-SUMIF(66:66,C10,67:67)+100</f>
        <v>100</v>
      </c>
      <c r="I10" s="532" t="s">
        <v>3582</v>
      </c>
      <c r="J10" s="127">
        <f>SUMIF(66:66,I10,67:67)-SUMIF(66:66,C10,67:67)+100</f>
        <v>100</v>
      </c>
      <c r="K10" s="560"/>
      <c r="L10" s="2719"/>
      <c r="M10" s="2720"/>
      <c r="N10" s="2720"/>
      <c r="O10" s="2720"/>
      <c r="P10" s="3707"/>
      <c r="Q10" s="3455" t="str">
        <f t="shared" si="6"/>
        <v>土地使用年限（年）</v>
      </c>
      <c r="R10" s="701" t="s">
        <v>14</v>
      </c>
      <c r="S10" s="702">
        <f t="shared" si="0"/>
        <v>100</v>
      </c>
      <c r="T10" s="701" t="s">
        <v>14</v>
      </c>
      <c r="U10" s="702">
        <f t="shared" si="1"/>
        <v>100</v>
      </c>
      <c r="V10" s="701" t="s">
        <v>14</v>
      </c>
      <c r="W10" s="702">
        <f t="shared" si="2"/>
        <v>100</v>
      </c>
      <c r="X10" s="703"/>
      <c r="Y10" s="3571"/>
      <c r="Z10" s="3454" t="str">
        <f t="shared" si="7"/>
        <v>土地使用年限（年）</v>
      </c>
      <c r="AA10" s="704">
        <f t="shared" si="3"/>
        <v>1</v>
      </c>
      <c r="AB10" s="704">
        <f t="shared" si="4"/>
        <v>1</v>
      </c>
      <c r="AC10" s="1959">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7"/>
      <c r="Q11" s="3455" t="str">
        <f t="shared" si="6"/>
        <v>容积率</v>
      </c>
      <c r="R11" s="701" t="s">
        <v>14</v>
      </c>
      <c r="S11" s="702">
        <f t="shared" si="0"/>
        <v>100</v>
      </c>
      <c r="T11" s="701" t="s">
        <v>14</v>
      </c>
      <c r="U11" s="702">
        <f t="shared" si="1"/>
        <v>100</v>
      </c>
      <c r="V11" s="701" t="s">
        <v>14</v>
      </c>
      <c r="W11" s="702">
        <f t="shared" si="2"/>
        <v>100</v>
      </c>
      <c r="X11" s="703"/>
      <c r="Y11" s="3571"/>
      <c r="Z11" s="3454"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7"/>
      <c r="Q12" s="3455">
        <f t="shared" si="6"/>
        <v>111</v>
      </c>
      <c r="R12" s="701" t="s">
        <v>14</v>
      </c>
      <c r="S12" s="702">
        <f t="shared" si="0"/>
        <v>100</v>
      </c>
      <c r="T12" s="701" t="s">
        <v>14</v>
      </c>
      <c r="U12" s="702">
        <f t="shared" si="1"/>
        <v>100</v>
      </c>
      <c r="V12" s="701" t="s">
        <v>14</v>
      </c>
      <c r="W12" s="702">
        <f t="shared" si="2"/>
        <v>100</v>
      </c>
      <c r="X12" s="703"/>
      <c r="Y12" s="3571"/>
      <c r="Z12" s="3454">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7"/>
      <c r="Q13" s="3455">
        <f t="shared" si="6"/>
        <v>111</v>
      </c>
      <c r="R13" s="701" t="s">
        <v>14</v>
      </c>
      <c r="S13" s="702">
        <f t="shared" si="0"/>
        <v>100</v>
      </c>
      <c r="T13" s="701" t="s">
        <v>14</v>
      </c>
      <c r="U13" s="702">
        <f t="shared" si="1"/>
        <v>100</v>
      </c>
      <c r="V13" s="701" t="s">
        <v>14</v>
      </c>
      <c r="W13" s="702">
        <f t="shared" si="2"/>
        <v>100</v>
      </c>
      <c r="X13" s="703"/>
      <c r="Y13" s="3571"/>
      <c r="Z13" s="3454">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7"/>
      <c r="Q14" s="3455">
        <f t="shared" si="6"/>
        <v>111</v>
      </c>
      <c r="R14" s="701" t="s">
        <v>14</v>
      </c>
      <c r="S14" s="702">
        <f t="shared" si="0"/>
        <v>100</v>
      </c>
      <c r="T14" s="701" t="s">
        <v>14</v>
      </c>
      <c r="U14" s="702">
        <f t="shared" si="1"/>
        <v>100</v>
      </c>
      <c r="V14" s="701" t="s">
        <v>14</v>
      </c>
      <c r="W14" s="702">
        <f t="shared" si="2"/>
        <v>100</v>
      </c>
      <c r="X14" s="703"/>
      <c r="Y14" s="3571"/>
      <c r="Z14" s="3454">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5" t="s">
        <v>1691</v>
      </c>
      <c r="Q15" s="3457" t="str">
        <f t="shared" si="6"/>
        <v>办公集聚程度</v>
      </c>
      <c r="R15" s="705" t="s">
        <v>14</v>
      </c>
      <c r="S15" s="706">
        <f t="shared" si="0"/>
        <v>100</v>
      </c>
      <c r="T15" s="705" t="s">
        <v>14</v>
      </c>
      <c r="U15" s="706">
        <f t="shared" si="1"/>
        <v>100</v>
      </c>
      <c r="V15" s="705" t="s">
        <v>14</v>
      </c>
      <c r="W15" s="706">
        <f t="shared" si="2"/>
        <v>100</v>
      </c>
      <c r="X15" s="3459"/>
      <c r="Y15" s="3698" t="s">
        <v>1691</v>
      </c>
      <c r="Z15" s="3460" t="str">
        <f t="shared" si="7"/>
        <v>办公集聚程度</v>
      </c>
      <c r="AA15" s="3458">
        <f t="shared" si="3"/>
        <v>1</v>
      </c>
      <c r="AB15" s="3458">
        <f t="shared" si="4"/>
        <v>1</v>
      </c>
      <c r="AC15" s="1962">
        <f t="shared" si="5"/>
        <v>1</v>
      </c>
    </row>
    <row r="16" spans="1:29" ht="15">
      <c r="A16" s="379"/>
      <c r="B16" s="578"/>
      <c r="C16" s="1904" t="s">
        <v>3410</v>
      </c>
      <c r="D16" s="399"/>
      <c r="E16" s="1904" t="s">
        <v>3410</v>
      </c>
      <c r="F16" s="399"/>
      <c r="G16" s="1904" t="s">
        <v>3410</v>
      </c>
      <c r="H16" s="401"/>
      <c r="I16" s="1904" t="s">
        <v>3410</v>
      </c>
      <c r="J16" s="399"/>
      <c r="K16" s="564"/>
      <c r="L16" s="2722"/>
      <c r="M16" s="2716"/>
      <c r="N16" s="2716"/>
      <c r="O16" s="2716"/>
      <c r="P16" s="3706"/>
      <c r="Q16" s="3457"/>
      <c r="R16" s="705"/>
      <c r="S16" s="706"/>
      <c r="T16" s="705"/>
      <c r="U16" s="706"/>
      <c r="V16" s="705"/>
      <c r="W16" s="706"/>
      <c r="X16" s="3459"/>
      <c r="Y16" s="3699"/>
      <c r="Z16" s="3460"/>
      <c r="AA16" s="3458">
        <v>1</v>
      </c>
      <c r="AB16" s="3458">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6"/>
      <c r="Q17" s="3457" t="str">
        <f>B17</f>
        <v>交通便捷度</v>
      </c>
      <c r="R17" s="705" t="s">
        <v>14</v>
      </c>
      <c r="S17" s="706">
        <f>F17</f>
        <v>100</v>
      </c>
      <c r="T17" s="705" t="s">
        <v>14</v>
      </c>
      <c r="U17" s="706">
        <f>H17</f>
        <v>100</v>
      </c>
      <c r="V17" s="705" t="s">
        <v>14</v>
      </c>
      <c r="W17" s="706">
        <f>J17</f>
        <v>100</v>
      </c>
      <c r="X17" s="3459"/>
      <c r="Y17" s="3699"/>
      <c r="Z17" s="3460" t="str">
        <f>Q17</f>
        <v>交通便捷度</v>
      </c>
      <c r="AA17" s="3458">
        <f t="shared" si="3"/>
        <v>1</v>
      </c>
      <c r="AB17" s="3458">
        <f t="shared" si="4"/>
        <v>1</v>
      </c>
      <c r="AC17" s="1962">
        <f t="shared" si="5"/>
        <v>1</v>
      </c>
    </row>
    <row r="18" spans="1:29" ht="15">
      <c r="A18" s="379"/>
      <c r="B18" s="580"/>
      <c r="C18" s="1964" t="s">
        <v>3411</v>
      </c>
      <c r="D18" s="401"/>
      <c r="E18" s="1964" t="s">
        <v>3411</v>
      </c>
      <c r="F18" s="401"/>
      <c r="G18" s="1964" t="s">
        <v>3411</v>
      </c>
      <c r="H18" s="399"/>
      <c r="I18" s="1964" t="s">
        <v>3411</v>
      </c>
      <c r="J18" s="399"/>
      <c r="K18" s="564"/>
      <c r="L18" s="2722"/>
      <c r="M18" s="2716"/>
      <c r="N18" s="2716"/>
      <c r="O18" s="2716"/>
      <c r="P18" s="3706"/>
      <c r="Q18" s="3457"/>
      <c r="R18" s="705"/>
      <c r="S18" s="706"/>
      <c r="T18" s="705"/>
      <c r="U18" s="706"/>
      <c r="V18" s="705"/>
      <c r="W18" s="706"/>
      <c r="X18" s="3459"/>
      <c r="Y18" s="3699"/>
      <c r="Z18" s="3460"/>
      <c r="AA18" s="3458">
        <v>1</v>
      </c>
      <c r="AB18" s="3458">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6"/>
      <c r="Q19" s="3457" t="str">
        <f>B19</f>
        <v>公共配套设施</v>
      </c>
      <c r="R19" s="705" t="s">
        <v>14</v>
      </c>
      <c r="S19" s="706">
        <f>F19</f>
        <v>100</v>
      </c>
      <c r="T19" s="705" t="s">
        <v>14</v>
      </c>
      <c r="U19" s="706">
        <f>H19</f>
        <v>100</v>
      </c>
      <c r="V19" s="705" t="s">
        <v>14</v>
      </c>
      <c r="W19" s="706">
        <f>J19</f>
        <v>100</v>
      </c>
      <c r="X19" s="3459"/>
      <c r="Y19" s="3699"/>
      <c r="Z19" s="3460" t="str">
        <f>Q19</f>
        <v>公共配套设施</v>
      </c>
      <c r="AA19" s="3458">
        <f t="shared" si="3"/>
        <v>1</v>
      </c>
      <c r="AB19" s="3458">
        <f t="shared" si="4"/>
        <v>1</v>
      </c>
      <c r="AC19" s="1962">
        <f t="shared" si="5"/>
        <v>1</v>
      </c>
    </row>
    <row r="20" spans="1:29" ht="15">
      <c r="A20" s="379"/>
      <c r="B20" s="580"/>
      <c r="C20" s="1904" t="s">
        <v>3411</v>
      </c>
      <c r="D20" s="399"/>
      <c r="E20" s="1904" t="s">
        <v>3411</v>
      </c>
      <c r="F20" s="399"/>
      <c r="G20" s="1904" t="s">
        <v>3411</v>
      </c>
      <c r="H20" s="399"/>
      <c r="I20" s="1904" t="s">
        <v>3411</v>
      </c>
      <c r="J20" s="399"/>
      <c r="K20" s="564"/>
      <c r="L20" s="2722"/>
      <c r="M20" s="2716"/>
      <c r="N20" s="2716"/>
      <c r="O20" s="2716"/>
      <c r="P20" s="3706"/>
      <c r="Q20" s="3457"/>
      <c r="R20" s="705"/>
      <c r="S20" s="706"/>
      <c r="T20" s="705"/>
      <c r="U20" s="706"/>
      <c r="V20" s="705"/>
      <c r="W20" s="706"/>
      <c r="X20" s="3459"/>
      <c r="Y20" s="3699"/>
      <c r="Z20" s="3460"/>
      <c r="AA20" s="3458">
        <v>1</v>
      </c>
      <c r="AB20" s="3458">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6"/>
      <c r="Q21" s="3457" t="str">
        <f>B21</f>
        <v>基础设施水平</v>
      </c>
      <c r="R21" s="705" t="s">
        <v>14</v>
      </c>
      <c r="S21" s="706">
        <f>F21</f>
        <v>100</v>
      </c>
      <c r="T21" s="705" t="s">
        <v>14</v>
      </c>
      <c r="U21" s="706">
        <f>H21</f>
        <v>100</v>
      </c>
      <c r="V21" s="705" t="s">
        <v>14</v>
      </c>
      <c r="W21" s="706">
        <f>J21</f>
        <v>100</v>
      </c>
      <c r="X21" s="3459"/>
      <c r="Y21" s="3699"/>
      <c r="Z21" s="3460" t="str">
        <f>Q21</f>
        <v>基础设施水平</v>
      </c>
      <c r="AA21" s="3458">
        <f t="shared" ref="AA21" si="8">D21/F21</f>
        <v>1</v>
      </c>
      <c r="AB21" s="3458">
        <f t="shared" ref="AB21" si="9">D21/H21</f>
        <v>1</v>
      </c>
      <c r="AC21" s="1962">
        <f t="shared" ref="AC21" si="10">D21/J21</f>
        <v>1</v>
      </c>
    </row>
    <row r="22" spans="1:29" ht="15">
      <c r="A22" s="379"/>
      <c r="B22" s="581"/>
      <c r="C22" s="1964" t="s">
        <v>3578</v>
      </c>
      <c r="D22" s="399"/>
      <c r="E22" s="1964" t="s">
        <v>3578</v>
      </c>
      <c r="F22" s="399"/>
      <c r="G22" s="1964" t="s">
        <v>3578</v>
      </c>
      <c r="H22" s="399"/>
      <c r="I22" s="1964" t="s">
        <v>3578</v>
      </c>
      <c r="J22" s="399"/>
      <c r="K22" s="1130"/>
      <c r="L22" s="2722"/>
      <c r="M22" s="2716"/>
      <c r="N22" s="2716"/>
      <c r="O22" s="2716"/>
      <c r="P22" s="3706"/>
      <c r="Q22" s="3457"/>
      <c r="R22" s="705"/>
      <c r="S22" s="706"/>
      <c r="T22" s="705"/>
      <c r="U22" s="706"/>
      <c r="V22" s="705"/>
      <c r="W22" s="706"/>
      <c r="X22" s="3459"/>
      <c r="Y22" s="3699"/>
      <c r="Z22" s="3460"/>
      <c r="AA22" s="3458">
        <v>1</v>
      </c>
      <c r="AB22" s="3458">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100.5</v>
      </c>
      <c r="K23" s="563">
        <v>0.5</v>
      </c>
      <c r="L23" s="2722"/>
      <c r="M23" s="2716"/>
      <c r="N23" s="2716"/>
      <c r="O23" s="2716"/>
      <c r="P23" s="3706"/>
      <c r="Q23" s="3457" t="str">
        <f>B23</f>
        <v>环境质量</v>
      </c>
      <c r="R23" s="705" t="s">
        <v>14</v>
      </c>
      <c r="S23" s="706">
        <f>F23</f>
        <v>100</v>
      </c>
      <c r="T23" s="705" t="s">
        <v>14</v>
      </c>
      <c r="U23" s="706">
        <f>H23</f>
        <v>100</v>
      </c>
      <c r="V23" s="705" t="s">
        <v>14</v>
      </c>
      <c r="W23" s="706">
        <f>J23</f>
        <v>100.5</v>
      </c>
      <c r="X23" s="3459"/>
      <c r="Y23" s="3699"/>
      <c r="Z23" s="3460" t="str">
        <f>Q23</f>
        <v>环境质量</v>
      </c>
      <c r="AA23" s="3458">
        <f t="shared" si="3"/>
        <v>1</v>
      </c>
      <c r="AB23" s="3458">
        <f t="shared" si="4"/>
        <v>1</v>
      </c>
      <c r="AC23" s="1962">
        <f t="shared" si="5"/>
        <v>0.99502487562189057</v>
      </c>
    </row>
    <row r="24" spans="1:29" ht="15">
      <c r="A24" s="379"/>
      <c r="B24" s="581"/>
      <c r="C24" s="1904" t="s">
        <v>3411</v>
      </c>
      <c r="D24" s="399"/>
      <c r="E24" s="1904" t="s">
        <v>3411</v>
      </c>
      <c r="F24" s="399"/>
      <c r="G24" s="1904" t="s">
        <v>3411</v>
      </c>
      <c r="H24" s="399"/>
      <c r="I24" s="1904" t="s">
        <v>3413</v>
      </c>
      <c r="J24" s="399"/>
      <c r="K24" s="564"/>
      <c r="L24" s="2722"/>
      <c r="M24" s="2716"/>
      <c r="N24" s="2716"/>
      <c r="O24" s="2716"/>
      <c r="P24" s="3706"/>
      <c r="Q24" s="3457"/>
      <c r="R24" s="705"/>
      <c r="S24" s="706"/>
      <c r="T24" s="705"/>
      <c r="U24" s="706"/>
      <c r="V24" s="705"/>
      <c r="W24" s="706"/>
      <c r="X24" s="3459"/>
      <c r="Y24" s="3699"/>
      <c r="Z24" s="3460"/>
      <c r="AA24" s="3458">
        <v>1</v>
      </c>
      <c r="AB24" s="3458">
        <v>1</v>
      </c>
      <c r="AC24" s="1962">
        <v>1</v>
      </c>
    </row>
    <row r="25" spans="1:29" ht="27.75">
      <c r="A25" s="358"/>
      <c r="B25" s="579" t="s">
        <v>1815</v>
      </c>
      <c r="C25" s="385" t="s">
        <v>3591</v>
      </c>
      <c r="D25" s="386">
        <v>100</v>
      </c>
      <c r="E25" s="385" t="s">
        <v>3604</v>
      </c>
      <c r="F25" s="386">
        <f>SUMIF(87:87,E26,88:88)-SUMIF(87:87,C26,88:88)+100</f>
        <v>100</v>
      </c>
      <c r="G25" s="385" t="s">
        <v>3609</v>
      </c>
      <c r="H25" s="386">
        <f>SUMIF(87:87,G26,88:88)-SUMIF(87:87,C26,88:88)+100</f>
        <v>100</v>
      </c>
      <c r="I25" s="385" t="s">
        <v>3591</v>
      </c>
      <c r="J25" s="386">
        <f>SUMIF(87:87,I26,88:88)-SUMIF(87:87,C26,88:88)+100</f>
        <v>100</v>
      </c>
      <c r="K25" s="563">
        <v>0</v>
      </c>
      <c r="L25" s="2722"/>
      <c r="M25" s="2716"/>
      <c r="N25" s="2716"/>
      <c r="O25" s="2716"/>
      <c r="P25" s="3706"/>
      <c r="Q25" s="3457" t="str">
        <f>B25</f>
        <v>毗邻道路的类型与等级</v>
      </c>
      <c r="R25" s="705" t="s">
        <v>14</v>
      </c>
      <c r="S25" s="706">
        <f>F25</f>
        <v>100</v>
      </c>
      <c r="T25" s="705" t="s">
        <v>14</v>
      </c>
      <c r="U25" s="706">
        <f>H25</f>
        <v>100</v>
      </c>
      <c r="V25" s="705" t="s">
        <v>14</v>
      </c>
      <c r="W25" s="706">
        <f>J25</f>
        <v>100</v>
      </c>
      <c r="X25" s="3459"/>
      <c r="Y25" s="3699"/>
      <c r="Z25" s="3460" t="str">
        <f>Q25</f>
        <v>毗邻道路的类型与等级</v>
      </c>
      <c r="AA25" s="3458">
        <f t="shared" si="3"/>
        <v>1</v>
      </c>
      <c r="AB25" s="3458">
        <f t="shared" si="4"/>
        <v>1</v>
      </c>
      <c r="AC25" s="1962">
        <f t="shared" si="5"/>
        <v>1</v>
      </c>
    </row>
    <row r="26" spans="1:29" ht="15">
      <c r="A26" s="358"/>
      <c r="B26" s="580"/>
      <c r="C26" s="582" t="s">
        <v>3596</v>
      </c>
      <c r="D26" s="386"/>
      <c r="E26" s="565" t="s">
        <v>3605</v>
      </c>
      <c r="F26" s="386"/>
      <c r="G26" s="582" t="s">
        <v>3596</v>
      </c>
      <c r="H26" s="386"/>
      <c r="I26" s="565" t="s">
        <v>3596</v>
      </c>
      <c r="J26" s="386"/>
      <c r="K26" s="564"/>
      <c r="L26" s="2722"/>
      <c r="M26" s="2716"/>
      <c r="N26" s="2716"/>
      <c r="O26" s="2716"/>
      <c r="P26" s="3706"/>
      <c r="Q26" s="3457"/>
      <c r="R26" s="705"/>
      <c r="S26" s="706"/>
      <c r="T26" s="705"/>
      <c r="U26" s="706"/>
      <c r="V26" s="705"/>
      <c r="W26" s="706"/>
      <c r="X26" s="3459"/>
      <c r="Y26" s="3699"/>
      <c r="Z26" s="3460"/>
      <c r="AA26" s="3458">
        <v>1</v>
      </c>
      <c r="AB26" s="3458">
        <v>1</v>
      </c>
      <c r="AC26" s="1962">
        <v>1</v>
      </c>
    </row>
    <row r="27" spans="1:29" ht="15.75" thickBot="1">
      <c r="A27" s="379"/>
      <c r="B27" s="580" t="s">
        <v>1783</v>
      </c>
      <c r="C27" s="582" t="s">
        <v>3589</v>
      </c>
      <c r="D27" s="386">
        <v>100</v>
      </c>
      <c r="E27" s="565" t="s">
        <v>3589</v>
      </c>
      <c r="F27" s="386">
        <f>SUMIF(89:89,E27,90:90)-SUMIF(89:89,C27,90:90)+100</f>
        <v>100</v>
      </c>
      <c r="G27" s="582" t="s">
        <v>3589</v>
      </c>
      <c r="H27" s="386">
        <f>SUMIF(89:89,G27,90:90)-SUMIF(89:89,C27,90:90)+100</f>
        <v>100</v>
      </c>
      <c r="I27" s="565" t="s">
        <v>3589</v>
      </c>
      <c r="J27" s="386">
        <f>SUMIF(89:89,I27,90:90)-SUMIF(89:89,C27,90:90)+100</f>
        <v>100</v>
      </c>
      <c r="K27" s="561">
        <v>1</v>
      </c>
      <c r="L27" s="2722"/>
      <c r="M27" s="2716"/>
      <c r="N27" s="2716"/>
      <c r="O27" s="2716"/>
      <c r="P27" s="3706"/>
      <c r="Q27" s="3457" t="str">
        <f t="shared" ref="Q27:Q47" si="11">B27</f>
        <v>楼层</v>
      </c>
      <c r="R27" s="705" t="s">
        <v>14</v>
      </c>
      <c r="S27" s="706">
        <f>F27</f>
        <v>100</v>
      </c>
      <c r="T27" s="705" t="s">
        <v>14</v>
      </c>
      <c r="U27" s="706">
        <f>H27</f>
        <v>100</v>
      </c>
      <c r="V27" s="705" t="s">
        <v>14</v>
      </c>
      <c r="W27" s="706">
        <f>J27</f>
        <v>100</v>
      </c>
      <c r="X27" s="3459"/>
      <c r="Y27" s="3699"/>
      <c r="Z27" s="3460" t="str">
        <f>Q27</f>
        <v>楼层</v>
      </c>
      <c r="AA27" s="3458">
        <f t="shared" si="3"/>
        <v>1</v>
      </c>
      <c r="AB27" s="3458">
        <f t="shared" si="4"/>
        <v>1</v>
      </c>
      <c r="AC27" s="1962">
        <f t="shared" si="5"/>
        <v>1</v>
      </c>
    </row>
    <row r="28" spans="1:29" s="108" customFormat="1" ht="15.75" hidden="1" thickBot="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6"/>
      <c r="Q28" s="3455" t="str">
        <f t="shared" si="11"/>
        <v>朝向</v>
      </c>
      <c r="R28" s="701" t="s">
        <v>14</v>
      </c>
      <c r="S28" s="702">
        <f>F28</f>
        <v>100</v>
      </c>
      <c r="T28" s="701" t="s">
        <v>14</v>
      </c>
      <c r="U28" s="702">
        <f>H28</f>
        <v>100</v>
      </c>
      <c r="V28" s="701" t="s">
        <v>14</v>
      </c>
      <c r="W28" s="702">
        <f>J28</f>
        <v>100</v>
      </c>
      <c r="X28" s="703"/>
      <c r="Y28" s="3699"/>
      <c r="Z28" s="3454" t="str">
        <f>Q28</f>
        <v>朝向</v>
      </c>
      <c r="AA28" s="3458">
        <f>D28/F28</f>
        <v>1</v>
      </c>
      <c r="AB28" s="3458">
        <f>D28/H28</f>
        <v>1</v>
      </c>
      <c r="AC28" s="1962">
        <f>D28/J28</f>
        <v>1</v>
      </c>
    </row>
    <row r="29" spans="1:29" ht="15.75" hidden="1" thickBot="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6"/>
      <c r="Q29" s="3457">
        <f t="shared" si="11"/>
        <v>111</v>
      </c>
      <c r="R29" s="705" t="s">
        <v>14</v>
      </c>
      <c r="S29" s="706">
        <f t="shared" ref="S29:S47" si="12">F29</f>
        <v>100</v>
      </c>
      <c r="T29" s="705" t="s">
        <v>14</v>
      </c>
      <c r="U29" s="706">
        <f t="shared" ref="U29:U47" si="13">H29</f>
        <v>100</v>
      </c>
      <c r="V29" s="705" t="s">
        <v>14</v>
      </c>
      <c r="W29" s="706">
        <f t="shared" ref="W29:W47" si="14">J29</f>
        <v>100</v>
      </c>
      <c r="X29" s="3459"/>
      <c r="Y29" s="3699"/>
      <c r="Z29" s="3460">
        <f t="shared" ref="Z29:Z47" si="15">Q29</f>
        <v>111</v>
      </c>
      <c r="AA29" s="3458">
        <f t="shared" si="3"/>
        <v>1</v>
      </c>
      <c r="AB29" s="3458">
        <f t="shared" si="4"/>
        <v>1</v>
      </c>
      <c r="AC29" s="1962">
        <f t="shared" si="5"/>
        <v>1</v>
      </c>
    </row>
    <row r="30" spans="1:29" ht="15.75"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6"/>
      <c r="Q30" s="3457">
        <f t="shared" si="11"/>
        <v>111</v>
      </c>
      <c r="R30" s="705" t="s">
        <v>14</v>
      </c>
      <c r="S30" s="706">
        <f t="shared" si="12"/>
        <v>100</v>
      </c>
      <c r="T30" s="705" t="s">
        <v>14</v>
      </c>
      <c r="U30" s="706">
        <f t="shared" si="13"/>
        <v>100</v>
      </c>
      <c r="V30" s="705" t="s">
        <v>14</v>
      </c>
      <c r="W30" s="706">
        <f t="shared" si="14"/>
        <v>100</v>
      </c>
      <c r="X30" s="3459"/>
      <c r="Y30" s="3699"/>
      <c r="Z30" s="3460">
        <f t="shared" si="15"/>
        <v>111</v>
      </c>
      <c r="AA30" s="3458">
        <f t="shared" si="3"/>
        <v>1</v>
      </c>
      <c r="AB30" s="3458">
        <f t="shared" si="4"/>
        <v>1</v>
      </c>
      <c r="AC30" s="1962">
        <f t="shared" si="5"/>
        <v>1</v>
      </c>
    </row>
    <row r="31" spans="1:29" ht="15.75"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6"/>
      <c r="Q31" s="3457">
        <f t="shared" si="11"/>
        <v>111</v>
      </c>
      <c r="R31" s="705" t="s">
        <v>14</v>
      </c>
      <c r="S31" s="706">
        <f t="shared" si="12"/>
        <v>100</v>
      </c>
      <c r="T31" s="705" t="s">
        <v>14</v>
      </c>
      <c r="U31" s="706">
        <f t="shared" si="13"/>
        <v>100</v>
      </c>
      <c r="V31" s="705" t="s">
        <v>14</v>
      </c>
      <c r="W31" s="706">
        <f t="shared" si="14"/>
        <v>100</v>
      </c>
      <c r="X31" s="3459"/>
      <c r="Y31" s="3699"/>
      <c r="Z31" s="3460">
        <f t="shared" si="15"/>
        <v>111</v>
      </c>
      <c r="AA31" s="3458">
        <f t="shared" si="3"/>
        <v>1</v>
      </c>
      <c r="AB31" s="3458">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6"/>
      <c r="Q32" s="3457">
        <f t="shared" si="11"/>
        <v>111</v>
      </c>
      <c r="R32" s="705" t="s">
        <v>14</v>
      </c>
      <c r="S32" s="706">
        <f t="shared" si="12"/>
        <v>100</v>
      </c>
      <c r="T32" s="705" t="s">
        <v>14</v>
      </c>
      <c r="U32" s="706">
        <f t="shared" si="13"/>
        <v>100</v>
      </c>
      <c r="V32" s="705" t="s">
        <v>14</v>
      </c>
      <c r="W32" s="706">
        <f t="shared" si="14"/>
        <v>100</v>
      </c>
      <c r="X32" s="3459"/>
      <c r="Y32" s="3699"/>
      <c r="Z32" s="3460">
        <f t="shared" si="15"/>
        <v>111</v>
      </c>
      <c r="AA32" s="3458">
        <f t="shared" si="3"/>
        <v>1</v>
      </c>
      <c r="AB32" s="3458">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0" t="s">
        <v>1696</v>
      </c>
      <c r="Q33" s="3457" t="str">
        <f t="shared" si="11"/>
        <v>建筑类型</v>
      </c>
      <c r="R33" s="705" t="s">
        <v>14</v>
      </c>
      <c r="S33" s="706">
        <f t="shared" si="12"/>
        <v>100</v>
      </c>
      <c r="T33" s="705" t="s">
        <v>14</v>
      </c>
      <c r="U33" s="706">
        <f t="shared" si="13"/>
        <v>100</v>
      </c>
      <c r="V33" s="705" t="s">
        <v>14</v>
      </c>
      <c r="W33" s="706">
        <f t="shared" si="14"/>
        <v>100</v>
      </c>
      <c r="X33" s="3459"/>
      <c r="Y33" s="3703" t="s">
        <v>1696</v>
      </c>
      <c r="Z33" s="3460" t="str">
        <f t="shared" si="15"/>
        <v>建筑类型</v>
      </c>
      <c r="AA33" s="3458">
        <f t="shared" si="3"/>
        <v>1</v>
      </c>
      <c r="AB33" s="3458">
        <f t="shared" si="4"/>
        <v>1</v>
      </c>
      <c r="AC33" s="1962">
        <f t="shared" si="5"/>
        <v>1</v>
      </c>
    </row>
    <row r="34" spans="1:29" s="422" customFormat="1" ht="15">
      <c r="A34" s="419"/>
      <c r="B34" s="375" t="s">
        <v>1697</v>
      </c>
      <c r="C34" s="420">
        <f>'数据-汇总表'!E19</f>
        <v>66.03</v>
      </c>
      <c r="D34" s="127">
        <v>100</v>
      </c>
      <c r="E34" s="381">
        <v>120</v>
      </c>
      <c r="F34" s="376">
        <f>LOOKUP(E34,104:104,105:105)-LOOKUP(C34,104:104,105:105)+100</f>
        <v>99</v>
      </c>
      <c r="G34" s="380">
        <v>45</v>
      </c>
      <c r="H34" s="127">
        <f>LOOKUP(G34,104:104,105:105)-LOOKUP(C34,104:104,105:105)+100</f>
        <v>101</v>
      </c>
      <c r="I34" s="380">
        <v>60</v>
      </c>
      <c r="J34" s="127">
        <f>LOOKUP(I34,104:104,105:105)-LOOKUP(C34,104:104,105:105)+100</f>
        <v>100</v>
      </c>
      <c r="K34" s="562"/>
      <c r="L34" s="2721"/>
      <c r="M34" s="2723"/>
      <c r="N34" s="2723"/>
      <c r="O34" s="2723"/>
      <c r="P34" s="3701"/>
      <c r="Q34" s="707" t="str">
        <f t="shared" si="11"/>
        <v>项目建筑规模</v>
      </c>
      <c r="R34" s="708" t="s">
        <v>14</v>
      </c>
      <c r="S34" s="709">
        <f t="shared" si="12"/>
        <v>99</v>
      </c>
      <c r="T34" s="708" t="s">
        <v>14</v>
      </c>
      <c r="U34" s="709">
        <f t="shared" si="13"/>
        <v>101</v>
      </c>
      <c r="V34" s="708" t="s">
        <v>14</v>
      </c>
      <c r="W34" s="709">
        <f t="shared" si="14"/>
        <v>100</v>
      </c>
      <c r="X34" s="710"/>
      <c r="Y34" s="3703"/>
      <c r="Z34" s="711" t="str">
        <f t="shared" si="15"/>
        <v>项目建筑规模</v>
      </c>
      <c r="AA34" s="3458">
        <f t="shared" si="3"/>
        <v>1.0101010101010102</v>
      </c>
      <c r="AB34" s="3458">
        <f t="shared" si="4"/>
        <v>0.99009900990099009</v>
      </c>
      <c r="AC34" s="1962">
        <f t="shared" si="5"/>
        <v>1</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1"/>
      <c r="Q35" s="3457" t="str">
        <f t="shared" si="11"/>
        <v>建筑结构</v>
      </c>
      <c r="R35" s="705" t="s">
        <v>14</v>
      </c>
      <c r="S35" s="706">
        <f t="shared" si="12"/>
        <v>100</v>
      </c>
      <c r="T35" s="705" t="s">
        <v>14</v>
      </c>
      <c r="U35" s="706">
        <f t="shared" si="13"/>
        <v>100</v>
      </c>
      <c r="V35" s="705" t="s">
        <v>14</v>
      </c>
      <c r="W35" s="706">
        <f t="shared" si="14"/>
        <v>100</v>
      </c>
      <c r="X35" s="3459"/>
      <c r="Y35" s="3703"/>
      <c r="Z35" s="3460" t="str">
        <f t="shared" si="15"/>
        <v>建筑结构</v>
      </c>
      <c r="AA35" s="3458">
        <f t="shared" si="3"/>
        <v>1</v>
      </c>
      <c r="AB35" s="3458">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1"/>
      <c r="Q36" s="3457" t="str">
        <f t="shared" si="11"/>
        <v>公共部分装修</v>
      </c>
      <c r="R36" s="705" t="s">
        <v>14</v>
      </c>
      <c r="S36" s="706">
        <f t="shared" si="12"/>
        <v>100</v>
      </c>
      <c r="T36" s="705" t="s">
        <v>14</v>
      </c>
      <c r="U36" s="706">
        <f t="shared" si="13"/>
        <v>100</v>
      </c>
      <c r="V36" s="705" t="s">
        <v>14</v>
      </c>
      <c r="W36" s="706">
        <f t="shared" si="14"/>
        <v>100</v>
      </c>
      <c r="X36" s="3459"/>
      <c r="Y36" s="3703"/>
      <c r="Z36" s="3460" t="str">
        <f t="shared" si="15"/>
        <v>公共部分装修</v>
      </c>
      <c r="AA36" s="3458">
        <f t="shared" si="3"/>
        <v>1</v>
      </c>
      <c r="AB36" s="3458">
        <f t="shared" si="4"/>
        <v>1</v>
      </c>
      <c r="AC36" s="1962">
        <f t="shared" si="5"/>
        <v>1</v>
      </c>
    </row>
    <row r="37" spans="1:29" ht="15">
      <c r="A37" s="423"/>
      <c r="B37" s="375" t="s">
        <v>1786</v>
      </c>
      <c r="C37" s="425">
        <f>'数据-取费表'!Y6</f>
        <v>0.65</v>
      </c>
      <c r="D37" s="386">
        <v>100</v>
      </c>
      <c r="E37" s="425">
        <v>0.6</v>
      </c>
      <c r="F37" s="412">
        <f>LOOKUP(E37,111:111,112:112)-LOOKUP(C37,111:111,112:112)+100</f>
        <v>100</v>
      </c>
      <c r="G37" s="425">
        <v>0.6</v>
      </c>
      <c r="H37" s="412">
        <f>LOOKUP(G37,111:111,112:112)-LOOKUP(C37,111:111,112:112)+100</f>
        <v>100</v>
      </c>
      <c r="I37" s="425">
        <v>0.6</v>
      </c>
      <c r="J37" s="386">
        <f>LOOKUP(I37,111:111,112:112)-LOOKUP(C37,111:111,112:112)+100</f>
        <v>100</v>
      </c>
      <c r="K37" s="561">
        <v>0.5</v>
      </c>
      <c r="L37" s="2722"/>
      <c r="M37" s="2716"/>
      <c r="N37" s="2716"/>
      <c r="O37" s="2716"/>
      <c r="P37" s="3701"/>
      <c r="Q37" s="3457" t="str">
        <f t="shared" si="11"/>
        <v>成新度</v>
      </c>
      <c r="R37" s="705" t="s">
        <v>14</v>
      </c>
      <c r="S37" s="706">
        <f t="shared" si="12"/>
        <v>100</v>
      </c>
      <c r="T37" s="705" t="s">
        <v>14</v>
      </c>
      <c r="U37" s="706">
        <f t="shared" si="13"/>
        <v>100</v>
      </c>
      <c r="V37" s="705" t="s">
        <v>14</v>
      </c>
      <c r="W37" s="706">
        <f t="shared" si="14"/>
        <v>100</v>
      </c>
      <c r="X37" s="3459"/>
      <c r="Y37" s="3703"/>
      <c r="Z37" s="3460" t="str">
        <f t="shared" si="15"/>
        <v>成新度</v>
      </c>
      <c r="AA37" s="3458">
        <f t="shared" si="3"/>
        <v>1</v>
      </c>
      <c r="AB37" s="3458">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1"/>
      <c r="Q38" s="3455" t="str">
        <f t="shared" si="11"/>
        <v>写字楼等级</v>
      </c>
      <c r="R38" s="701" t="s">
        <v>14</v>
      </c>
      <c r="S38" s="702">
        <f t="shared" si="12"/>
        <v>100</v>
      </c>
      <c r="T38" s="701" t="s">
        <v>14</v>
      </c>
      <c r="U38" s="702">
        <f t="shared" si="13"/>
        <v>100</v>
      </c>
      <c r="V38" s="701" t="s">
        <v>14</v>
      </c>
      <c r="W38" s="702">
        <f t="shared" si="14"/>
        <v>100</v>
      </c>
      <c r="X38" s="703"/>
      <c r="Y38" s="3703"/>
      <c r="Z38" s="3454"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1" t="s">
        <v>1696</v>
      </c>
      <c r="Q39" s="3457" t="str">
        <f t="shared" si="11"/>
        <v>物业管理</v>
      </c>
      <c r="R39" s="705" t="s">
        <v>14</v>
      </c>
      <c r="S39" s="706">
        <f t="shared" si="12"/>
        <v>100</v>
      </c>
      <c r="T39" s="705" t="s">
        <v>14</v>
      </c>
      <c r="U39" s="706">
        <f t="shared" si="13"/>
        <v>100</v>
      </c>
      <c r="V39" s="705" t="s">
        <v>14</v>
      </c>
      <c r="W39" s="706">
        <f t="shared" si="14"/>
        <v>100</v>
      </c>
      <c r="X39" s="3459"/>
      <c r="Y39" s="3703" t="s">
        <v>1696</v>
      </c>
      <c r="Z39" s="3460" t="str">
        <f t="shared" si="15"/>
        <v>物业管理</v>
      </c>
      <c r="AA39" s="3458">
        <f t="shared" si="3"/>
        <v>1</v>
      </c>
      <c r="AB39" s="3458">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1"/>
      <c r="Q40" s="3457" t="str">
        <f t="shared" si="11"/>
        <v>市政基础设施</v>
      </c>
      <c r="R40" s="705" t="s">
        <v>14</v>
      </c>
      <c r="S40" s="706">
        <f t="shared" si="12"/>
        <v>100</v>
      </c>
      <c r="T40" s="705" t="s">
        <v>14</v>
      </c>
      <c r="U40" s="706">
        <f t="shared" si="13"/>
        <v>100</v>
      </c>
      <c r="V40" s="705" t="s">
        <v>14</v>
      </c>
      <c r="W40" s="706">
        <f t="shared" si="14"/>
        <v>100</v>
      </c>
      <c r="X40" s="3459"/>
      <c r="Y40" s="3703"/>
      <c r="Z40" s="3460" t="str">
        <f t="shared" si="15"/>
        <v>市政基础设施</v>
      </c>
      <c r="AA40" s="3458">
        <f t="shared" si="3"/>
        <v>1</v>
      </c>
      <c r="AB40" s="3458">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1"/>
      <c r="Q41" s="3457" t="str">
        <f t="shared" si="11"/>
        <v>层高</v>
      </c>
      <c r="R41" s="705" t="s">
        <v>14</v>
      </c>
      <c r="S41" s="706">
        <f t="shared" si="12"/>
        <v>100</v>
      </c>
      <c r="T41" s="705" t="s">
        <v>14</v>
      </c>
      <c r="U41" s="706">
        <f t="shared" si="13"/>
        <v>100</v>
      </c>
      <c r="V41" s="705" t="s">
        <v>14</v>
      </c>
      <c r="W41" s="706">
        <f t="shared" si="14"/>
        <v>100</v>
      </c>
      <c r="X41" s="3459"/>
      <c r="Y41" s="3703"/>
      <c r="Z41" s="3460" t="str">
        <f t="shared" si="15"/>
        <v>层高</v>
      </c>
      <c r="AA41" s="3458">
        <f t="shared" si="3"/>
        <v>1</v>
      </c>
      <c r="AB41" s="3458">
        <f t="shared" si="4"/>
        <v>1</v>
      </c>
      <c r="AC41" s="1962">
        <f t="shared" si="5"/>
        <v>1</v>
      </c>
    </row>
    <row r="42" spans="1:29" s="422" customFormat="1" ht="15">
      <c r="A42" s="419"/>
      <c r="B42" s="3456"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3458">
        <f t="shared" si="3"/>
        <v>1</v>
      </c>
      <c r="AB42" s="3458">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1"/>
      <c r="Q43" s="3457" t="str">
        <f t="shared" si="11"/>
        <v>内部装修</v>
      </c>
      <c r="R43" s="705" t="s">
        <v>14</v>
      </c>
      <c r="S43" s="706">
        <f t="shared" si="12"/>
        <v>100</v>
      </c>
      <c r="T43" s="705" t="s">
        <v>14</v>
      </c>
      <c r="U43" s="706">
        <f t="shared" si="13"/>
        <v>100</v>
      </c>
      <c r="V43" s="705" t="s">
        <v>14</v>
      </c>
      <c r="W43" s="706">
        <f t="shared" si="14"/>
        <v>100</v>
      </c>
      <c r="X43" s="3459"/>
      <c r="Y43" s="3703"/>
      <c r="Z43" s="3460" t="str">
        <f t="shared" si="15"/>
        <v>内部装修</v>
      </c>
      <c r="AA43" s="3458">
        <f t="shared" si="3"/>
        <v>1</v>
      </c>
      <c r="AB43" s="3458">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1"/>
      <c r="Q44" s="3457" t="str">
        <f t="shared" si="11"/>
        <v>内部装修维护情况</v>
      </c>
      <c r="R44" s="705" t="s">
        <v>14</v>
      </c>
      <c r="S44" s="706">
        <f t="shared" si="12"/>
        <v>100</v>
      </c>
      <c r="T44" s="705" t="s">
        <v>14</v>
      </c>
      <c r="U44" s="706">
        <f t="shared" si="13"/>
        <v>100</v>
      </c>
      <c r="V44" s="705" t="s">
        <v>14</v>
      </c>
      <c r="W44" s="706">
        <f t="shared" si="14"/>
        <v>100</v>
      </c>
      <c r="X44" s="3459"/>
      <c r="Y44" s="3703"/>
      <c r="Z44" s="3460" t="str">
        <f t="shared" si="15"/>
        <v>内部装修维护情况</v>
      </c>
      <c r="AA44" s="3458">
        <f t="shared" si="3"/>
        <v>1</v>
      </c>
      <c r="AB44" s="3458">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1"/>
      <c r="Q45" s="3455">
        <f t="shared" si="11"/>
        <v>111</v>
      </c>
      <c r="R45" s="701" t="s">
        <v>14</v>
      </c>
      <c r="S45" s="702">
        <f t="shared" si="12"/>
        <v>100</v>
      </c>
      <c r="T45" s="701" t="s">
        <v>14</v>
      </c>
      <c r="U45" s="702">
        <f t="shared" si="13"/>
        <v>100</v>
      </c>
      <c r="V45" s="701" t="s">
        <v>14</v>
      </c>
      <c r="W45" s="702">
        <f t="shared" si="14"/>
        <v>100</v>
      </c>
      <c r="X45" s="703"/>
      <c r="Y45" s="3703"/>
      <c r="Z45" s="3454">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1"/>
      <c r="Q46" s="3457">
        <f t="shared" si="11"/>
        <v>111</v>
      </c>
      <c r="R46" s="705" t="s">
        <v>14</v>
      </c>
      <c r="S46" s="706">
        <f t="shared" si="12"/>
        <v>100</v>
      </c>
      <c r="T46" s="705" t="s">
        <v>14</v>
      </c>
      <c r="U46" s="706">
        <f t="shared" si="13"/>
        <v>100</v>
      </c>
      <c r="V46" s="705" t="s">
        <v>14</v>
      </c>
      <c r="W46" s="706">
        <f t="shared" si="14"/>
        <v>100</v>
      </c>
      <c r="X46" s="3459"/>
      <c r="Y46" s="3703"/>
      <c r="Z46" s="3460">
        <f t="shared" si="15"/>
        <v>111</v>
      </c>
      <c r="AA46" s="3458">
        <f t="shared" si="3"/>
        <v>1</v>
      </c>
      <c r="AB46" s="3458">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2"/>
      <c r="Q47" s="3457">
        <f t="shared" si="11"/>
        <v>111</v>
      </c>
      <c r="R47" s="705" t="s">
        <v>14</v>
      </c>
      <c r="S47" s="706">
        <f t="shared" si="12"/>
        <v>100</v>
      </c>
      <c r="T47" s="705" t="s">
        <v>14</v>
      </c>
      <c r="U47" s="706">
        <f t="shared" si="13"/>
        <v>100</v>
      </c>
      <c r="V47" s="705" t="s">
        <v>14</v>
      </c>
      <c r="W47" s="706">
        <f t="shared" si="14"/>
        <v>100</v>
      </c>
      <c r="X47" s="3459"/>
      <c r="Y47" s="3704"/>
      <c r="Z47" s="3460">
        <f t="shared" si="15"/>
        <v>111</v>
      </c>
      <c r="AA47" s="3458">
        <f t="shared" si="3"/>
        <v>1</v>
      </c>
      <c r="AB47" s="3458">
        <f t="shared" si="4"/>
        <v>1</v>
      </c>
      <c r="AC47" s="1962">
        <f t="shared" si="5"/>
        <v>1</v>
      </c>
    </row>
    <row r="48" spans="1:29" ht="15">
      <c r="A48" s="430" t="s">
        <v>1708</v>
      </c>
      <c r="B48" s="431"/>
      <c r="C48" s="1154" t="s">
        <v>0</v>
      </c>
      <c r="D48" s="1155"/>
      <c r="E48" s="1156">
        <v>2.33</v>
      </c>
      <c r="F48" s="1157"/>
      <c r="G48" s="1158">
        <v>2.37</v>
      </c>
      <c r="H48" s="1159"/>
      <c r="I48" s="1156">
        <v>2.78</v>
      </c>
      <c r="J48" s="436"/>
      <c r="K48" s="714"/>
      <c r="L48" s="2724"/>
      <c r="M48" s="2716"/>
      <c r="N48" s="2716"/>
      <c r="O48" s="2716"/>
      <c r="P48" s="3707" t="str">
        <f>A48</f>
        <v>成交单价（元/平方米）</v>
      </c>
      <c r="Q48" s="3696"/>
      <c r="R48" s="3697">
        <f>E48</f>
        <v>2.33</v>
      </c>
      <c r="S48" s="3697"/>
      <c r="T48" s="3697">
        <f>G48</f>
        <v>2.37</v>
      </c>
      <c r="U48" s="3697"/>
      <c r="V48" s="3697">
        <f>I48</f>
        <v>2.78</v>
      </c>
      <c r="W48" s="3697"/>
      <c r="X48" s="397"/>
      <c r="Y48" s="712"/>
      <c r="Z48" s="397"/>
      <c r="AA48" s="397"/>
      <c r="AB48" s="397"/>
      <c r="AC48" s="578"/>
    </row>
    <row r="49" spans="1:29" ht="15.75" thickBot="1">
      <c r="A49" s="437" t="s">
        <v>1793</v>
      </c>
      <c r="B49" s="438"/>
      <c r="C49" s="1160">
        <f>R50</f>
        <v>2.4900000000000002</v>
      </c>
      <c r="D49" s="2317" t="s">
        <v>2138</v>
      </c>
      <c r="E49" s="1161">
        <f>R49</f>
        <v>2.35</v>
      </c>
      <c r="F49" s="2318"/>
      <c r="G49" s="1160">
        <f>T49</f>
        <v>2.35</v>
      </c>
      <c r="H49" s="2318"/>
      <c r="I49" s="1161">
        <f>V49</f>
        <v>2.77</v>
      </c>
      <c r="J49" s="2318"/>
      <c r="K49" s="2320">
        <f>F49+H49+J49</f>
        <v>0</v>
      </c>
      <c r="L49" s="2724"/>
      <c r="M49" s="2716"/>
      <c r="N49" s="2716"/>
      <c r="O49" s="2716"/>
      <c r="P49" s="3707" t="str">
        <f>A49</f>
        <v>比较价值（元/平方米）</v>
      </c>
      <c r="Q49" s="3696"/>
      <c r="R49" s="3697">
        <f>IF(F1="售价",ROUND(PRODUCT(R48,AA7:AA47),2),ROUND(PRODUCT(R48,AA7:AA47),2))</f>
        <v>2.35</v>
      </c>
      <c r="S49" s="3697"/>
      <c r="T49" s="3697">
        <f>IF(F1="售价",ROUND(PRODUCT(T48,AB7:AB47),2),ROUND(PRODUCT(T48,AB7:AB47),2))</f>
        <v>2.35</v>
      </c>
      <c r="U49" s="3697"/>
      <c r="V49" s="3697">
        <f>IF(F1="售价",ROUND(PRODUCT(V48,AC7:AC47),2),ROUND(PRODUCT(V48,AC7:AC47),2))</f>
        <v>2.77</v>
      </c>
      <c r="W49" s="3697"/>
      <c r="X49" s="397"/>
      <c r="Y49" s="397"/>
      <c r="Z49" s="397"/>
      <c r="AA49" s="397"/>
      <c r="AB49" s="397"/>
      <c r="AC49" s="578"/>
    </row>
    <row r="50" spans="1:29" ht="15.75" thickBot="1">
      <c r="A50" s="441" t="s">
        <v>1794</v>
      </c>
      <c r="B50" s="442"/>
      <c r="C50" s="1163">
        <f>R50</f>
        <v>2.4900000000000002</v>
      </c>
      <c r="D50" s="1163"/>
      <c r="E50" s="1163"/>
      <c r="F50" s="1163"/>
      <c r="G50" s="1163"/>
      <c r="H50" s="1163"/>
      <c r="I50" s="1163"/>
      <c r="J50" s="443"/>
      <c r="K50" s="715"/>
      <c r="L50" s="2724"/>
      <c r="M50" s="2716"/>
      <c r="N50" s="2716"/>
      <c r="O50" s="2716"/>
      <c r="P50" s="3739" t="str">
        <f>A50</f>
        <v>估价对象XX用房的比较价值（楼面单价，元/平方米）</v>
      </c>
      <c r="Q50" s="3740"/>
      <c r="R50" s="3741">
        <f>IF(F1="售价",ROUND(IF(D49="简单平均",AVERAGE(R49:V49),R49*F49+T49*H49+V49*J49),2),ROUND(IF(D49="简单平均",AVERAGE(R49:V49),R49*F49+T49*H49+V49*J49),1))</f>
        <v>2.4900000000000002</v>
      </c>
      <c r="S50" s="3741"/>
      <c r="T50" s="3741"/>
      <c r="U50" s="3741"/>
      <c r="V50" s="3741"/>
      <c r="W50" s="374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8.5836909871244149E-3</v>
      </c>
      <c r="F53" s="449" t="str">
        <f>IF(OR(E53&gt;=0.3,E53&lt;=-0.3),"超过30%","")</f>
        <v/>
      </c>
      <c r="G53" s="448">
        <f>IF(G48&lt;G49,G49/G48-1,G48/G49-1)</f>
        <v>8.5106382978723527E-3</v>
      </c>
      <c r="H53" s="449" t="str">
        <f>IF(OR(G53&gt;=0.3,G53&lt;=-0.3),"超过30%","")</f>
        <v/>
      </c>
      <c r="I53" s="448">
        <f>IF(I48&lt;I49,I49/I48-1,I48/I49-1)</f>
        <v>3.6101083032489267E-3</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0</v>
      </c>
      <c r="F54" s="449" t="str">
        <f>IF(OR(E54&gt;=0.2,E54&lt;=-0.2),"超过20%","")</f>
        <v/>
      </c>
      <c r="G54" s="448">
        <f>IF(G49&lt;I49,I49/G49-1,G49/I49-1)</f>
        <v>0.17872340425531918</v>
      </c>
      <c r="H54" s="449" t="str">
        <f>IF(OR(G54&gt;=0.2,G54&lt;=-0.2),"超过20%","")</f>
        <v/>
      </c>
      <c r="I54" s="448">
        <f>IF(I49&lt;E49,E49/I49-1,I49/E49-1)</f>
        <v>0.17872340425531918</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1.7167381974249052E-2</v>
      </c>
      <c r="F55" s="449" t="str">
        <f>IF(OR(E55&gt;=0.3,E55&lt;=-0.3),"超过30%","")</f>
        <v/>
      </c>
      <c r="G55" s="448">
        <f>IF(G48&lt;I48,I48/G48-1,G48/I48-1)</f>
        <v>0.17299578059071719</v>
      </c>
      <c r="H55" s="449" t="str">
        <f>IF(OR(G55&gt;=0.3,G55&lt;=-0.3),"超过30%","")</f>
        <v/>
      </c>
      <c r="I55" s="448">
        <f>IF(I48&lt;E48,E48/I48-1,I48/E48-1)</f>
        <v>0.19313304721030033</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2023-12</v>
      </c>
      <c r="D59" s="1185">
        <f>EDATE(C59,-1)</f>
        <v>45231</v>
      </c>
      <c r="E59" s="1185">
        <f>EDATE(D59,-1)</f>
        <v>45200</v>
      </c>
      <c r="F59" s="1185">
        <f t="shared" ref="F59:O59" si="16">EDATE(E59,-1)</f>
        <v>45170</v>
      </c>
      <c r="G59" s="1185">
        <f t="shared" si="16"/>
        <v>45139</v>
      </c>
      <c r="H59" s="1185">
        <f t="shared" si="16"/>
        <v>45108</v>
      </c>
      <c r="I59" s="1185">
        <f t="shared" si="16"/>
        <v>45078</v>
      </c>
      <c r="J59" s="1185">
        <f t="shared" si="16"/>
        <v>45047</v>
      </c>
      <c r="K59" s="1185">
        <f t="shared" si="16"/>
        <v>45017</v>
      </c>
      <c r="L59" s="1185">
        <f t="shared" si="16"/>
        <v>44986</v>
      </c>
      <c r="M59" s="1185">
        <f t="shared" si="16"/>
        <v>44958</v>
      </c>
      <c r="N59" s="1185">
        <f t="shared" si="16"/>
        <v>44927</v>
      </c>
      <c r="O59" s="1185">
        <f t="shared" si="16"/>
        <v>44896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v>100</v>
      </c>
      <c r="E60" s="461">
        <v>100</v>
      </c>
      <c r="F60" s="461">
        <v>100</v>
      </c>
      <c r="G60" s="461">
        <v>100</v>
      </c>
      <c r="H60" s="461">
        <v>100</v>
      </c>
      <c r="I60" s="461">
        <v>100.5</v>
      </c>
      <c r="J60" s="461">
        <v>100.5</v>
      </c>
      <c r="K60" s="461">
        <v>100.5</v>
      </c>
      <c r="L60" s="461">
        <v>100.5</v>
      </c>
      <c r="M60" s="462">
        <v>100.5</v>
      </c>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3463" t="s">
        <v>3603</v>
      </c>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v>100</v>
      </c>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t="s">
        <v>3579</v>
      </c>
      <c r="D66" s="532" t="s">
        <v>3580</v>
      </c>
      <c r="E66" s="532" t="s">
        <v>3581</v>
      </c>
      <c r="F66" s="532" t="s">
        <v>3582</v>
      </c>
      <c r="G66" s="532" t="s">
        <v>3583</v>
      </c>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v>100</v>
      </c>
      <c r="D67" s="485">
        <v>100</v>
      </c>
      <c r="E67" s="485">
        <v>100</v>
      </c>
      <c r="F67" s="485">
        <v>100</v>
      </c>
      <c r="G67" s="485">
        <v>100</v>
      </c>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99.5</v>
      </c>
      <c r="E86" s="493">
        <f>D86-$K23</f>
        <v>99</v>
      </c>
      <c r="F86" s="493">
        <f>E86-$K23</f>
        <v>98.5</v>
      </c>
      <c r="G86" s="493">
        <f>F86-$K23</f>
        <v>98</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3453" t="s">
        <v>3594</v>
      </c>
      <c r="D87" s="3453" t="s">
        <v>3595</v>
      </c>
      <c r="E87" s="3453" t="s">
        <v>3597</v>
      </c>
      <c r="F87" s="3453" t="s">
        <v>3598</v>
      </c>
      <c r="G87" s="3453" t="s">
        <v>3599</v>
      </c>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3" t="s">
        <v>3587</v>
      </c>
      <c r="D89" s="3453" t="s">
        <v>3588</v>
      </c>
      <c r="E89" s="3453" t="s">
        <v>3590</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0(含)-30</v>
      </c>
      <c r="D103" s="527" t="str">
        <f t="shared" ref="D103:L103" si="23">D104&amp;"(含)"&amp;"-"&amp;E104</f>
        <v>30(含)-60</v>
      </c>
      <c r="E103" s="527" t="str">
        <f t="shared" si="23"/>
        <v>60(含)-120</v>
      </c>
      <c r="F103" s="527" t="str">
        <f t="shared" si="23"/>
        <v>120(含)-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30</v>
      </c>
      <c r="E104" s="544">
        <v>60</v>
      </c>
      <c r="F104" s="544">
        <v>120</v>
      </c>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v>99</v>
      </c>
      <c r="E105" s="485">
        <v>98</v>
      </c>
      <c r="F105" s="485">
        <v>97</v>
      </c>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100.5</v>
      </c>
      <c r="E112" s="493">
        <f t="shared" ref="E112:M112" si="26">D112+$K37</f>
        <v>101</v>
      </c>
      <c r="F112" s="493">
        <f t="shared" si="26"/>
        <v>101.5</v>
      </c>
      <c r="G112" s="493">
        <f t="shared" si="26"/>
        <v>102</v>
      </c>
      <c r="H112" s="493">
        <f t="shared" si="26"/>
        <v>102.5</v>
      </c>
      <c r="I112" s="493">
        <f t="shared" si="26"/>
        <v>103</v>
      </c>
      <c r="J112" s="493">
        <f t="shared" si="26"/>
        <v>103.5</v>
      </c>
      <c r="K112" s="493">
        <f t="shared" si="26"/>
        <v>104</v>
      </c>
      <c r="L112" s="493">
        <f t="shared" si="26"/>
        <v>104.5</v>
      </c>
      <c r="M112" s="493">
        <f t="shared" si="26"/>
        <v>105</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25" priority="20" stopIfTrue="1" operator="containsText" text="超过">
      <formula>NOT(ISERROR(SEARCH("超过",F53)))</formula>
    </cfRule>
  </conditionalFormatting>
  <conditionalFormatting sqref="H55">
    <cfRule type="containsText" dxfId="24" priority="19" stopIfTrue="1" operator="containsText" text="超过">
      <formula>NOT(ISERROR(SEARCH("超过",H55)))</formula>
    </cfRule>
  </conditionalFormatting>
  <conditionalFormatting sqref="F55">
    <cfRule type="containsText" dxfId="23" priority="18" stopIfTrue="1" operator="containsText" text="超过">
      <formula>NOT(ISERROR(SEARCH("超过",F55)))</formula>
    </cfRule>
  </conditionalFormatting>
  <conditionalFormatting sqref="F54 H54">
    <cfRule type="containsText" dxfId="22" priority="17" stopIfTrue="1" operator="containsText" text="超过">
      <formula>NOT(ISERROR(SEARCH("超过",F54)))</formula>
    </cfRule>
  </conditionalFormatting>
  <conditionalFormatting sqref="E53">
    <cfRule type="expression" dxfId="21" priority="16" stopIfTrue="1">
      <formula>$F$53="超过30%"</formula>
    </cfRule>
  </conditionalFormatting>
  <conditionalFormatting sqref="E54">
    <cfRule type="expression" dxfId="20" priority="15" stopIfTrue="1">
      <formula>$F$54="超过20%"</formula>
    </cfRule>
  </conditionalFormatting>
  <conditionalFormatting sqref="E55">
    <cfRule type="expression" dxfId="19" priority="14" stopIfTrue="1">
      <formula>$F$55="超过30%"</formula>
    </cfRule>
  </conditionalFormatting>
  <conditionalFormatting sqref="G55">
    <cfRule type="expression" dxfId="18" priority="13" stopIfTrue="1">
      <formula>$H$55="超过30%"</formula>
    </cfRule>
  </conditionalFormatting>
  <conditionalFormatting sqref="G53">
    <cfRule type="expression" dxfId="17" priority="12" stopIfTrue="1">
      <formula>$H$53="超过30%"</formula>
    </cfRule>
  </conditionalFormatting>
  <conditionalFormatting sqref="G54">
    <cfRule type="expression" dxfId="16" priority="11" stopIfTrue="1">
      <formula>$H$54="超过20%"</formula>
    </cfRule>
  </conditionalFormatting>
  <conditionalFormatting sqref="J53">
    <cfRule type="containsText" dxfId="15" priority="10" stopIfTrue="1" operator="containsText" text="超过">
      <formula>NOT(ISERROR(SEARCH("超过",J53)))</formula>
    </cfRule>
  </conditionalFormatting>
  <conditionalFormatting sqref="J55">
    <cfRule type="containsText" dxfId="14" priority="9" stopIfTrue="1" operator="containsText" text="超过">
      <formula>NOT(ISERROR(SEARCH("超过",J55)))</formula>
    </cfRule>
  </conditionalFormatting>
  <conditionalFormatting sqref="J54">
    <cfRule type="containsText" dxfId="13" priority="8" stopIfTrue="1" operator="containsText" text="超过">
      <formula>NOT(ISERROR(SEARCH("超过",J54)))</formula>
    </cfRule>
  </conditionalFormatting>
  <conditionalFormatting sqref="I53">
    <cfRule type="expression" dxfId="12" priority="7" stopIfTrue="1">
      <formula>$J$53="超过30%"</formula>
    </cfRule>
  </conditionalFormatting>
  <conditionalFormatting sqref="I54">
    <cfRule type="expression" dxfId="11" priority="6" stopIfTrue="1">
      <formula>$J$53+$J$54="超过20%"</formula>
    </cfRule>
  </conditionalFormatting>
  <conditionalFormatting sqref="I55">
    <cfRule type="expression" dxfId="10" priority="5" stopIfTrue="1">
      <formula>$J$55="超过30%"</formula>
    </cfRule>
  </conditionalFormatting>
  <conditionalFormatting sqref="F49">
    <cfRule type="expression" dxfId="9" priority="4">
      <formula>$D$49="简单平均"</formula>
    </cfRule>
  </conditionalFormatting>
  <conditionalFormatting sqref="H49">
    <cfRule type="expression" dxfId="8" priority="3">
      <formula>$D$49="简单平均"</formula>
    </cfRule>
  </conditionalFormatting>
  <conditionalFormatting sqref="J49">
    <cfRule type="expression" dxfId="7" priority="2">
      <formula>$D$49="简单平均"</formula>
    </cfRule>
  </conditionalFormatting>
  <conditionalFormatting sqref="F7:F47 H7:H47 J7:J47">
    <cfRule type="cellIs" dxfId="6"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I4:J6"/>
  <sheetViews>
    <sheetView topLeftCell="A106" zoomScale="120" zoomScaleNormal="120" workbookViewId="0">
      <selection activeCell="K69" sqref="K69"/>
    </sheetView>
  </sheetViews>
  <sheetFormatPr defaultRowHeight="13.5"/>
  <cols>
    <col min="9" max="9" width="12.625" customWidth="1"/>
  </cols>
  <sheetData>
    <row r="4" spans="9:10">
      <c r="I4" s="3464" t="s">
        <v>3606</v>
      </c>
      <c r="J4">
        <v>2000</v>
      </c>
    </row>
    <row r="5" spans="9:10">
      <c r="I5" s="3464" t="s">
        <v>3607</v>
      </c>
      <c r="J5">
        <v>1999</v>
      </c>
    </row>
    <row r="6" spans="9:10">
      <c r="I6" s="3464" t="s">
        <v>3608</v>
      </c>
      <c r="J6">
        <v>2000</v>
      </c>
    </row>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A20" sqref="A20:XFD2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21</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70.826599999999999</v>
      </c>
      <c r="C2" s="199" t="s">
        <v>1463</v>
      </c>
      <c r="D2" s="1853" t="s">
        <v>43</v>
      </c>
      <c r="E2" s="1169" t="e">
        <f ca="1">SUMIF(INDIRECT("'"&amp;G2&amp;"'"&amp;"!A:A"),"承租人权益价值",INDIRECT("'"&amp;G2&amp;"'"&amp;"!c:c"))</f>
        <v>#DIV/0!</v>
      </c>
      <c r="F2" s="1854" t="s">
        <v>1463</v>
      </c>
      <c r="G2" s="1855" t="s">
        <v>3601</v>
      </c>
    </row>
    <row r="3" spans="1:8" s="200" customFormat="1" ht="18" customHeight="1" thickBot="1">
      <c r="A3" s="203" t="s">
        <v>1464</v>
      </c>
      <c r="B3" s="204">
        <f ca="1">ROUND(B2*10000/(IF(B1="",'数据-汇总表'!E3,INDIRECT("'数据-取费表'!k"&amp;$G$1))),0)</f>
        <v>10726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329406</v>
      </c>
      <c r="D5" s="211" t="s">
        <v>1469</v>
      </c>
      <c r="E5" s="212" t="s">
        <v>1470</v>
      </c>
      <c r="F5" s="212" t="s">
        <v>1471</v>
      </c>
      <c r="G5" s="213"/>
    </row>
    <row r="6" spans="1:8" s="214" customFormat="1" ht="13.5" customHeight="1">
      <c r="A6" s="778" t="s">
        <v>1472</v>
      </c>
      <c r="B6" s="215" t="s">
        <v>1473</v>
      </c>
      <c r="C6" s="216">
        <f>ROUND(基准地价修正!C33*基准地价修正!D33,0)</f>
        <v>306841</v>
      </c>
      <c r="D6" s="217"/>
      <c r="E6" s="218"/>
      <c r="F6" s="218"/>
      <c r="G6" s="219"/>
    </row>
    <row r="7" spans="1:8" s="214" customFormat="1" ht="13.5" customHeight="1">
      <c r="A7" s="778" t="s">
        <v>1474</v>
      </c>
      <c r="B7" s="215" t="s">
        <v>1475</v>
      </c>
      <c r="C7" s="220">
        <f>ROUND(C6*F7,0)</f>
        <v>9359</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13206</v>
      </c>
      <c r="D8" s="222"/>
      <c r="E8" s="220"/>
      <c r="F8" s="221"/>
      <c r="G8" s="1856" t="s">
        <v>3407</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13206</v>
      </c>
      <c r="D10" s="845">
        <f ca="1">IF(B1="",'数据-汇总表'!E6,IF(INDIRECT("'数据-取费表'!c"&amp;$G$1)="住宅",INDIRECT("'数据-取费表'!s"&amp;$G$1),INDIRECT("'数据-取费表'!k"&amp;$G$1)+INDIRECT("'数据-取费表'!s"&amp;$G$1)))</f>
        <v>66.03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66.03</v>
      </c>
      <c r="E19" s="211">
        <f>'数据-取费表'!B31</f>
        <v>300</v>
      </c>
      <c r="F19" s="231"/>
      <c r="G19" s="1856" t="s">
        <v>3408</v>
      </c>
    </row>
    <row r="20" spans="1:7" s="214" customFormat="1" ht="13.5" customHeight="1">
      <c r="A20" s="255" t="s">
        <v>1574</v>
      </c>
      <c r="B20" s="210" t="s">
        <v>1575</v>
      </c>
      <c r="C20" s="232">
        <f ca="1">ROUND((C5+C19)*F20,0)</f>
        <v>6588</v>
      </c>
      <c r="D20" s="232"/>
      <c r="E20" s="232"/>
      <c r="F20" s="233">
        <f>'数据-取费表'!B37</f>
        <v>0.02</v>
      </c>
      <c r="G20" s="234" t="s">
        <v>1576</v>
      </c>
    </row>
    <row r="21" spans="1:7" s="214" customFormat="1" ht="13.5" customHeight="1">
      <c r="A21" s="255" t="s">
        <v>1577</v>
      </c>
      <c r="B21" s="210" t="s">
        <v>1578</v>
      </c>
      <c r="C21" s="235">
        <f>F21</f>
        <v>0.05</v>
      </c>
      <c r="D21" s="236" t="s">
        <v>1579</v>
      </c>
      <c r="E21" s="232"/>
      <c r="F21" s="233">
        <f>'数据-取费表'!B38</f>
        <v>0.05</v>
      </c>
      <c r="G21" s="234" t="s">
        <v>1580</v>
      </c>
    </row>
    <row r="22" spans="1:7" s="214" customFormat="1" ht="13.5" customHeight="1">
      <c r="A22" s="255" t="s">
        <v>1581</v>
      </c>
      <c r="B22" s="210" t="s">
        <v>1582</v>
      </c>
      <c r="C22" s="1127">
        <f ca="1">ROUND(SUM(C23:C25),0)</f>
        <v>14472</v>
      </c>
      <c r="D22" s="235">
        <f ca="1">C26</f>
        <v>1.1000000000000001E-3</v>
      </c>
      <c r="E22" s="236" t="s">
        <v>1579</v>
      </c>
      <c r="F22" s="237">
        <f ca="1">'数据-取费表'!B40</f>
        <v>4.3500000000000004E-2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14329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143</v>
      </c>
      <c r="D25" s="238"/>
      <c r="E25" s="241"/>
      <c r="F25" s="239"/>
      <c r="G25" s="242" t="s">
        <v>1588</v>
      </c>
    </row>
    <row r="26" spans="1:7" s="214" customFormat="1">
      <c r="A26" s="780" t="s">
        <v>350</v>
      </c>
      <c r="B26" s="215" t="s">
        <v>1511</v>
      </c>
      <c r="C26" s="238">
        <f ca="1">ROUND(IF('数据-取费表'!B22&lt;=1,F21*F22*'数据-取费表'!B22/2,F21*(POWER((1+F22),'数据-取费表'!B22/2)-1)),4)</f>
        <v>1.1000000000000001E-3</v>
      </c>
      <c r="D26" s="238"/>
      <c r="E26" s="241"/>
      <c r="F26" s="239"/>
      <c r="G26" s="243"/>
    </row>
    <row r="27" spans="1:7" s="214" customFormat="1" ht="24.75">
      <c r="A27" s="255" t="s">
        <v>1512</v>
      </c>
      <c r="B27" s="244" t="s">
        <v>1513</v>
      </c>
      <c r="C27" s="245">
        <f ca="1">C28</f>
        <v>50399</v>
      </c>
      <c r="D27" s="235">
        <f ca="1">C29</f>
        <v>7.4999999999999997E-3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50399</v>
      </c>
      <c r="D28" s="235"/>
      <c r="E28" s="236"/>
      <c r="F28" s="246"/>
      <c r="G28" s="247"/>
    </row>
    <row r="29" spans="1:7" s="214" customFormat="1" ht="13.5" customHeight="1">
      <c r="A29" s="780" t="s">
        <v>347</v>
      </c>
      <c r="B29" s="248" t="s">
        <v>1517</v>
      </c>
      <c r="C29" s="238">
        <f ca="1">ROUND(C21*F27,4)</f>
        <v>7.4999999999999997E-3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450917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294494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264120</v>
      </c>
      <c r="D34" s="217"/>
      <c r="E34" s="220"/>
      <c r="F34" s="257"/>
      <c r="G34" s="219"/>
    </row>
    <row r="35" spans="1:7" ht="13.5" customHeight="1">
      <c r="A35" s="780" t="s">
        <v>351</v>
      </c>
      <c r="B35" s="215" t="s">
        <v>1527</v>
      </c>
      <c r="C35" s="220">
        <f ca="1">ROUND(C34*F35,0)</f>
        <v>13206</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13206</v>
      </c>
      <c r="D37" s="217">
        <f ca="1">D19</f>
        <v>66.03</v>
      </c>
      <c r="E37" s="249">
        <f>'数据-取费表'!B35</f>
        <v>200</v>
      </c>
      <c r="F37" s="259"/>
      <c r="G37" s="261"/>
    </row>
    <row r="38" spans="1:7" ht="13.5" customHeight="1">
      <c r="A38" s="780" t="s">
        <v>354</v>
      </c>
      <c r="B38" s="215" t="s">
        <v>1533</v>
      </c>
      <c r="C38" s="220">
        <f ca="1">ROUND(C34*F38,0)</f>
        <v>3962</v>
      </c>
      <c r="D38" s="220"/>
      <c r="E38" s="220"/>
      <c r="F38" s="259">
        <f>'数据-取费表'!B36</f>
        <v>1.4999999999999999E-2</v>
      </c>
      <c r="G38" s="219" t="s">
        <v>1528</v>
      </c>
    </row>
    <row r="39" spans="1:7" s="214" customFormat="1" ht="13.5" customHeight="1">
      <c r="A39" s="255" t="s">
        <v>1534</v>
      </c>
      <c r="B39" s="210" t="s">
        <v>1535</v>
      </c>
      <c r="C39" s="232">
        <f ca="1">ROUND(C33*F20,0)</f>
        <v>5890</v>
      </c>
      <c r="D39" s="232"/>
      <c r="E39" s="232"/>
      <c r="F39" s="233">
        <f>F20</f>
        <v>0.02</v>
      </c>
      <c r="G39" s="234" t="s">
        <v>1536</v>
      </c>
    </row>
    <row r="40" spans="1:7" s="214" customFormat="1" ht="13.5" customHeight="1">
      <c r="A40" s="255" t="s">
        <v>1537</v>
      </c>
      <c r="B40" s="210" t="s">
        <v>1538</v>
      </c>
      <c r="C40" s="1327">
        <f>F21</f>
        <v>0.05</v>
      </c>
      <c r="D40" s="236" t="s">
        <v>1539</v>
      </c>
      <c r="E40" s="232"/>
      <c r="F40" s="233">
        <f>F21</f>
        <v>0.05</v>
      </c>
      <c r="G40" s="234" t="s">
        <v>1540</v>
      </c>
    </row>
    <row r="41" spans="1:7" s="214" customFormat="1" ht="13.5" customHeight="1">
      <c r="A41" s="255" t="s">
        <v>1541</v>
      </c>
      <c r="B41" s="210" t="s">
        <v>1542</v>
      </c>
      <c r="C41" s="232">
        <f ca="1">ROUND(SUM(C42:C43),0)</f>
        <v>6533</v>
      </c>
      <c r="D41" s="235">
        <f ca="1">C44</f>
        <v>1.1000000000000001E-3</v>
      </c>
      <c r="E41" s="236" t="s">
        <v>1539</v>
      </c>
      <c r="F41" s="237">
        <f ca="1">F22</f>
        <v>4.3500000000000004E-2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6405</v>
      </c>
      <c r="D42" s="238"/>
      <c r="E42" s="238"/>
      <c r="F42" s="239"/>
      <c r="G42" s="3664" t="s">
        <v>1591</v>
      </c>
    </row>
    <row r="43" spans="1:7" ht="13.5" customHeight="1">
      <c r="A43" s="780" t="s">
        <v>347</v>
      </c>
      <c r="B43" s="215" t="s">
        <v>1545</v>
      </c>
      <c r="C43" s="238">
        <f ca="1">ROUND(IF('数据-取费表'!B22&lt;=1,C39*F22*'数据-取费表'!B20/2,C39*(POWER((1+F22),'数据-取费表'!B20/2)-1)),0)</f>
        <v>128</v>
      </c>
      <c r="D43" s="238"/>
      <c r="E43" s="238"/>
      <c r="F43" s="239"/>
      <c r="G43" s="3665"/>
    </row>
    <row r="44" spans="1:7" ht="13.5" customHeight="1">
      <c r="A44" s="780" t="s">
        <v>348</v>
      </c>
      <c r="B44" s="215" t="s">
        <v>1546</v>
      </c>
      <c r="C44" s="238">
        <f ca="1">ROUND(IF('数据-取费表'!B22&lt;=1,C40*F22*'数据-取费表'!B20/2,C40*(POWER((1+F22),'数据-取费表'!B20/2)-1)),4)</f>
        <v>1.1000000000000001E-3</v>
      </c>
      <c r="D44" s="238"/>
      <c r="E44" s="238"/>
      <c r="F44" s="239"/>
      <c r="G44" s="3666"/>
    </row>
    <row r="45" spans="1:7" s="214" customFormat="1" ht="13.5" customHeight="1">
      <c r="A45" s="255" t="s">
        <v>1547</v>
      </c>
      <c r="B45" s="244" t="s">
        <v>1513</v>
      </c>
      <c r="C45" s="245">
        <f ca="1">C46</f>
        <v>45058</v>
      </c>
      <c r="D45" s="235">
        <f ca="1">C47</f>
        <v>7.4999999999999997E-3</v>
      </c>
      <c r="E45" s="236" t="s">
        <v>1539</v>
      </c>
      <c r="F45" s="246">
        <f ca="1">F27</f>
        <v>0.15</v>
      </c>
      <c r="G45" s="247" t="s">
        <v>1548</v>
      </c>
    </row>
    <row r="46" spans="1:7" s="214" customFormat="1" ht="13.5" customHeight="1">
      <c r="A46" s="780" t="s">
        <v>346</v>
      </c>
      <c r="B46" s="248" t="s">
        <v>1549</v>
      </c>
      <c r="C46" s="249">
        <f ca="1">ROUND((C33+C39)*F27,0)</f>
        <v>45058</v>
      </c>
      <c r="D46" s="263"/>
      <c r="E46" s="236"/>
      <c r="F46" s="246"/>
      <c r="G46" s="247"/>
    </row>
    <row r="47" spans="1:7" s="214" customFormat="1" ht="13.5" customHeight="1">
      <c r="A47" s="780" t="s">
        <v>347</v>
      </c>
      <c r="B47" s="248" t="s">
        <v>1550</v>
      </c>
      <c r="C47" s="238">
        <f ca="1">ROUND(C40*F27,4)</f>
        <v>7.4999999999999997E-3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395922</v>
      </c>
      <c r="D49" s="232"/>
      <c r="E49" s="232"/>
      <c r="F49" s="264"/>
      <c r="G49" s="234" t="s">
        <v>1554</v>
      </c>
    </row>
    <row r="50" spans="1:7" s="258" customFormat="1">
      <c r="A50" s="255" t="s">
        <v>1555</v>
      </c>
      <c r="B50" s="210" t="s">
        <v>1556</v>
      </c>
      <c r="C50" s="232"/>
      <c r="D50" s="232"/>
      <c r="E50" s="232"/>
      <c r="F50" s="264">
        <f>IF('数据-取费表'!B24=0,'数据-取费表'!N16,1)</f>
        <v>0.65</v>
      </c>
      <c r="G50" s="247"/>
    </row>
    <row r="51" spans="1:7" ht="16.5" customHeight="1">
      <c r="A51" s="255" t="s">
        <v>1558</v>
      </c>
      <c r="B51" s="210" t="s">
        <v>1593</v>
      </c>
      <c r="C51" s="232">
        <f ca="1">ROUND(C49*F50,0)</f>
        <v>257349</v>
      </c>
      <c r="D51" s="232"/>
      <c r="E51" s="232"/>
      <c r="F51" s="264"/>
      <c r="G51" s="234" t="s">
        <v>1560</v>
      </c>
    </row>
    <row r="52" spans="1:7" s="208" customFormat="1" ht="16.5" thickBot="1">
      <c r="A52" s="265" t="s">
        <v>1561</v>
      </c>
      <c r="B52" s="266"/>
      <c r="C52" s="267">
        <f ca="1">C31+C51</f>
        <v>708266</v>
      </c>
      <c r="D52" s="266"/>
      <c r="E52" s="266"/>
      <c r="F52" s="266"/>
      <c r="G52" s="268"/>
    </row>
    <row r="55" spans="1:7" ht="15">
      <c r="B55" s="270" t="s">
        <v>1562</v>
      </c>
      <c r="C55" s="271"/>
    </row>
    <row r="56" spans="1:7">
      <c r="B56" s="273" t="s">
        <v>802</v>
      </c>
      <c r="C56" s="275">
        <f ca="1">1-C57</f>
        <v>0.63700000000000001</v>
      </c>
    </row>
    <row r="57" spans="1:7">
      <c r="B57" s="273" t="s">
        <v>803</v>
      </c>
      <c r="C57" s="274">
        <f ca="1">ROUND(C51/C52,3)</f>
        <v>0.36299999999999999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90" zoomScaleNormal="80" zoomScaleSheetLayoutView="90" workbookViewId="0">
      <selection activeCell="F20" sqref="F20:G2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66.03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31</v>
      </c>
      <c r="C2" s="1999" t="s">
        <v>1935</v>
      </c>
      <c r="D2" s="2000" t="s">
        <v>1936</v>
      </c>
      <c r="E2" s="3422" t="s">
        <v>21</v>
      </c>
      <c r="F2" s="2000" t="s">
        <v>1937</v>
      </c>
      <c r="G2" s="2001" t="str">
        <f>IF(E2="商业",项目基本情况!B37,IF(E2="办公",项目基本情况!C37,IF(E2="住宅",项目基本情况!D37,IF(E2="工业",项目基本情况!E37,项目基本情况!F37))))</f>
        <v>八级</v>
      </c>
      <c r="H2" s="2000" t="s">
        <v>1938</v>
      </c>
      <c r="I2" s="2001" t="str">
        <f>IF(E2="商业",项目基本情况!B38,IF(E2="办公",项目基本情况!C38,IF(E2="住宅",项目基本情况!D38,IF(E2="工业",项目基本情况!E38,项目基本情况!F38))))</f>
        <v>Ⅷ-怀1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7165</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4695</v>
      </c>
      <c r="C3" s="1999" t="s">
        <v>1941</v>
      </c>
      <c r="D3" s="2000" t="s">
        <v>1942</v>
      </c>
      <c r="E3" s="3420" t="s">
        <v>3395</v>
      </c>
      <c r="F3" s="2004" t="s">
        <v>3406</v>
      </c>
      <c r="G3" s="752">
        <f>IF(F3="宗地容积率",'数据-汇总表'!I4,IF(F3="估价对象容积率",'数据-汇总表'!I6,'数据-汇总表'!I7))</f>
        <v>2</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5522</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94"/>
      <c r="B4" s="3795"/>
      <c r="C4" s="3795"/>
      <c r="D4" s="3796"/>
      <c r="E4" s="3796"/>
      <c r="F4" s="3796"/>
      <c r="G4" s="3796"/>
      <c r="H4" s="3796"/>
      <c r="I4" s="3796"/>
      <c r="J4" s="379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4505</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7605</v>
      </c>
      <c r="D5" s="1339">
        <f>ROUND(C6*C17+C20,0)</f>
        <v>7605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3824</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7570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3484</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3239</v>
      </c>
      <c r="B7" s="2021" t="s">
        <v>1952</v>
      </c>
      <c r="C7" s="755">
        <f>IF(C8="不临65条商业街",1,ROUND(1+(1.6*E8+1.2*E9+0.8*E10+0.4*E11)*C9,4))</f>
        <v>1</v>
      </c>
      <c r="D7" s="2022" t="s">
        <v>1953</v>
      </c>
      <c r="E7" s="776">
        <v>3</v>
      </c>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八级</v>
      </c>
      <c r="Y7" s="1214" t="s">
        <v>1956</v>
      </c>
      <c r="Z7" s="1215">
        <f>G3</f>
        <v>2</v>
      </c>
      <c r="AA7" s="1216"/>
      <c r="AB7" s="1216"/>
      <c r="AC7" s="1217"/>
      <c r="AD7" s="1218"/>
      <c r="AE7" s="1218"/>
      <c r="AF7" s="1218"/>
      <c r="AG7" s="1218"/>
      <c r="AH7" s="1218"/>
      <c r="AI7" s="1218"/>
      <c r="AJ7" s="1219"/>
    </row>
    <row r="8" spans="1:36" ht="15">
      <c r="A8" s="3299"/>
      <c r="B8" s="170" t="s">
        <v>1957</v>
      </c>
      <c r="C8" s="2026"/>
      <c r="D8" s="756" t="s">
        <v>112</v>
      </c>
      <c r="E8" s="757">
        <f>ROUND(C11/E7,4)</f>
        <v>0</v>
      </c>
      <c r="F8" s="2027" t="s">
        <v>1958</v>
      </c>
      <c r="G8" s="2028"/>
      <c r="H8" s="2028"/>
      <c r="I8" s="2028"/>
      <c r="J8" s="2029"/>
      <c r="K8" s="1119"/>
      <c r="L8" s="2003" t="s">
        <v>1959</v>
      </c>
      <c r="M8" s="864">
        <f>SUMPRODUCT((区片价!B234:B276=I2)*(区片价!C3:G3=E2)*(区片价!C234:G276))</f>
        <v>7570</v>
      </c>
      <c r="N8" s="866">
        <f>SUMPRODUCT((因素修正幅度!B234:B276=I2)*(因素修正幅度!C3:G3=E2)*(因素修正幅度!C234:G276))</f>
        <v>0.14399999999999999</v>
      </c>
      <c r="O8" s="1119"/>
      <c r="P8" s="1119"/>
      <c r="Q8" s="1119"/>
      <c r="R8" s="1212">
        <v>7</v>
      </c>
      <c r="S8" s="1213"/>
      <c r="T8" s="3361">
        <f t="shared" si="0"/>
        <v>0</v>
      </c>
      <c r="U8" s="1213"/>
      <c r="V8" s="3361">
        <f t="shared" si="1"/>
        <v>0</v>
      </c>
      <c r="W8" s="3791" t="s">
        <v>1960</v>
      </c>
      <c r="X8" s="379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f>ROUND(C11/E7,4)</f>
        <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93"/>
      <c r="X9" s="3362" t="s">
        <v>3269</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f>ROUND(C11/E7,4)</f>
        <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9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f>ROUND(C11/E7,4)</f>
        <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3240</v>
      </c>
      <c r="B12" s="3305" t="s">
        <v>3241</v>
      </c>
      <c r="C12" s="3306">
        <v>1</v>
      </c>
      <c r="D12" s="3307" t="s">
        <v>3242</v>
      </c>
      <c r="E12" s="3308" t="s">
        <v>3243</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3244</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3245</v>
      </c>
      <c r="G14" s="3312" t="s">
        <v>3245</v>
      </c>
      <c r="H14" s="3312" t="s">
        <v>3245</v>
      </c>
      <c r="I14" s="3312" t="s">
        <v>3245</v>
      </c>
      <c r="J14" s="3312" t="s">
        <v>3245</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3246</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3247</v>
      </c>
      <c r="B17" s="3321" t="s">
        <v>3248</v>
      </c>
      <c r="C17" s="3331">
        <f>ROUND(IF(OR(E2="工业",E2="公共服务"),1,IF(AND(E18=0,E19=0),1,IF(AND(E18=J24,E19=G19),0.8,IF(E19=0,1+E17*(-0.2),1+E17*G17*(-0.2))))),4)</f>
        <v>1</v>
      </c>
      <c r="D17" s="3322" t="s">
        <v>3249</v>
      </c>
      <c r="E17" s="3331">
        <f>ROUND(G18/I18,2)</f>
        <v>0</v>
      </c>
      <c r="F17" s="3322" t="s">
        <v>3252</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3250</v>
      </c>
      <c r="E18" s="3329"/>
      <c r="F18" s="3324" t="s">
        <v>3253</v>
      </c>
      <c r="G18" s="3328">
        <f>ROUND(1-(1/(POWER(1+G24,E18))),4)</f>
        <v>0</v>
      </c>
      <c r="H18" s="3324" t="s">
        <v>3255</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3251</v>
      </c>
      <c r="E19" s="3338"/>
      <c r="F19" s="3339" t="s">
        <v>3254</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98" t="s">
        <v>3256</v>
      </c>
      <c r="B20" s="167" t="s">
        <v>1994</v>
      </c>
      <c r="C20" s="3325">
        <f>ROUND(IF(F21="与级别开发程度一致",0,(G21-E21)/C21),0)</f>
        <v>35</v>
      </c>
      <c r="D20" s="3341" t="s">
        <v>1998</v>
      </c>
      <c r="E20" s="3342"/>
      <c r="F20" s="3804" t="s">
        <v>1995</v>
      </c>
      <c r="G20" s="3805"/>
      <c r="H20" s="3326" t="s">
        <v>3397</v>
      </c>
      <c r="I20" s="3326" t="s">
        <v>3396</v>
      </c>
      <c r="J20" s="3327" t="s">
        <v>3398</v>
      </c>
      <c r="K20" s="2047" t="s">
        <v>3399</v>
      </c>
      <c r="L20" s="2047" t="s">
        <v>3400</v>
      </c>
      <c r="M20" s="2047" t="s">
        <v>3401</v>
      </c>
      <c r="N20" s="2047" t="s">
        <v>3402</v>
      </c>
      <c r="O20" s="2048" t="s">
        <v>3403</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99"/>
      <c r="B21" s="2164" t="s">
        <v>1997</v>
      </c>
      <c r="C21" s="2165">
        <f>IF(E3="M4科研用地",SUMPRODUCT((修正!A2:A7=E3)*(修正!B1:M1=G2)*(修正!B2:M7)),SUMPRODUCT((修正!A2:A7=E2)*(修正!B1:M1=G2)*(修正!B2:M7)))</f>
        <v>2</v>
      </c>
      <c r="D21" s="187" t="str">
        <f>IF(OR(G2="八级",G2="九级",G2="十级",G2="十一级",G2="十二级"),"五通一平","七通一平")</f>
        <v>五通一平</v>
      </c>
      <c r="E21" s="2155">
        <f>SUMPRODUCT((修正!B1:M1=G2)*(修正!B17:M17))</f>
        <v>185</v>
      </c>
      <c r="F21" s="2156" t="s">
        <v>3404</v>
      </c>
      <c r="G21" s="2157">
        <f>SUM(H21:O21)</f>
        <v>255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40</v>
      </c>
      <c r="N21" s="2165">
        <f>SUMPRODUCT((七通一平=N20)*(修正!B1:M1=G2)*(修正!B8:M16))</f>
        <v>30</v>
      </c>
      <c r="O21" s="2167">
        <f>SUMPRODUCT((七通一平=O20)*(修正!B1:M1=G2)*(修正!B8:M16))</f>
        <v>10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1.0286999999999999</v>
      </c>
      <c r="D23" s="2054" t="s">
        <v>2002</v>
      </c>
      <c r="E23" s="761">
        <v>44197</v>
      </c>
      <c r="F23" s="2054" t="s">
        <v>2003</v>
      </c>
      <c r="G23" s="762">
        <f>'数据-取费表'!B2</f>
        <v>45275</v>
      </c>
      <c r="H23" s="3343" t="s">
        <v>3257</v>
      </c>
      <c r="I23" s="3344" t="str">
        <f>IF(H23="季度增幅（自定义）",SUMIF(N25:N28,E2,O25:O28),"")</f>
        <v/>
      </c>
      <c r="J23" s="3446" t="s">
        <v>3405</v>
      </c>
      <c r="K23" s="1125"/>
      <c r="L23" s="2055" t="s">
        <v>2004</v>
      </c>
      <c r="M23" s="1328">
        <f>ROUND(SUMIF(地价!B2:G2,E2,地价!B16:G16),0)</f>
        <v>350</v>
      </c>
      <c r="N23" s="2056" t="s">
        <v>2005</v>
      </c>
      <c r="O23" s="763">
        <f>ROUNDDOWN(DATEDIF(E23,G23,"M")/3,0)</f>
        <v>11</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0.58240000000000003</v>
      </c>
      <c r="D24" s="2060" t="s">
        <v>2007</v>
      </c>
      <c r="E24" s="1335">
        <f>存贷款利率!E24/100</f>
        <v>4.3499999999999997E-2</v>
      </c>
      <c r="F24" s="2060" t="s">
        <v>1999</v>
      </c>
      <c r="G24" s="768">
        <f>SUMIF(M30:Q30,E2,M33:Q33)</f>
        <v>5.5E-2</v>
      </c>
      <c r="H24" s="2060" t="s">
        <v>2008</v>
      </c>
      <c r="I24" s="769">
        <f>SUMIF('数据-取费表'!C6:C15,E2,'数据-取费表'!F6:F15)/COUNTIF('数据-取费表'!C6:C15,E2)</f>
        <v>14.6</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3602</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3258</v>
      </c>
      <c r="D26" s="1352">
        <f>IF(E26=G26,F26,IF(G3&lt;10,ROUND(F26+(H26-F26)*(G3-E26)/(G26-E26),4),"——"))</f>
        <v>1</v>
      </c>
      <c r="E26" s="752">
        <f>ROUNDDOWN(G3,1)</f>
        <v>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3259</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1.5418000000000001</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31</v>
      </c>
      <c r="D30" s="2083"/>
      <c r="E30" s="2046"/>
      <c r="F30" s="2084"/>
      <c r="G30" s="2046"/>
      <c r="H30" s="2046"/>
      <c r="I30" s="2046"/>
      <c r="J30" s="2085"/>
      <c r="K30" s="1119"/>
      <c r="L30" s="3351" t="s">
        <v>1936</v>
      </c>
      <c r="M30" s="3352" t="s">
        <v>1990</v>
      </c>
      <c r="N30" s="3352" t="s">
        <v>1991</v>
      </c>
      <c r="O30" s="3352" t="s">
        <v>1992</v>
      </c>
      <c r="P30" s="3352" t="s">
        <v>1993</v>
      </c>
      <c r="Q30" s="3355"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4647</v>
      </c>
      <c r="D33" s="2098">
        <f>'数据-汇总表'!E19</f>
        <v>66.03</v>
      </c>
      <c r="E33" s="773">
        <f>ROUND(C33*D33/10000,0)</f>
        <v>31</v>
      </c>
      <c r="F33" s="3346" t="s">
        <v>3261</v>
      </c>
      <c r="G33" s="2099"/>
      <c r="H33" s="2099"/>
      <c r="I33" s="2099"/>
      <c r="J33" s="2100"/>
      <c r="K33" s="1119"/>
      <c r="L33" s="3349" t="s">
        <v>3264</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1162</v>
      </c>
      <c r="D34" s="2103"/>
      <c r="E34" s="773">
        <f>ROUND(IF(B25="楼层修正",SUM(V2:V16)*M40,C34*D34/10000),0)</f>
        <v>0</v>
      </c>
      <c r="F34" s="2104" t="s">
        <v>2032</v>
      </c>
      <c r="G34" s="2105"/>
      <c r="H34" s="2105"/>
      <c r="I34" s="2105"/>
      <c r="J34" s="2106"/>
      <c r="K34" s="1119"/>
      <c r="L34" s="3349" t="s">
        <v>3265</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3262</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3266</v>
      </c>
      <c r="L36" s="3447">
        <f ca="1">'数据-取费表'!B40</f>
        <v>4.3500000000000004E-2</v>
      </c>
      <c r="M36" s="3358">
        <f ca="1">ROUND($L$36*(1+M31),3)</f>
        <v>5.3999999999999999E-2</v>
      </c>
      <c r="N36" s="3358">
        <f ca="1">ROUND($L$36*(1+N31),3)</f>
        <v>5.1999999999999998E-2</v>
      </c>
      <c r="O36" s="3358">
        <f ca="1">ROUND($L$36*(1+O31),3)</f>
        <v>0.05</v>
      </c>
      <c r="P36" s="3358">
        <f ca="1">ROUND($L$36*(1+P31),3)</f>
        <v>4.8000000000000001E-2</v>
      </c>
      <c r="Q36" s="3358">
        <f ca="1">ROUND($L$36*(1+Q31),3)</f>
        <v>0.05</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02"/>
      <c r="B37" s="2113" t="s">
        <v>2036</v>
      </c>
      <c r="C37" s="175">
        <f>ROUND(D5*C22*C23*C24*C28*F37,0)</f>
        <v>2323</v>
      </c>
      <c r="D37" s="2098"/>
      <c r="E37" s="171">
        <f>ROUND(C37*D37/10000,0)</f>
        <v>0</v>
      </c>
      <c r="F37" s="171">
        <f>SUMIF(修正!A57:A68,G2,修正!B57:B68)</f>
        <v>0.5</v>
      </c>
      <c r="G37" s="171">
        <f>ROUND(IF(E2="工业",C37*$M$42,C37*$M$41),0)</f>
        <v>581</v>
      </c>
      <c r="H37" s="171">
        <f>D37</f>
        <v>0</v>
      </c>
      <c r="I37" s="171">
        <f>ROUND(G37*H37/10000,0)</f>
        <v>0</v>
      </c>
      <c r="J37" s="3012"/>
      <c r="K37" s="3359" t="s">
        <v>3267</v>
      </c>
      <c r="L37" s="3357">
        <f ca="1">L36+K38</f>
        <v>4.8500000000000001E-2</v>
      </c>
      <c r="M37" s="3358">
        <f ca="1">ROUND($L$37*(1+M31),3)</f>
        <v>6.0999999999999999E-2</v>
      </c>
      <c r="N37" s="3358">
        <f t="shared" ref="N37:Q37" ca="1" si="3">ROUND($L$37*(1+N31),3)</f>
        <v>5.8000000000000003E-2</v>
      </c>
      <c r="O37" s="3358">
        <f t="shared" ca="1" si="3"/>
        <v>5.6000000000000001E-2</v>
      </c>
      <c r="P37" s="3358">
        <f t="shared" ca="1" si="3"/>
        <v>5.2999999999999999E-2</v>
      </c>
      <c r="Q37" s="3358">
        <f t="shared" ca="1" si="3"/>
        <v>5.6000000000000001E-2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03"/>
      <c r="B38" s="2041" t="s">
        <v>2037</v>
      </c>
      <c r="C38" s="175">
        <f>ROUND(D5*C22*C23*C24*C28*F38,0)</f>
        <v>929</v>
      </c>
      <c r="D38" s="2098"/>
      <c r="E38" s="171">
        <f t="shared" ref="E38:E42" si="4">ROUND(C38*D38/10000,0)</f>
        <v>0</v>
      </c>
      <c r="F38" s="171">
        <f>SUMIF(修正!A57:A68,G2,修正!C57:C68)</f>
        <v>0.2</v>
      </c>
      <c r="G38" s="171">
        <f>ROUND(IF(E2="工业",C38*$M$42,C38*$M$41),0)</f>
        <v>232</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803"/>
      <c r="B39" s="2041" t="s">
        <v>3260</v>
      </c>
      <c r="C39" s="175">
        <f>ROUND(D5*C22*C23*C24*C28*F39,0)</f>
        <v>929</v>
      </c>
      <c r="D39" s="2098"/>
      <c r="E39" s="171">
        <f t="shared" si="4"/>
        <v>0</v>
      </c>
      <c r="F39" s="171">
        <f>SUMIF(修正!A57:A68,G2,修正!D57:D68)</f>
        <v>0.2</v>
      </c>
      <c r="G39" s="171">
        <f>ROUND(IF(E2="工业",C39*$M$42,C39*$M$41),0)</f>
        <v>232</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929</v>
      </c>
      <c r="D40" s="2098"/>
      <c r="E40" s="171">
        <f t="shared" si="4"/>
        <v>0</v>
      </c>
      <c r="F40" s="175">
        <f>SUMIF(修正!A57:A68,G2,修正!E57:E68)</f>
        <v>0.2</v>
      </c>
      <c r="G40" s="171">
        <f>ROUND(IF(E2="工业",C40*$M$42,C40*$M$41),0)</f>
        <v>232</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3268</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3270</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1.0199</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3410</v>
      </c>
      <c r="D61" s="1065">
        <f t="shared" ref="D61:D69" si="12">SUMIF($J$60:$N$60,C61,J61:N61)</f>
        <v>-1.7999999999999999E-2</v>
      </c>
      <c r="E61" s="744">
        <f>ROUND(SUM(D61:D69),4)</f>
        <v>1.9900000000000001E-2</v>
      </c>
      <c r="F61" s="1814">
        <f>IF(E2="办公",SUMIF(L1:L12,G2,N1:N12),"——")</f>
        <v>0.14399999999999999</v>
      </c>
      <c r="G61" s="1063">
        <f>H61</f>
        <v>1.7999999999999999E-2</v>
      </c>
      <c r="H61" s="1066">
        <f t="shared" ref="H61:H69" si="13">IFERROR(ROUNDDOWN($F$61*I61/2,4),"——")</f>
        <v>1.7999999999999999E-2</v>
      </c>
      <c r="I61" s="3367">
        <v>0.25</v>
      </c>
      <c r="J61" s="1064">
        <f t="shared" ref="J61:J69" si="14">K61+$G61</f>
        <v>3.5999999999999997E-2</v>
      </c>
      <c r="K61" s="1064">
        <f t="shared" ref="K61:K69" si="15">$L61+$G61</f>
        <v>1.7999999999999999E-2</v>
      </c>
      <c r="L61" s="1064">
        <v>0</v>
      </c>
      <c r="M61" s="1064">
        <f t="shared" ref="M61:N69" si="16">L61-$G61</f>
        <v>-1.7999999999999999E-2</v>
      </c>
      <c r="N61" s="1064">
        <f t="shared" si="16"/>
        <v>-3.5999999999999997E-2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3411</v>
      </c>
      <c r="D62" s="1065">
        <f t="shared" si="12"/>
        <v>0</v>
      </c>
      <c r="E62" s="745"/>
      <c r="F62" s="1814"/>
      <c r="G62" s="1063">
        <f t="shared" ref="G62:G69" si="17">H62</f>
        <v>1.8700000000000001E-2</v>
      </c>
      <c r="H62" s="1066">
        <f t="shared" si="13"/>
        <v>1.8700000000000001E-2</v>
      </c>
      <c r="I62" s="3367">
        <v>0.26</v>
      </c>
      <c r="J62" s="1064">
        <f t="shared" si="14"/>
        <v>3.7400000000000003E-2</v>
      </c>
      <c r="K62" s="1064">
        <f t="shared" si="15"/>
        <v>1.8700000000000001E-2</v>
      </c>
      <c r="L62" s="1064">
        <v>0</v>
      </c>
      <c r="M62" s="1064">
        <f t="shared" si="16"/>
        <v>-1.8700000000000001E-2</v>
      </c>
      <c r="N62" s="1064">
        <f t="shared" si="16"/>
        <v>-3.7400000000000003E-2</v>
      </c>
      <c r="AA62" s="1120"/>
      <c r="AB62" s="1120"/>
      <c r="AC62" s="1120"/>
      <c r="AD62" s="1120"/>
      <c r="AE62" s="1120"/>
      <c r="AF62" s="1120"/>
      <c r="AG62" s="1120"/>
      <c r="AH62" s="1120"/>
      <c r="AI62" s="1120"/>
      <c r="AJ62" s="1120"/>
      <c r="AK62" s="1120"/>
    </row>
    <row r="63" spans="1:37" s="1119" customFormat="1" ht="36">
      <c r="A63" s="3369" t="s">
        <v>3270</v>
      </c>
      <c r="B63" s="2134">
        <f>估价对象房地状况!C19</f>
        <v>0</v>
      </c>
      <c r="C63" s="2044" t="s">
        <v>3413</v>
      </c>
      <c r="D63" s="1065">
        <f t="shared" si="12"/>
        <v>7.9000000000000008E-3</v>
      </c>
      <c r="E63" s="745"/>
      <c r="F63" s="1814"/>
      <c r="G63" s="1063">
        <f t="shared" si="17"/>
        <v>7.9000000000000008E-3</v>
      </c>
      <c r="H63" s="1066">
        <f t="shared" si="13"/>
        <v>7.9000000000000008E-3</v>
      </c>
      <c r="I63" s="3367">
        <v>0.11</v>
      </c>
      <c r="J63" s="1064">
        <f t="shared" si="14"/>
        <v>1.5800000000000002E-2</v>
      </c>
      <c r="K63" s="1064">
        <f t="shared" si="15"/>
        <v>7.9000000000000008E-3</v>
      </c>
      <c r="L63" s="1064">
        <v>0</v>
      </c>
      <c r="M63" s="1064">
        <f t="shared" si="16"/>
        <v>-7.9000000000000008E-3</v>
      </c>
      <c r="N63" s="1064">
        <f t="shared" si="16"/>
        <v>-1.5800000000000002E-2</v>
      </c>
      <c r="AA63" s="1120"/>
      <c r="AB63" s="1120"/>
      <c r="AC63" s="1120"/>
      <c r="AD63" s="1120"/>
      <c r="AE63" s="1120"/>
      <c r="AF63" s="1120"/>
      <c r="AG63" s="1120"/>
      <c r="AH63" s="1120"/>
      <c r="AI63" s="1120"/>
      <c r="AJ63" s="1120"/>
      <c r="AK63" s="1120"/>
    </row>
    <row r="64" spans="1:37" s="1119" customFormat="1" ht="36.75">
      <c r="A64" s="2130" t="s">
        <v>2054</v>
      </c>
      <c r="B64" s="2135" t="s">
        <v>2055</v>
      </c>
      <c r="C64" s="2044" t="s">
        <v>3411</v>
      </c>
      <c r="D64" s="1065">
        <f t="shared" si="12"/>
        <v>0</v>
      </c>
      <c r="E64" s="745"/>
      <c r="F64" s="1814"/>
      <c r="G64" s="1063">
        <f t="shared" si="17"/>
        <v>3.5999999999999999E-3</v>
      </c>
      <c r="H64" s="1066">
        <f t="shared" si="13"/>
        <v>3.5999999999999999E-3</v>
      </c>
      <c r="I64" s="3367">
        <v>0.05</v>
      </c>
      <c r="J64" s="1064">
        <f t="shared" si="14"/>
        <v>7.1999999999999998E-3</v>
      </c>
      <c r="K64" s="1064">
        <f t="shared" si="15"/>
        <v>3.5999999999999999E-3</v>
      </c>
      <c r="L64" s="1064">
        <v>0</v>
      </c>
      <c r="M64" s="1064">
        <f t="shared" si="16"/>
        <v>-3.5999999999999999E-3</v>
      </c>
      <c r="N64" s="1064">
        <f t="shared" si="16"/>
        <v>-7.1999999999999998E-3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3413</v>
      </c>
      <c r="D65" s="1065">
        <f t="shared" si="12"/>
        <v>3.5999999999999999E-3</v>
      </c>
      <c r="E65" s="745"/>
      <c r="F65" s="1814"/>
      <c r="G65" s="1063">
        <f t="shared" si="17"/>
        <v>3.5999999999999999E-3</v>
      </c>
      <c r="H65" s="1066">
        <f t="shared" si="13"/>
        <v>3.5999999999999999E-3</v>
      </c>
      <c r="I65" s="3367">
        <v>0.05</v>
      </c>
      <c r="J65" s="1064">
        <f t="shared" si="14"/>
        <v>7.1999999999999998E-3</v>
      </c>
      <c r="K65" s="1064">
        <f t="shared" si="15"/>
        <v>3.5999999999999999E-3</v>
      </c>
      <c r="L65" s="1064">
        <v>0</v>
      </c>
      <c r="M65" s="1064">
        <f t="shared" si="16"/>
        <v>-3.5999999999999999E-3</v>
      </c>
      <c r="N65" s="1064">
        <f t="shared" si="16"/>
        <v>-7.1999999999999998E-3</v>
      </c>
      <c r="AA65" s="1120"/>
      <c r="AB65" s="1120"/>
      <c r="AC65" s="1120"/>
      <c r="AD65" s="1120"/>
      <c r="AE65" s="1120"/>
      <c r="AF65" s="1120"/>
      <c r="AG65" s="1120"/>
      <c r="AH65" s="1120"/>
      <c r="AI65" s="1120"/>
      <c r="AJ65" s="1120"/>
      <c r="AK65" s="1120"/>
    </row>
    <row r="66" spans="1:37" s="1119" customFormat="1" ht="24">
      <c r="A66" s="2130" t="s">
        <v>2057</v>
      </c>
      <c r="B66" s="2136" t="s">
        <v>2058</v>
      </c>
      <c r="C66" s="2044" t="s">
        <v>3413</v>
      </c>
      <c r="D66" s="1065">
        <f t="shared" si="12"/>
        <v>4.3E-3</v>
      </c>
      <c r="E66" s="745"/>
      <c r="F66" s="1814"/>
      <c r="G66" s="1063">
        <f t="shared" si="17"/>
        <v>4.3E-3</v>
      </c>
      <c r="H66" s="1066">
        <f t="shared" si="13"/>
        <v>4.3E-3</v>
      </c>
      <c r="I66" s="3367">
        <v>0.06</v>
      </c>
      <c r="J66" s="1064">
        <f t="shared" si="14"/>
        <v>8.6E-3</v>
      </c>
      <c r="K66" s="1064">
        <f t="shared" si="15"/>
        <v>4.3E-3</v>
      </c>
      <c r="L66" s="1064">
        <v>0</v>
      </c>
      <c r="M66" s="1064">
        <f t="shared" si="16"/>
        <v>-4.3E-3</v>
      </c>
      <c r="N66" s="1064">
        <f t="shared" si="16"/>
        <v>-8.6E-3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3413</v>
      </c>
      <c r="D67" s="1065">
        <f t="shared" si="12"/>
        <v>4.3E-3</v>
      </c>
      <c r="E67" s="745"/>
      <c r="F67" s="1814"/>
      <c r="G67" s="1063">
        <f t="shared" si="17"/>
        <v>4.3E-3</v>
      </c>
      <c r="H67" s="1066">
        <f t="shared" si="13"/>
        <v>4.3E-3</v>
      </c>
      <c r="I67" s="3367">
        <v>0.06</v>
      </c>
      <c r="J67" s="1064">
        <f t="shared" si="14"/>
        <v>8.6E-3</v>
      </c>
      <c r="K67" s="1064">
        <f t="shared" si="15"/>
        <v>4.3E-3</v>
      </c>
      <c r="L67" s="1064">
        <v>0</v>
      </c>
      <c r="M67" s="1064">
        <f t="shared" si="16"/>
        <v>-4.3E-3</v>
      </c>
      <c r="N67" s="1064">
        <f t="shared" si="16"/>
        <v>-8.6E-3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3412</v>
      </c>
      <c r="D68" s="1065">
        <f t="shared" si="12"/>
        <v>1.2800000000000001E-2</v>
      </c>
      <c r="E68" s="745"/>
      <c r="F68" s="1814"/>
      <c r="G68" s="1063">
        <f t="shared" si="17"/>
        <v>6.4000000000000003E-3</v>
      </c>
      <c r="H68" s="1066">
        <f t="shared" si="13"/>
        <v>6.4000000000000003E-3</v>
      </c>
      <c r="I68" s="3367">
        <v>0.09</v>
      </c>
      <c r="J68" s="1064">
        <f t="shared" si="14"/>
        <v>1.2800000000000001E-2</v>
      </c>
      <c r="K68" s="1064">
        <f t="shared" si="15"/>
        <v>6.4000000000000003E-3</v>
      </c>
      <c r="L68" s="1064">
        <v>0</v>
      </c>
      <c r="M68" s="1064">
        <f t="shared" si="16"/>
        <v>-6.4000000000000003E-3</v>
      </c>
      <c r="N68" s="1064">
        <f t="shared" si="16"/>
        <v>-1.2800000000000001E-2</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3413</v>
      </c>
      <c r="D69" s="1065">
        <f t="shared" si="12"/>
        <v>5.0000000000000001E-3</v>
      </c>
      <c r="E69" s="746"/>
      <c r="F69" s="1814"/>
      <c r="G69" s="1063">
        <f t="shared" si="17"/>
        <v>5.0000000000000001E-3</v>
      </c>
      <c r="H69" s="1066">
        <f t="shared" si="13"/>
        <v>5.0000000000000001E-3</v>
      </c>
      <c r="I69" s="3368">
        <v>7.0000000000000007E-2</v>
      </c>
      <c r="J69" s="1064">
        <f t="shared" si="14"/>
        <v>0.01</v>
      </c>
      <c r="K69" s="1064">
        <f t="shared" si="15"/>
        <v>5.0000000000000001E-3</v>
      </c>
      <c r="L69" s="1064">
        <v>0</v>
      </c>
      <c r="M69" s="1064">
        <f t="shared" si="16"/>
        <v>-5.0000000000000001E-3</v>
      </c>
      <c r="N69" s="1064">
        <f t="shared" si="16"/>
        <v>-0.01</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3270</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3271</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2614</v>
      </c>
      <c r="B91" s="3378">
        <f>1+E93</f>
        <v>1</v>
      </c>
      <c r="C91" s="3371"/>
      <c r="D91" s="3372"/>
      <c r="E91" s="1814"/>
      <c r="F91" s="1814"/>
      <c r="G91" s="3373"/>
      <c r="H91" s="3374"/>
      <c r="I91" s="3375"/>
      <c r="J91" s="3376"/>
      <c r="K91" s="3376"/>
      <c r="L91" s="3376"/>
      <c r="M91" s="3376"/>
      <c r="N91" s="3376"/>
    </row>
    <row r="92" spans="1:37" ht="24.75">
      <c r="A92" s="3379" t="s">
        <v>3272</v>
      </c>
      <c r="B92" s="3366"/>
      <c r="C92" s="3366" t="s">
        <v>3281</v>
      </c>
      <c r="D92" s="3366" t="s">
        <v>3282</v>
      </c>
      <c r="E92" s="3348" t="s">
        <v>3283</v>
      </c>
      <c r="F92" s="3381" t="s">
        <v>3284</v>
      </c>
      <c r="G92" s="3366" t="s">
        <v>3285</v>
      </c>
      <c r="H92" s="3388" t="s">
        <v>3288</v>
      </c>
      <c r="I92" s="3366" t="s">
        <v>3289</v>
      </c>
      <c r="J92" s="3389" t="s">
        <v>3290</v>
      </c>
      <c r="K92" s="3389" t="s">
        <v>3291</v>
      </c>
      <c r="L92" s="3389" t="s">
        <v>3292</v>
      </c>
      <c r="M92" s="3389" t="s">
        <v>3293</v>
      </c>
      <c r="N92" s="3389" t="s">
        <v>3294</v>
      </c>
    </row>
    <row r="93" spans="1:37" ht="24">
      <c r="A93" s="3369" t="s">
        <v>3273</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3274</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3270</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3275</v>
      </c>
      <c r="B96" s="3385" t="s">
        <v>3286</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3276</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3277</v>
      </c>
      <c r="B98" s="3386" t="s">
        <v>3287</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3278</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3279</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3280</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800" t="s">
        <v>3295</v>
      </c>
      <c r="B103" s="3800"/>
      <c r="C103" s="3800"/>
      <c r="D103" s="3800"/>
      <c r="E103" s="3800"/>
      <c r="F103" s="3800"/>
      <c r="G103" s="3800"/>
      <c r="H103" s="3800"/>
      <c r="I103" s="3800"/>
      <c r="J103" s="3800"/>
      <c r="K103" s="3390"/>
      <c r="L103" s="3390"/>
      <c r="M103" s="3390"/>
      <c r="N103" s="3390"/>
    </row>
    <row r="104" spans="1:14">
      <c r="A104" s="3801" t="s">
        <v>3296</v>
      </c>
      <c r="B104" s="3801" t="s">
        <v>3297</v>
      </c>
      <c r="C104" s="3391" t="s">
        <v>3298</v>
      </c>
      <c r="D104" s="3392"/>
      <c r="E104" s="3392"/>
      <c r="F104" s="3392"/>
      <c r="G104" s="3392"/>
      <c r="H104" s="3392"/>
      <c r="I104" s="3392"/>
      <c r="J104" s="3393"/>
      <c r="K104" s="3394"/>
      <c r="L104" s="3394"/>
      <c r="M104" s="3394"/>
      <c r="N104" s="3394"/>
    </row>
    <row r="105" spans="1:14">
      <c r="A105" s="3801"/>
      <c r="B105" s="3801"/>
      <c r="C105" s="3395" t="s">
        <v>3299</v>
      </c>
      <c r="D105" s="3395" t="s">
        <v>3300</v>
      </c>
      <c r="E105" s="3395" t="s">
        <v>3301</v>
      </c>
      <c r="F105" s="3395" t="s">
        <v>3302</v>
      </c>
      <c r="G105" s="3395" t="s">
        <v>3303</v>
      </c>
      <c r="H105" s="3395" t="s">
        <v>3304</v>
      </c>
      <c r="I105" s="3395" t="s">
        <v>3305</v>
      </c>
      <c r="J105" s="3395" t="s">
        <v>3306</v>
      </c>
      <c r="K105" s="3395" t="s">
        <v>3307</v>
      </c>
      <c r="L105" s="3395" t="s">
        <v>3308</v>
      </c>
      <c r="M105" s="3395" t="s">
        <v>3309</v>
      </c>
      <c r="N105" s="3395" t="s">
        <v>3310</v>
      </c>
    </row>
    <row r="106" spans="1:14">
      <c r="A106" s="3787" t="s">
        <v>3311</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8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8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8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8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88"/>
      <c r="B111" s="3395" t="s">
        <v>3269</v>
      </c>
      <c r="C111" s="3396">
        <f>$I$3</f>
        <v>1</v>
      </c>
      <c r="D111" s="3396">
        <f t="shared" ref="D111:M111" si="33">$I$3</f>
        <v>1</v>
      </c>
      <c r="E111" s="3396">
        <f t="shared" si="33"/>
        <v>1</v>
      </c>
      <c r="F111" s="3396">
        <f t="shared" si="33"/>
        <v>1</v>
      </c>
      <c r="G111" s="3396">
        <f t="shared" si="33"/>
        <v>1</v>
      </c>
      <c r="H111" s="3396">
        <f t="shared" si="33"/>
        <v>1</v>
      </c>
      <c r="I111" s="3396">
        <f t="shared" si="33"/>
        <v>1</v>
      </c>
      <c r="J111" s="3396">
        <f t="shared" si="33"/>
        <v>1</v>
      </c>
      <c r="K111" s="3396">
        <f t="shared" si="33"/>
        <v>1</v>
      </c>
      <c r="L111" s="3396">
        <f t="shared" si="33"/>
        <v>1</v>
      </c>
      <c r="M111" s="3396">
        <f t="shared" si="33"/>
        <v>1</v>
      </c>
      <c r="N111" s="3396">
        <f>$I$3</f>
        <v>1</v>
      </c>
    </row>
    <row r="112" spans="1:14">
      <c r="A112" s="3789"/>
      <c r="B112" s="3395">
        <v>6</v>
      </c>
      <c r="C112" s="3388">
        <f>(-0.5556*(C111^2)-0.2719*C111+8944)*(10^(-4))</f>
        <v>0.89431725000000006</v>
      </c>
      <c r="D112" s="3388">
        <f>(-0.5556*(D111^2)-0.2719*D111+8944)*(10^(-4))</f>
        <v>0.89431725000000006</v>
      </c>
      <c r="E112" s="3388">
        <f>(-0.7912*(E111^2)-11.3794*E111+8482)*(10^(-4))</f>
        <v>0.84698294000000007</v>
      </c>
      <c r="F112" s="3388">
        <f t="shared" ref="F112:I112" si="34">(-0.7912*(F111^2)-11.3794*F111+8482)*(10^(-4))</f>
        <v>0.84698294000000007</v>
      </c>
      <c r="G112" s="3388">
        <f t="shared" si="34"/>
        <v>0.84698294000000007</v>
      </c>
      <c r="H112" s="3388">
        <f t="shared" si="34"/>
        <v>0.84698294000000007</v>
      </c>
      <c r="I112" s="3388">
        <f t="shared" si="34"/>
        <v>0.84698294000000007</v>
      </c>
      <c r="J112" s="3388">
        <f>(-0.989*(J111^2)-63.78*J111+7771)*(10^(-4))</f>
        <v>0.77062310000000001</v>
      </c>
      <c r="K112" s="3388">
        <f t="shared" ref="K112:N112" si="35">(-0.989*(K111^2)-63.78*K111+7771)*(10^(-4))</f>
        <v>0.77062310000000001</v>
      </c>
      <c r="L112" s="3388">
        <f t="shared" si="35"/>
        <v>0.77062310000000001</v>
      </c>
      <c r="M112" s="3388">
        <f t="shared" si="35"/>
        <v>0.77062310000000001</v>
      </c>
      <c r="N112" s="3388">
        <f t="shared" si="35"/>
        <v>0.77062310000000001</v>
      </c>
    </row>
    <row r="113" spans="1:14">
      <c r="A113" s="3790" t="s">
        <v>3312</v>
      </c>
      <c r="B113" s="3790"/>
      <c r="C113" s="3790"/>
      <c r="D113" s="3790"/>
      <c r="E113" s="3790"/>
      <c r="F113" s="3790"/>
      <c r="G113" s="3790"/>
      <c r="H113" s="3790"/>
      <c r="I113" s="3790"/>
      <c r="J113" s="379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3313</v>
      </c>
      <c r="B116" s="3416">
        <f>G3</f>
        <v>2</v>
      </c>
      <c r="C116" s="3400" t="s">
        <v>3314</v>
      </c>
      <c r="D116" s="3401">
        <f>SUMPRODUCT((A118:A122=F116)*(B117:M117=H116)*B118:M122)</f>
        <v>0.80159999999999998</v>
      </c>
      <c r="E116" s="2000" t="s">
        <v>3315</v>
      </c>
      <c r="F116" s="3402" t="str">
        <f>E2</f>
        <v>办公</v>
      </c>
      <c r="G116" s="2000" t="s">
        <v>3316</v>
      </c>
      <c r="H116" s="3402" t="str">
        <f>G2</f>
        <v>八级</v>
      </c>
      <c r="I116" s="2000"/>
      <c r="J116" s="3403"/>
      <c r="K116" s="3403"/>
      <c r="L116" s="3403"/>
      <c r="M116" s="3403"/>
      <c r="N116" s="3398"/>
    </row>
    <row r="117" spans="1:14">
      <c r="A117" s="3404"/>
      <c r="B117" s="3405" t="s">
        <v>3317</v>
      </c>
      <c r="C117" s="3405" t="s">
        <v>3318</v>
      </c>
      <c r="D117" s="3405" t="s">
        <v>3319</v>
      </c>
      <c r="E117" s="3406" t="s">
        <v>3320</v>
      </c>
      <c r="F117" s="3406" t="s">
        <v>3321</v>
      </c>
      <c r="G117" s="3406" t="s">
        <v>3322</v>
      </c>
      <c r="H117" s="3407" t="s">
        <v>3323</v>
      </c>
      <c r="I117" s="3407" t="s">
        <v>3324</v>
      </c>
      <c r="J117" s="3408" t="s">
        <v>3325</v>
      </c>
      <c r="K117" s="3408" t="s">
        <v>3326</v>
      </c>
      <c r="L117" s="3408" t="s">
        <v>3327</v>
      </c>
      <c r="M117" s="3409" t="s">
        <v>3328</v>
      </c>
      <c r="N117" s="3398"/>
    </row>
    <row r="118" spans="1:14">
      <c r="A118" s="3410" t="s">
        <v>3329</v>
      </c>
      <c r="B118" s="3388">
        <f>ROUND(0.9968-0.011*B116,4)</f>
        <v>0.9748</v>
      </c>
      <c r="C118" s="3388">
        <f>B118</f>
        <v>0.9748</v>
      </c>
      <c r="D118" s="3388">
        <f>ROUND(0.949-0.014*B116,4)</f>
        <v>0.92100000000000004</v>
      </c>
      <c r="E118" s="3388">
        <f>D118</f>
        <v>0.92100000000000004</v>
      </c>
      <c r="F118" s="3388">
        <f>E118</f>
        <v>0.92100000000000004</v>
      </c>
      <c r="G118" s="3388">
        <f>F118</f>
        <v>0.92100000000000004</v>
      </c>
      <c r="H118" s="3388">
        <f>G118</f>
        <v>0.92100000000000004</v>
      </c>
      <c r="I118" s="3388">
        <f>ROUND(0.8486-0.018*B116,4)</f>
        <v>0.81259999999999999</v>
      </c>
      <c r="J118" s="3388">
        <f t="shared" ref="J118:M122" si="36">I118</f>
        <v>0.81259999999999999</v>
      </c>
      <c r="K118" s="3388">
        <f t="shared" si="36"/>
        <v>0.81259999999999999</v>
      </c>
      <c r="L118" s="3388">
        <f t="shared" si="36"/>
        <v>0.81259999999999999</v>
      </c>
      <c r="M118" s="3411">
        <f t="shared" si="36"/>
        <v>0.81259999999999999</v>
      </c>
      <c r="N118" s="3398"/>
    </row>
    <row r="119" spans="1:14">
      <c r="A119" s="3410" t="s">
        <v>3330</v>
      </c>
      <c r="B119" s="3388">
        <f>ROUND(0.993-0.0112*B116,4)</f>
        <v>0.97060000000000002</v>
      </c>
      <c r="C119" s="3388">
        <f>B119</f>
        <v>0.97060000000000002</v>
      </c>
      <c r="D119" s="3388">
        <f>ROUND(0.9415-0.0142*B116,4)</f>
        <v>0.91310000000000002</v>
      </c>
      <c r="E119" s="3388">
        <f t="shared" ref="E119:H120" si="37">D119</f>
        <v>0.91310000000000002</v>
      </c>
      <c r="F119" s="3388">
        <f t="shared" si="37"/>
        <v>0.91310000000000002</v>
      </c>
      <c r="G119" s="3388">
        <f t="shared" si="37"/>
        <v>0.91310000000000002</v>
      </c>
      <c r="H119" s="3388">
        <f t="shared" si="37"/>
        <v>0.91310000000000002</v>
      </c>
      <c r="I119" s="3388">
        <f>ROUND(0.838-0.0182*B116,4)</f>
        <v>0.80159999999999998</v>
      </c>
      <c r="J119" s="3388">
        <f t="shared" si="36"/>
        <v>0.80159999999999998</v>
      </c>
      <c r="K119" s="3388">
        <f t="shared" si="36"/>
        <v>0.80159999999999998</v>
      </c>
      <c r="L119" s="3388">
        <f t="shared" si="36"/>
        <v>0.80159999999999998</v>
      </c>
      <c r="M119" s="3411">
        <f t="shared" si="36"/>
        <v>0.80159999999999998</v>
      </c>
      <c r="N119" s="3398"/>
    </row>
    <row r="120" spans="1:14">
      <c r="A120" s="3410" t="s">
        <v>3331</v>
      </c>
      <c r="B120" s="3388">
        <f>ROUND(0.9448-0.0115*B116,4)</f>
        <v>0.92179999999999995</v>
      </c>
      <c r="C120" s="3388">
        <f>B120</f>
        <v>0.92179999999999995</v>
      </c>
      <c r="D120" s="3388">
        <f>ROUND(0.937-0.0145*B116,4)</f>
        <v>0.90800000000000003</v>
      </c>
      <c r="E120" s="3388">
        <f t="shared" si="37"/>
        <v>0.90800000000000003</v>
      </c>
      <c r="F120" s="3388">
        <f t="shared" si="37"/>
        <v>0.90800000000000003</v>
      </c>
      <c r="G120" s="3388">
        <f t="shared" si="37"/>
        <v>0.90800000000000003</v>
      </c>
      <c r="H120" s="3388">
        <f t="shared" si="37"/>
        <v>0.90800000000000003</v>
      </c>
      <c r="I120" s="3388">
        <f>ROUND(0.7965-0.0185*B116,4)</f>
        <v>0.75949999999999995</v>
      </c>
      <c r="J120" s="3388">
        <f t="shared" si="36"/>
        <v>0.75949999999999995</v>
      </c>
      <c r="K120" s="3388">
        <f t="shared" si="36"/>
        <v>0.75949999999999995</v>
      </c>
      <c r="L120" s="3388">
        <f t="shared" si="36"/>
        <v>0.75949999999999995</v>
      </c>
      <c r="M120" s="3411">
        <f t="shared" si="36"/>
        <v>0.75949999999999995</v>
      </c>
      <c r="N120" s="3398"/>
    </row>
    <row r="121" spans="1:14" ht="13.5" thickBot="1">
      <c r="A121" s="3412" t="s">
        <v>3332</v>
      </c>
      <c r="B121" s="3413">
        <f>ROUND(0.7836-0.012*B116,4)</f>
        <v>0.75960000000000005</v>
      </c>
      <c r="C121" s="3413">
        <f>B121</f>
        <v>0.75960000000000005</v>
      </c>
      <c r="D121" s="3413">
        <f>ROUND(0.753-0.015*B116,4)</f>
        <v>0.72299999999999998</v>
      </c>
      <c r="E121" s="3413">
        <f>D121</f>
        <v>0.72299999999999998</v>
      </c>
      <c r="F121" s="3413">
        <f>E121</f>
        <v>0.72299999999999998</v>
      </c>
      <c r="G121" s="3413">
        <f>ROUND(0.6612-0.018*B116,4)</f>
        <v>0.62519999999999998</v>
      </c>
      <c r="H121" s="3413">
        <f>G121</f>
        <v>0.62519999999999998</v>
      </c>
      <c r="I121" s="3413">
        <f>ROUND(0.5905-0.019*B116,4)</f>
        <v>0.55249999999999999</v>
      </c>
      <c r="J121" s="3413">
        <f t="shared" si="36"/>
        <v>0.55249999999999999</v>
      </c>
      <c r="K121" s="3413">
        <f t="shared" si="36"/>
        <v>0.55249999999999999</v>
      </c>
      <c r="L121" s="3413">
        <f t="shared" si="36"/>
        <v>0.55249999999999999</v>
      </c>
      <c r="M121" s="3414">
        <f t="shared" si="36"/>
        <v>0.55249999999999999</v>
      </c>
      <c r="N121" s="3398"/>
    </row>
    <row r="122" spans="1:14">
      <c r="A122" s="3415" t="s">
        <v>2614</v>
      </c>
      <c r="B122" s="3388">
        <f>ROUND(0.9404-0.0106*B116,4)</f>
        <v>0.91920000000000002</v>
      </c>
      <c r="C122" s="3388">
        <f>B122</f>
        <v>0.91920000000000002</v>
      </c>
      <c r="D122" s="3388">
        <f>ROUND(0.8955-0.0135*B116,4)</f>
        <v>0.86850000000000005</v>
      </c>
      <c r="E122" s="3388">
        <f t="shared" ref="E122:H122" si="38">D122</f>
        <v>0.86850000000000005</v>
      </c>
      <c r="F122" s="3388">
        <f t="shared" si="38"/>
        <v>0.86850000000000005</v>
      </c>
      <c r="G122" s="3388">
        <f t="shared" si="38"/>
        <v>0.86850000000000005</v>
      </c>
      <c r="H122" s="3388">
        <f t="shared" si="38"/>
        <v>0.86850000000000005</v>
      </c>
      <c r="I122" s="3388">
        <f>ROUND(0.7632-0.0166*B116,4)</f>
        <v>0.73</v>
      </c>
      <c r="J122" s="3388">
        <f t="shared" si="36"/>
        <v>0.73</v>
      </c>
      <c r="K122" s="3388">
        <f t="shared" si="36"/>
        <v>0.73</v>
      </c>
      <c r="L122" s="3388">
        <f t="shared" si="36"/>
        <v>0.73</v>
      </c>
      <c r="M122" s="3411">
        <f t="shared" si="36"/>
        <v>0.73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815" t="s">
        <v>2609</v>
      </c>
      <c r="B20" s="3810" t="s">
        <v>2630</v>
      </c>
      <c r="C20" s="3103" t="s">
        <v>2441</v>
      </c>
      <c r="D20" s="3104"/>
      <c r="E20" s="3105">
        <v>1</v>
      </c>
      <c r="F20" s="3106" t="s">
        <v>2442</v>
      </c>
      <c r="G20" s="3106"/>
    </row>
    <row r="21" spans="1:13" ht="19.5" customHeight="1">
      <c r="A21" s="3816"/>
      <c r="B21" s="3809"/>
      <c r="C21" s="3107" t="s">
        <v>2443</v>
      </c>
      <c r="D21" s="3108"/>
      <c r="E21" s="3109">
        <v>1</v>
      </c>
      <c r="F21" s="3106" t="s">
        <v>2444</v>
      </c>
      <c r="G21" s="3106"/>
    </row>
    <row r="22" spans="1:13" ht="19.5" customHeight="1">
      <c r="A22" s="3816"/>
      <c r="B22" s="3809"/>
      <c r="C22" s="3107" t="s">
        <v>2445</v>
      </c>
      <c r="D22" s="3108"/>
      <c r="E22" s="3109">
        <v>0.9</v>
      </c>
      <c r="F22" s="3106" t="s">
        <v>2446</v>
      </c>
      <c r="G22" s="3106"/>
    </row>
    <row r="23" spans="1:13" ht="19.5" customHeight="1">
      <c r="A23" s="3816"/>
      <c r="B23" s="3809"/>
      <c r="C23" s="3107" t="s">
        <v>2447</v>
      </c>
      <c r="D23" s="3108"/>
      <c r="E23" s="3109">
        <v>0.9</v>
      </c>
      <c r="F23" s="3106" t="s">
        <v>2448</v>
      </c>
      <c r="G23" s="3106"/>
    </row>
    <row r="24" spans="1:13" ht="19.5" customHeight="1">
      <c r="A24" s="3816"/>
      <c r="B24" s="3809"/>
      <c r="C24" s="3107" t="s">
        <v>2449</v>
      </c>
      <c r="D24" s="3108"/>
      <c r="E24" s="3109">
        <v>0.8</v>
      </c>
      <c r="F24" s="3106" t="s">
        <v>2450</v>
      </c>
      <c r="G24" s="3106"/>
    </row>
    <row r="25" spans="1:13" ht="19.5" customHeight="1" thickBot="1">
      <c r="A25" s="3817"/>
      <c r="B25" s="3811"/>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812" t="s">
        <v>2633</v>
      </c>
      <c r="B27" s="3810" t="s">
        <v>2614</v>
      </c>
      <c r="C27" s="3103" t="s">
        <v>2454</v>
      </c>
      <c r="D27" s="3104"/>
      <c r="E27" s="3105">
        <v>1</v>
      </c>
      <c r="F27" s="3106" t="s">
        <v>2455</v>
      </c>
      <c r="G27" s="3106"/>
    </row>
    <row r="28" spans="1:13" ht="19.5" customHeight="1">
      <c r="A28" s="3813"/>
      <c r="B28" s="3809"/>
      <c r="C28" s="3107" t="s">
        <v>2456</v>
      </c>
      <c r="D28" s="3108"/>
      <c r="E28" s="3109">
        <v>1</v>
      </c>
      <c r="F28" s="3106" t="s">
        <v>2457</v>
      </c>
      <c r="G28" s="3106"/>
    </row>
    <row r="29" spans="1:13" ht="19.5" customHeight="1">
      <c r="A29" s="3813"/>
      <c r="B29" s="3809"/>
      <c r="C29" s="3107" t="s">
        <v>2458</v>
      </c>
      <c r="D29" s="3108"/>
      <c r="E29" s="3109">
        <v>0.8</v>
      </c>
      <c r="F29" s="3106" t="s">
        <v>2459</v>
      </c>
      <c r="G29" s="3106"/>
    </row>
    <row r="30" spans="1:13" ht="19.5" customHeight="1">
      <c r="A30" s="3813"/>
      <c r="B30" s="3809"/>
      <c r="C30" s="3107" t="s">
        <v>2460</v>
      </c>
      <c r="D30" s="3108"/>
      <c r="E30" s="3109">
        <v>0.8</v>
      </c>
      <c r="F30" s="3106" t="s">
        <v>2461</v>
      </c>
      <c r="G30" s="3106"/>
    </row>
    <row r="31" spans="1:13" ht="19.5" customHeight="1">
      <c r="A31" s="3813"/>
      <c r="B31" s="3809"/>
      <c r="C31" s="3107" t="s">
        <v>2462</v>
      </c>
      <c r="D31" s="3108"/>
      <c r="E31" s="3109">
        <v>0.8</v>
      </c>
      <c r="F31" s="3106" t="s">
        <v>2463</v>
      </c>
      <c r="G31" s="3106"/>
    </row>
    <row r="32" spans="1:13" ht="19.5" customHeight="1">
      <c r="A32" s="3813"/>
      <c r="B32" s="3809"/>
      <c r="C32" s="3107" t="s">
        <v>2464</v>
      </c>
      <c r="D32" s="3108"/>
      <c r="E32" s="3109">
        <v>0.7</v>
      </c>
      <c r="F32" s="3106" t="s">
        <v>2465</v>
      </c>
      <c r="G32" s="3106"/>
    </row>
    <row r="33" spans="1:7" ht="19.5" customHeight="1">
      <c r="A33" s="3813"/>
      <c r="B33" s="3809"/>
      <c r="C33" s="3107" t="s">
        <v>2466</v>
      </c>
      <c r="D33" s="3108"/>
      <c r="E33" s="3109">
        <v>0.8</v>
      </c>
      <c r="F33" s="3106" t="s">
        <v>2467</v>
      </c>
      <c r="G33" s="3106"/>
    </row>
    <row r="34" spans="1:7" ht="19.5" customHeight="1">
      <c r="A34" s="3813"/>
      <c r="B34" s="3809"/>
      <c r="C34" s="3107" t="s">
        <v>2468</v>
      </c>
      <c r="D34" s="3108"/>
      <c r="E34" s="3109">
        <v>0.6</v>
      </c>
      <c r="F34" s="3106" t="s">
        <v>2469</v>
      </c>
      <c r="G34" s="3106"/>
    </row>
    <row r="35" spans="1:7" ht="19.5" customHeight="1">
      <c r="A35" s="3813"/>
      <c r="B35" s="3809"/>
      <c r="C35" s="3107" t="s">
        <v>2470</v>
      </c>
      <c r="D35" s="3108"/>
      <c r="E35" s="3109">
        <v>0.2</v>
      </c>
      <c r="F35" s="3106" t="s">
        <v>2471</v>
      </c>
      <c r="G35" s="3106"/>
    </row>
    <row r="36" spans="1:7" ht="19.5" customHeight="1">
      <c r="A36" s="3813"/>
      <c r="B36" s="3809"/>
      <c r="C36" s="3107" t="s">
        <v>2472</v>
      </c>
      <c r="D36" s="3108"/>
      <c r="E36" s="3109">
        <v>0.2</v>
      </c>
      <c r="F36" s="3106" t="s">
        <v>2473</v>
      </c>
      <c r="G36" s="3106"/>
    </row>
    <row r="37" spans="1:7" ht="19.5" customHeight="1">
      <c r="A37" s="3813"/>
      <c r="B37" s="3807" t="s">
        <v>2634</v>
      </c>
      <c r="C37" s="3107" t="s">
        <v>2474</v>
      </c>
      <c r="D37" s="3108"/>
      <c r="E37" s="3109">
        <v>0.6</v>
      </c>
      <c r="F37" s="3106" t="s">
        <v>2475</v>
      </c>
      <c r="G37" s="3106"/>
    </row>
    <row r="38" spans="1:7" ht="19.5" customHeight="1">
      <c r="A38" s="3813"/>
      <c r="B38" s="3809"/>
      <c r="C38" s="3107" t="s">
        <v>2476</v>
      </c>
      <c r="D38" s="3108"/>
      <c r="E38" s="3109">
        <v>0.6</v>
      </c>
      <c r="F38" s="3106" t="s">
        <v>2477</v>
      </c>
      <c r="G38" s="3106"/>
    </row>
    <row r="39" spans="1:7" ht="19.5" customHeight="1" thickBot="1">
      <c r="A39" s="3814"/>
      <c r="B39" s="3811"/>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815" t="s">
        <v>2612</v>
      </c>
      <c r="B41" s="3810" t="s">
        <v>2636</v>
      </c>
      <c r="C41" s="3103" t="s">
        <v>2481</v>
      </c>
      <c r="D41" s="3104"/>
      <c r="E41" s="3105">
        <v>1</v>
      </c>
      <c r="F41" s="3106" t="s">
        <v>2482</v>
      </c>
      <c r="G41" s="3106"/>
    </row>
    <row r="42" spans="1:7" ht="19.5" customHeight="1">
      <c r="A42" s="3816"/>
      <c r="B42" s="3809"/>
      <c r="C42" s="3107" t="s">
        <v>2483</v>
      </c>
      <c r="D42" s="3108"/>
      <c r="E42" s="3109">
        <v>1</v>
      </c>
      <c r="F42" s="3106" t="s">
        <v>2484</v>
      </c>
      <c r="G42" s="3106"/>
    </row>
    <row r="43" spans="1:7" ht="19.5" customHeight="1">
      <c r="A43" s="3816"/>
      <c r="B43" s="3808"/>
      <c r="C43" s="3107" t="s">
        <v>2485</v>
      </c>
      <c r="D43" s="3108"/>
      <c r="E43" s="3109">
        <v>1.5</v>
      </c>
      <c r="F43" s="3106" t="s">
        <v>2486</v>
      </c>
      <c r="G43" s="3106"/>
    </row>
    <row r="44" spans="1:7" ht="19.5" customHeight="1">
      <c r="A44" s="3816"/>
      <c r="B44" s="3118" t="s">
        <v>2637</v>
      </c>
      <c r="C44" s="3107" t="s">
        <v>2638</v>
      </c>
      <c r="D44" s="3108"/>
      <c r="E44" s="3109">
        <v>2</v>
      </c>
      <c r="F44" s="3106" t="s">
        <v>2487</v>
      </c>
      <c r="G44" s="3106"/>
    </row>
    <row r="45" spans="1:7" ht="19.5" customHeight="1">
      <c r="A45" s="3816"/>
      <c r="B45" s="3807" t="s">
        <v>2639</v>
      </c>
      <c r="C45" s="3107" t="s">
        <v>2488</v>
      </c>
      <c r="D45" s="3108"/>
      <c r="E45" s="3109">
        <v>1</v>
      </c>
      <c r="F45" s="3106" t="s">
        <v>2489</v>
      </c>
      <c r="G45" s="3106"/>
    </row>
    <row r="46" spans="1:7" ht="19.5" customHeight="1">
      <c r="A46" s="3816"/>
      <c r="B46" s="3809"/>
      <c r="C46" s="3107" t="s">
        <v>2490</v>
      </c>
      <c r="D46" s="3108"/>
      <c r="E46" s="3109">
        <v>1</v>
      </c>
      <c r="F46" s="3106" t="s">
        <v>2491</v>
      </c>
      <c r="G46" s="3106"/>
    </row>
    <row r="47" spans="1:7" ht="19.5" customHeight="1">
      <c r="A47" s="3816"/>
      <c r="B47" s="3809"/>
      <c r="C47" s="3107" t="s">
        <v>2492</v>
      </c>
      <c r="D47" s="3108"/>
      <c r="E47" s="3109">
        <v>1</v>
      </c>
      <c r="F47" s="3106" t="s">
        <v>2493</v>
      </c>
      <c r="G47" s="3106"/>
    </row>
    <row r="48" spans="1:7" ht="19.5" customHeight="1">
      <c r="A48" s="3816"/>
      <c r="B48" s="3809"/>
      <c r="C48" s="3107" t="s">
        <v>2494</v>
      </c>
      <c r="D48" s="3108"/>
      <c r="E48" s="3109">
        <v>1</v>
      </c>
      <c r="F48" s="3106" t="s">
        <v>2495</v>
      </c>
      <c r="G48" s="3106"/>
    </row>
    <row r="49" spans="1:7" ht="19.5" customHeight="1">
      <c r="A49" s="3816"/>
      <c r="B49" s="3809"/>
      <c r="C49" s="3107" t="s">
        <v>2496</v>
      </c>
      <c r="D49" s="3108"/>
      <c r="E49" s="3109">
        <v>1</v>
      </c>
      <c r="F49" s="3106" t="s">
        <v>2497</v>
      </c>
      <c r="G49" s="3106"/>
    </row>
    <row r="50" spans="1:7" ht="19.5" customHeight="1">
      <c r="A50" s="3816"/>
      <c r="B50" s="3809"/>
      <c r="C50" s="3107" t="s">
        <v>2498</v>
      </c>
      <c r="D50" s="3108"/>
      <c r="E50" s="3109">
        <v>1</v>
      </c>
      <c r="F50" s="3106" t="s">
        <v>2499</v>
      </c>
      <c r="G50" s="3106"/>
    </row>
    <row r="51" spans="1:7" ht="19.5" customHeight="1" thickBot="1">
      <c r="A51" s="3817"/>
      <c r="B51" s="3811"/>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3.5">
      <c r="A72" s="3118"/>
      <c r="B72" s="3118"/>
      <c r="C72" s="3118" t="s">
        <v>2652</v>
      </c>
      <c r="D72" s="3118"/>
      <c r="E72" s="3118" t="s">
        <v>2623</v>
      </c>
      <c r="F72" s="3118" t="s">
        <v>2623</v>
      </c>
    </row>
    <row r="73" spans="1:7" ht="13.5">
      <c r="A73" s="3118">
        <v>1</v>
      </c>
      <c r="B73" s="3807" t="s">
        <v>2653</v>
      </c>
      <c r="C73" s="3092" t="s">
        <v>2654</v>
      </c>
      <c r="D73" s="3092" t="s">
        <v>2655</v>
      </c>
      <c r="E73" s="3118">
        <v>0.2</v>
      </c>
      <c r="F73" s="3118">
        <v>25</v>
      </c>
    </row>
    <row r="74" spans="1:7" ht="24">
      <c r="A74" s="3118">
        <v>2</v>
      </c>
      <c r="B74" s="3809"/>
      <c r="C74" s="3092" t="s">
        <v>2656</v>
      </c>
      <c r="D74" s="3092" t="s">
        <v>2657</v>
      </c>
      <c r="E74" s="3118">
        <v>0.2</v>
      </c>
      <c r="F74" s="3118">
        <v>25</v>
      </c>
    </row>
    <row r="75" spans="1:7" ht="24">
      <c r="A75" s="3118">
        <v>3</v>
      </c>
      <c r="B75" s="3809"/>
      <c r="C75" s="3092" t="s">
        <v>2658</v>
      </c>
      <c r="D75" s="3092" t="s">
        <v>2659</v>
      </c>
      <c r="E75" s="3118">
        <v>0.2</v>
      </c>
      <c r="F75" s="3118">
        <v>25</v>
      </c>
    </row>
    <row r="76" spans="1:7" ht="13.5">
      <c r="A76" s="3118">
        <v>4</v>
      </c>
      <c r="B76" s="3809"/>
      <c r="C76" s="3092" t="s">
        <v>2660</v>
      </c>
      <c r="D76" s="3092" t="s">
        <v>2661</v>
      </c>
      <c r="E76" s="3118">
        <v>0.15</v>
      </c>
      <c r="F76" s="3118">
        <v>20</v>
      </c>
    </row>
    <row r="77" spans="1:7" ht="24">
      <c r="A77" s="3118">
        <v>5</v>
      </c>
      <c r="B77" s="3809"/>
      <c r="C77" s="3092" t="s">
        <v>2662</v>
      </c>
      <c r="D77" s="3092" t="s">
        <v>2663</v>
      </c>
      <c r="E77" s="3118">
        <v>0.15</v>
      </c>
      <c r="F77" s="3118">
        <v>20</v>
      </c>
    </row>
    <row r="78" spans="1:7" ht="24">
      <c r="A78" s="3118">
        <v>6</v>
      </c>
      <c r="B78" s="3809"/>
      <c r="C78" s="3092" t="s">
        <v>2664</v>
      </c>
      <c r="D78" s="3092" t="s">
        <v>2665</v>
      </c>
      <c r="E78" s="3118">
        <v>0.15</v>
      </c>
      <c r="F78" s="3118">
        <v>20</v>
      </c>
    </row>
    <row r="79" spans="1:7" ht="24">
      <c r="A79" s="3118">
        <v>7</v>
      </c>
      <c r="B79" s="3809"/>
      <c r="C79" s="3092" t="s">
        <v>2666</v>
      </c>
      <c r="D79" s="3092" t="s">
        <v>2667</v>
      </c>
      <c r="E79" s="3118">
        <v>0.15</v>
      </c>
      <c r="F79" s="3118">
        <v>20</v>
      </c>
    </row>
    <row r="80" spans="1:7" ht="24">
      <c r="A80" s="3118">
        <v>8</v>
      </c>
      <c r="B80" s="3809"/>
      <c r="C80" s="3092" t="s">
        <v>2668</v>
      </c>
      <c r="D80" s="3092" t="s">
        <v>2669</v>
      </c>
      <c r="E80" s="3118">
        <v>0.1</v>
      </c>
      <c r="F80" s="3118">
        <v>15</v>
      </c>
    </row>
    <row r="81" spans="1:6" ht="24">
      <c r="A81" s="3118">
        <v>9</v>
      </c>
      <c r="B81" s="3809"/>
      <c r="C81" s="3092" t="s">
        <v>2670</v>
      </c>
      <c r="D81" s="3092" t="s">
        <v>2671</v>
      </c>
      <c r="E81" s="3118">
        <v>0.1</v>
      </c>
      <c r="F81" s="3118">
        <v>15</v>
      </c>
    </row>
    <row r="82" spans="1:6" ht="24">
      <c r="A82" s="3118">
        <v>10</v>
      </c>
      <c r="B82" s="3809"/>
      <c r="C82" s="3092" t="s">
        <v>2672</v>
      </c>
      <c r="D82" s="3092" t="s">
        <v>2673</v>
      </c>
      <c r="E82" s="3118">
        <v>0.1</v>
      </c>
      <c r="F82" s="3118">
        <v>15</v>
      </c>
    </row>
    <row r="83" spans="1:6" ht="24">
      <c r="A83" s="3118">
        <v>11</v>
      </c>
      <c r="B83" s="3809"/>
      <c r="C83" s="3092" t="s">
        <v>2674</v>
      </c>
      <c r="D83" s="3092" t="s">
        <v>2675</v>
      </c>
      <c r="E83" s="3118">
        <v>0.1</v>
      </c>
      <c r="F83" s="3118">
        <v>15</v>
      </c>
    </row>
    <row r="84" spans="1:6" ht="24">
      <c r="A84" s="3118">
        <v>12</v>
      </c>
      <c r="B84" s="3809"/>
      <c r="C84" s="3092" t="s">
        <v>2676</v>
      </c>
      <c r="D84" s="3092" t="s">
        <v>2677</v>
      </c>
      <c r="E84" s="3118">
        <v>0.1</v>
      </c>
      <c r="F84" s="3118">
        <v>15</v>
      </c>
    </row>
    <row r="85" spans="1:6" ht="13.5">
      <c r="A85" s="3118">
        <v>13</v>
      </c>
      <c r="B85" s="3809"/>
      <c r="C85" s="3092" t="s">
        <v>2678</v>
      </c>
      <c r="D85" s="3092" t="s">
        <v>2679</v>
      </c>
      <c r="E85" s="3118">
        <v>0.1</v>
      </c>
      <c r="F85" s="3118">
        <v>15</v>
      </c>
    </row>
    <row r="86" spans="1:6" ht="13.5">
      <c r="A86" s="3118">
        <v>14</v>
      </c>
      <c r="B86" s="3809"/>
      <c r="C86" s="3092" t="s">
        <v>2680</v>
      </c>
      <c r="D86" s="3092" t="s">
        <v>2681</v>
      </c>
      <c r="E86" s="3118">
        <v>0.1</v>
      </c>
      <c r="F86" s="3118">
        <v>15</v>
      </c>
    </row>
    <row r="87" spans="1:6" ht="13.5">
      <c r="A87" s="3118">
        <v>15</v>
      </c>
      <c r="B87" s="3809"/>
      <c r="C87" s="3092" t="s">
        <v>2682</v>
      </c>
      <c r="D87" s="3092" t="s">
        <v>2683</v>
      </c>
      <c r="E87" s="3118">
        <v>0.1</v>
      </c>
      <c r="F87" s="3118">
        <v>15</v>
      </c>
    </row>
    <row r="88" spans="1:6" ht="24">
      <c r="A88" s="3118">
        <v>16</v>
      </c>
      <c r="B88" s="3809"/>
      <c r="C88" s="3092" t="s">
        <v>2684</v>
      </c>
      <c r="D88" s="3092" t="s">
        <v>2685</v>
      </c>
      <c r="E88" s="3118">
        <v>0.1</v>
      </c>
      <c r="F88" s="3118">
        <v>15</v>
      </c>
    </row>
    <row r="89" spans="1:6" ht="24">
      <c r="A89" s="3118">
        <v>17</v>
      </c>
      <c r="B89" s="3808"/>
      <c r="C89" s="3092" t="s">
        <v>2686</v>
      </c>
      <c r="D89" s="3092" t="s">
        <v>2687</v>
      </c>
      <c r="E89" s="3118">
        <v>0.1</v>
      </c>
      <c r="F89" s="3118">
        <v>15</v>
      </c>
    </row>
    <row r="90" spans="1:6" ht="13.5">
      <c r="A90" s="3118">
        <v>18</v>
      </c>
      <c r="B90" s="3807" t="s">
        <v>2688</v>
      </c>
      <c r="C90" s="3092" t="s">
        <v>2689</v>
      </c>
      <c r="D90" s="3092" t="s">
        <v>2690</v>
      </c>
      <c r="E90" s="3118">
        <v>0.2</v>
      </c>
      <c r="F90" s="3118">
        <v>25</v>
      </c>
    </row>
    <row r="91" spans="1:6" ht="24">
      <c r="A91" s="3118">
        <v>19</v>
      </c>
      <c r="B91" s="3809"/>
      <c r="C91" s="3092" t="s">
        <v>2691</v>
      </c>
      <c r="D91" s="3092" t="s">
        <v>2692</v>
      </c>
      <c r="E91" s="3118">
        <v>0.2</v>
      </c>
      <c r="F91" s="3118">
        <v>25</v>
      </c>
    </row>
    <row r="92" spans="1:6" ht="13.5">
      <c r="A92" s="3118">
        <v>20</v>
      </c>
      <c r="B92" s="3809"/>
      <c r="C92" s="3092" t="s">
        <v>2693</v>
      </c>
      <c r="D92" s="3092" t="s">
        <v>2694</v>
      </c>
      <c r="E92" s="3118">
        <v>0.15</v>
      </c>
      <c r="F92" s="3118">
        <v>20</v>
      </c>
    </row>
    <row r="93" spans="1:6" ht="13.5">
      <c r="A93" s="3118">
        <v>21</v>
      </c>
      <c r="B93" s="3809"/>
      <c r="C93" s="3092" t="s">
        <v>2695</v>
      </c>
      <c r="D93" s="3092" t="s">
        <v>2696</v>
      </c>
      <c r="E93" s="3118">
        <v>0.15</v>
      </c>
      <c r="F93" s="3118">
        <v>20</v>
      </c>
    </row>
    <row r="94" spans="1:6" ht="13.5">
      <c r="A94" s="3118">
        <v>22</v>
      </c>
      <c r="B94" s="3809"/>
      <c r="C94" s="3092" t="s">
        <v>2697</v>
      </c>
      <c r="D94" s="3092" t="s">
        <v>2698</v>
      </c>
      <c r="E94" s="3118">
        <v>0.15</v>
      </c>
      <c r="F94" s="3118">
        <v>20</v>
      </c>
    </row>
    <row r="95" spans="1:6" ht="36">
      <c r="A95" s="3118">
        <v>23</v>
      </c>
      <c r="B95" s="3809"/>
      <c r="C95" s="3092" t="s">
        <v>2699</v>
      </c>
      <c r="D95" s="3092" t="s">
        <v>2700</v>
      </c>
      <c r="E95" s="3118">
        <v>0.15</v>
      </c>
      <c r="F95" s="3118">
        <v>20</v>
      </c>
    </row>
    <row r="96" spans="1:6" ht="13.5">
      <c r="A96" s="3118">
        <v>24</v>
      </c>
      <c r="B96" s="3809"/>
      <c r="C96" s="3092" t="s">
        <v>2701</v>
      </c>
      <c r="D96" s="3092" t="s">
        <v>2702</v>
      </c>
      <c r="E96" s="3118">
        <v>0.1</v>
      </c>
      <c r="F96" s="3118">
        <v>15</v>
      </c>
    </row>
    <row r="97" spans="1:6" ht="13.5">
      <c r="A97" s="3118">
        <v>25</v>
      </c>
      <c r="B97" s="3809"/>
      <c r="C97" s="3092" t="s">
        <v>2703</v>
      </c>
      <c r="D97" s="3092" t="s">
        <v>2704</v>
      </c>
      <c r="E97" s="3118">
        <v>0.1</v>
      </c>
      <c r="F97" s="3118">
        <v>15</v>
      </c>
    </row>
    <row r="98" spans="1:6" ht="24">
      <c r="A98" s="3118">
        <v>26</v>
      </c>
      <c r="B98" s="3809"/>
      <c r="C98" s="3092" t="s">
        <v>2705</v>
      </c>
      <c r="D98" s="3092" t="s">
        <v>2706</v>
      </c>
      <c r="E98" s="3118">
        <v>0.1</v>
      </c>
      <c r="F98" s="3118">
        <v>15</v>
      </c>
    </row>
    <row r="99" spans="1:6" ht="24">
      <c r="A99" s="3118">
        <v>27</v>
      </c>
      <c r="B99" s="3809"/>
      <c r="C99" s="3092" t="s">
        <v>2707</v>
      </c>
      <c r="D99" s="3092" t="s">
        <v>2708</v>
      </c>
      <c r="E99" s="3118">
        <v>0.1</v>
      </c>
      <c r="F99" s="3118">
        <v>15</v>
      </c>
    </row>
    <row r="100" spans="1:6" ht="13.5">
      <c r="A100" s="3118">
        <v>28</v>
      </c>
      <c r="B100" s="3809"/>
      <c r="C100" s="3092" t="s">
        <v>2709</v>
      </c>
      <c r="D100" s="3092" t="s">
        <v>2710</v>
      </c>
      <c r="E100" s="3118">
        <v>0.1</v>
      </c>
      <c r="F100" s="3118">
        <v>15</v>
      </c>
    </row>
    <row r="101" spans="1:6" ht="13.5">
      <c r="A101" s="3118">
        <v>29</v>
      </c>
      <c r="B101" s="3809"/>
      <c r="C101" s="3092" t="s">
        <v>2711</v>
      </c>
      <c r="D101" s="3092" t="s">
        <v>2712</v>
      </c>
      <c r="E101" s="3118">
        <v>0.1</v>
      </c>
      <c r="F101" s="3118">
        <v>15</v>
      </c>
    </row>
    <row r="102" spans="1:6" ht="13.5">
      <c r="A102" s="3118">
        <v>30</v>
      </c>
      <c r="B102" s="3809"/>
      <c r="C102" s="3092" t="s">
        <v>2713</v>
      </c>
      <c r="D102" s="3092" t="s">
        <v>2714</v>
      </c>
      <c r="E102" s="3118">
        <v>0.1</v>
      </c>
      <c r="F102" s="3118">
        <v>15</v>
      </c>
    </row>
    <row r="103" spans="1:6" ht="24">
      <c r="A103" s="3118">
        <v>31</v>
      </c>
      <c r="B103" s="3809"/>
      <c r="C103" s="3092" t="s">
        <v>2715</v>
      </c>
      <c r="D103" s="3092" t="s">
        <v>2716</v>
      </c>
      <c r="E103" s="3118">
        <v>0.1</v>
      </c>
      <c r="F103" s="3118">
        <v>15</v>
      </c>
    </row>
    <row r="104" spans="1:6" ht="24">
      <c r="A104" s="3118">
        <v>32</v>
      </c>
      <c r="B104" s="3809"/>
      <c r="C104" s="3092" t="s">
        <v>2717</v>
      </c>
      <c r="D104" s="3092" t="s">
        <v>2718</v>
      </c>
      <c r="E104" s="3118">
        <v>0.1</v>
      </c>
      <c r="F104" s="3118">
        <v>15</v>
      </c>
    </row>
    <row r="105" spans="1:6" ht="24">
      <c r="A105" s="3118">
        <v>33</v>
      </c>
      <c r="B105" s="3809"/>
      <c r="C105" s="3092" t="s">
        <v>2719</v>
      </c>
      <c r="D105" s="3092" t="s">
        <v>2720</v>
      </c>
      <c r="E105" s="3118">
        <v>0.1</v>
      </c>
      <c r="F105" s="3118">
        <v>15</v>
      </c>
    </row>
    <row r="106" spans="1:6" ht="24">
      <c r="A106" s="3118">
        <v>34</v>
      </c>
      <c r="B106" s="3808"/>
      <c r="C106" s="3092" t="s">
        <v>2721</v>
      </c>
      <c r="D106" s="3092" t="s">
        <v>2722</v>
      </c>
      <c r="E106" s="3118">
        <v>0.1</v>
      </c>
      <c r="F106" s="3118">
        <v>15</v>
      </c>
    </row>
    <row r="107" spans="1:6" ht="24">
      <c r="A107" s="3118">
        <v>35</v>
      </c>
      <c r="B107" s="3807" t="s">
        <v>2723</v>
      </c>
      <c r="C107" s="3118" t="s">
        <v>2724</v>
      </c>
      <c r="D107" s="3092" t="s">
        <v>2725</v>
      </c>
      <c r="E107" s="3118">
        <v>0.15</v>
      </c>
      <c r="F107" s="3118">
        <v>20</v>
      </c>
    </row>
    <row r="108" spans="1:6" ht="13.5">
      <c r="A108" s="3118">
        <v>36</v>
      </c>
      <c r="B108" s="3809"/>
      <c r="C108" s="3118" t="s">
        <v>2726</v>
      </c>
      <c r="D108" s="3092" t="s">
        <v>2727</v>
      </c>
      <c r="E108" s="3118">
        <v>0.15</v>
      </c>
      <c r="F108" s="3118">
        <v>20</v>
      </c>
    </row>
    <row r="109" spans="1:6" ht="13.5">
      <c r="A109" s="3118">
        <v>37</v>
      </c>
      <c r="B109" s="3809"/>
      <c r="C109" s="3118" t="s">
        <v>2728</v>
      </c>
      <c r="D109" s="3092" t="s">
        <v>2729</v>
      </c>
      <c r="E109" s="3118">
        <v>0.15</v>
      </c>
      <c r="F109" s="3118">
        <v>20</v>
      </c>
    </row>
    <row r="110" spans="1:6" ht="13.5">
      <c r="A110" s="3118">
        <v>38</v>
      </c>
      <c r="B110" s="3809"/>
      <c r="C110" s="3118" t="s">
        <v>2730</v>
      </c>
      <c r="D110" s="3092" t="s">
        <v>2731</v>
      </c>
      <c r="E110" s="3118">
        <v>0.1</v>
      </c>
      <c r="F110" s="3118">
        <v>15</v>
      </c>
    </row>
    <row r="111" spans="1:6" ht="24">
      <c r="A111" s="3118">
        <v>39</v>
      </c>
      <c r="B111" s="3809"/>
      <c r="C111" s="3118" t="s">
        <v>2732</v>
      </c>
      <c r="D111" s="3092" t="s">
        <v>2733</v>
      </c>
      <c r="E111" s="3118">
        <v>0.1</v>
      </c>
      <c r="F111" s="3118">
        <v>15</v>
      </c>
    </row>
    <row r="112" spans="1:6" ht="24">
      <c r="A112" s="3118">
        <v>40</v>
      </c>
      <c r="B112" s="3808"/>
      <c r="C112" s="3118" t="s">
        <v>2734</v>
      </c>
      <c r="D112" s="3092" t="s">
        <v>2735</v>
      </c>
      <c r="E112" s="3118">
        <v>0.1</v>
      </c>
      <c r="F112" s="3118">
        <v>15</v>
      </c>
    </row>
    <row r="113" spans="1:6" ht="13.5">
      <c r="A113" s="3118">
        <v>41</v>
      </c>
      <c r="B113" s="3806" t="s">
        <v>2736</v>
      </c>
      <c r="C113" s="3118" t="s">
        <v>2737</v>
      </c>
      <c r="D113" s="3092" t="s">
        <v>2738</v>
      </c>
      <c r="E113" s="3118">
        <v>0.1</v>
      </c>
      <c r="F113" s="3118">
        <v>15</v>
      </c>
    </row>
    <row r="114" spans="1:6" ht="13.5">
      <c r="A114" s="3118">
        <v>42</v>
      </c>
      <c r="B114" s="3806"/>
      <c r="C114" s="3118" t="s">
        <v>2739</v>
      </c>
      <c r="D114" s="3092" t="s">
        <v>2740</v>
      </c>
      <c r="E114" s="3118">
        <v>0.1</v>
      </c>
      <c r="F114" s="3118">
        <v>15</v>
      </c>
    </row>
    <row r="115" spans="1:6" ht="24">
      <c r="A115" s="3118">
        <v>43</v>
      </c>
      <c r="B115" s="3806"/>
      <c r="C115" s="3118" t="s">
        <v>2741</v>
      </c>
      <c r="D115" s="3092" t="s">
        <v>2742</v>
      </c>
      <c r="E115" s="3118">
        <v>0.1</v>
      </c>
      <c r="F115" s="3118">
        <v>15</v>
      </c>
    </row>
    <row r="116" spans="1:6" ht="13.5">
      <c r="A116" s="3118">
        <v>44</v>
      </c>
      <c r="B116" s="3807" t="s">
        <v>2743</v>
      </c>
      <c r="C116" s="3118" t="s">
        <v>2744</v>
      </c>
      <c r="D116" s="3092" t="s">
        <v>2745</v>
      </c>
      <c r="E116" s="3118">
        <v>0.1</v>
      </c>
      <c r="F116" s="3118">
        <v>15</v>
      </c>
    </row>
    <row r="117" spans="1:6" ht="24">
      <c r="A117" s="3118">
        <v>45</v>
      </c>
      <c r="B117" s="3808"/>
      <c r="C117" s="3092" t="s">
        <v>2746</v>
      </c>
      <c r="D117" s="3092" t="s">
        <v>2747</v>
      </c>
      <c r="E117" s="3118">
        <v>0.1</v>
      </c>
      <c r="F117" s="3118">
        <v>15</v>
      </c>
    </row>
    <row r="118" spans="1:6" ht="24">
      <c r="A118" s="3118">
        <v>46</v>
      </c>
      <c r="B118" s="3807" t="s">
        <v>2748</v>
      </c>
      <c r="C118" s="3118" t="s">
        <v>2749</v>
      </c>
      <c r="D118" s="3092" t="s">
        <v>2750</v>
      </c>
      <c r="E118" s="3118">
        <v>0.1</v>
      </c>
      <c r="F118" s="3118">
        <v>15</v>
      </c>
    </row>
    <row r="119" spans="1:6" ht="24">
      <c r="A119" s="3118">
        <v>47</v>
      </c>
      <c r="B119" s="3808"/>
      <c r="C119" s="3118" t="s">
        <v>2751</v>
      </c>
      <c r="D119" s="3092" t="s">
        <v>2752</v>
      </c>
      <c r="E119" s="3118">
        <v>0.1</v>
      </c>
      <c r="F119" s="3118">
        <v>15</v>
      </c>
    </row>
    <row r="120" spans="1:6" ht="13.5">
      <c r="A120" s="3118">
        <v>48</v>
      </c>
      <c r="B120" s="3807" t="s">
        <v>2753</v>
      </c>
      <c r="C120" s="3118" t="s">
        <v>2754</v>
      </c>
      <c r="D120" s="3092" t="s">
        <v>2755</v>
      </c>
      <c r="E120" s="3118">
        <v>0.1</v>
      </c>
      <c r="F120" s="3118">
        <v>15</v>
      </c>
    </row>
    <row r="121" spans="1:6" ht="13.5">
      <c r="A121" s="3118">
        <v>49</v>
      </c>
      <c r="B121" s="3808"/>
      <c r="C121" s="3118" t="s">
        <v>2756</v>
      </c>
      <c r="D121" s="3092" t="s">
        <v>2757</v>
      </c>
      <c r="E121" s="3118">
        <v>0.1</v>
      </c>
      <c r="F121" s="3118">
        <v>15</v>
      </c>
    </row>
    <row r="122" spans="1:6" ht="24">
      <c r="A122" s="3118">
        <v>50</v>
      </c>
      <c r="B122" s="3806" t="s">
        <v>2758</v>
      </c>
      <c r="C122" s="3118" t="s">
        <v>2759</v>
      </c>
      <c r="D122" s="3092" t="s">
        <v>2760</v>
      </c>
      <c r="E122" s="3118">
        <v>0.1</v>
      </c>
      <c r="F122" s="3118">
        <v>15</v>
      </c>
    </row>
    <row r="123" spans="1:6" ht="24">
      <c r="A123" s="3118">
        <v>51</v>
      </c>
      <c r="B123" s="3806"/>
      <c r="C123" s="3118" t="s">
        <v>2761</v>
      </c>
      <c r="D123" s="3092" t="s">
        <v>2762</v>
      </c>
      <c r="E123" s="3118">
        <v>0.1</v>
      </c>
      <c r="F123" s="3118">
        <v>15</v>
      </c>
    </row>
    <row r="124" spans="1:6" ht="24">
      <c r="A124" s="3118">
        <v>52</v>
      </c>
      <c r="B124" s="3806" t="s">
        <v>2763</v>
      </c>
      <c r="C124" s="3118" t="s">
        <v>2764</v>
      </c>
      <c r="D124" s="3092" t="s">
        <v>2765</v>
      </c>
      <c r="E124" s="3118">
        <v>0.1</v>
      </c>
      <c r="F124" s="3118">
        <v>15</v>
      </c>
    </row>
    <row r="125" spans="1:6" ht="24">
      <c r="A125" s="3118">
        <v>53</v>
      </c>
      <c r="B125" s="3806"/>
      <c r="C125" s="3118" t="s">
        <v>2766</v>
      </c>
      <c r="D125" s="3092" t="s">
        <v>2767</v>
      </c>
      <c r="E125" s="3118">
        <v>0.1</v>
      </c>
      <c r="F125" s="3118">
        <v>15</v>
      </c>
    </row>
    <row r="126" spans="1:6" ht="13.5">
      <c r="A126" s="3118">
        <v>54</v>
      </c>
      <c r="B126" s="3118" t="s">
        <v>2768</v>
      </c>
      <c r="C126" s="3118" t="s">
        <v>2769</v>
      </c>
      <c r="D126" s="3092" t="s">
        <v>2770</v>
      </c>
      <c r="E126" s="3118">
        <v>0.1</v>
      </c>
      <c r="F126" s="3118">
        <v>15</v>
      </c>
    </row>
    <row r="127" spans="1:6" ht="13.5">
      <c r="A127" s="3118">
        <v>55</v>
      </c>
      <c r="B127" s="3806" t="s">
        <v>2771</v>
      </c>
      <c r="C127" s="3118" t="s">
        <v>2772</v>
      </c>
      <c r="D127" s="3092" t="s">
        <v>2773</v>
      </c>
      <c r="E127" s="3118">
        <v>0.1</v>
      </c>
      <c r="F127" s="3118">
        <v>15</v>
      </c>
    </row>
    <row r="128" spans="1:6" ht="13.5">
      <c r="A128" s="3118">
        <v>56</v>
      </c>
      <c r="B128" s="3806"/>
      <c r="C128" s="3118" t="s">
        <v>2774</v>
      </c>
      <c r="D128" s="3092" t="s">
        <v>2775</v>
      </c>
      <c r="E128" s="3118">
        <v>0.1</v>
      </c>
      <c r="F128" s="3118">
        <v>15</v>
      </c>
    </row>
    <row r="129" spans="1:6" ht="24">
      <c r="A129" s="3118">
        <v>57</v>
      </c>
      <c r="B129" s="3806"/>
      <c r="C129" s="3118" t="s">
        <v>2776</v>
      </c>
      <c r="D129" s="3092" t="s">
        <v>2777</v>
      </c>
      <c r="E129" s="3118">
        <v>0.1</v>
      </c>
      <c r="F129" s="3118">
        <v>15</v>
      </c>
    </row>
    <row r="130" spans="1:6" ht="24">
      <c r="A130" s="3118">
        <v>58</v>
      </c>
      <c r="B130" s="3806" t="s">
        <v>2778</v>
      </c>
      <c r="C130" s="3118" t="s">
        <v>2779</v>
      </c>
      <c r="D130" s="3092" t="s">
        <v>2780</v>
      </c>
      <c r="E130" s="3118">
        <v>0.1</v>
      </c>
      <c r="F130" s="3118">
        <v>15</v>
      </c>
    </row>
    <row r="131" spans="1:6" ht="13.5">
      <c r="A131" s="3118">
        <v>59</v>
      </c>
      <c r="B131" s="3806"/>
      <c r="C131" s="3118" t="s">
        <v>2781</v>
      </c>
      <c r="D131" s="3092" t="s">
        <v>2782</v>
      </c>
      <c r="E131" s="3118">
        <v>0.1</v>
      </c>
      <c r="F131" s="3118">
        <v>15</v>
      </c>
    </row>
    <row r="132" spans="1:6" ht="13.5">
      <c r="A132" s="3118">
        <v>60</v>
      </c>
      <c r="B132" s="3807" t="s">
        <v>2783</v>
      </c>
      <c r="C132" s="3118" t="s">
        <v>2784</v>
      </c>
      <c r="D132" s="3092" t="s">
        <v>2785</v>
      </c>
      <c r="E132" s="3118">
        <v>0.1</v>
      </c>
      <c r="F132" s="3118">
        <v>15</v>
      </c>
    </row>
    <row r="133" spans="1:6" ht="13.5">
      <c r="A133" s="3118">
        <v>61</v>
      </c>
      <c r="B133" s="3808"/>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13.5">
      <c r="A135" s="3118">
        <v>63</v>
      </c>
      <c r="B135" s="3806" t="s">
        <v>2791</v>
      </c>
      <c r="C135" s="3118" t="s">
        <v>2792</v>
      </c>
      <c r="D135" s="3092" t="s">
        <v>2793</v>
      </c>
      <c r="E135" s="3118">
        <v>0.1</v>
      </c>
      <c r="F135" s="3118">
        <v>15</v>
      </c>
    </row>
    <row r="136" spans="1:6" ht="13.5">
      <c r="A136" s="3118">
        <v>64</v>
      </c>
      <c r="B136" s="3806"/>
      <c r="C136" s="3118" t="s">
        <v>2794</v>
      </c>
      <c r="D136" s="3092" t="s">
        <v>2795</v>
      </c>
      <c r="E136" s="3118">
        <v>0.1</v>
      </c>
      <c r="F136" s="3118">
        <v>15</v>
      </c>
    </row>
    <row r="137" spans="1:6" ht="13.5">
      <c r="A137" s="3118">
        <v>65</v>
      </c>
      <c r="B137" s="3118" t="s">
        <v>2796</v>
      </c>
      <c r="C137" s="3118" t="s">
        <v>2797</v>
      </c>
      <c r="D137" s="3092" t="s">
        <v>2798</v>
      </c>
      <c r="E137" s="3118">
        <v>0.1</v>
      </c>
      <c r="F137" s="3118">
        <v>15</v>
      </c>
    </row>
    <row r="138" spans="1:6" ht="13.5">
      <c r="A138" s="3118"/>
      <c r="B138" s="3118"/>
      <c r="C138" s="3118"/>
      <c r="D138" s="3118"/>
      <c r="E138" s="3118" t="s">
        <v>2799</v>
      </c>
      <c r="F138" s="3118"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1</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0.9103</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28240</v>
      </c>
      <c r="C2" s="2" t="s">
        <v>106</v>
      </c>
      <c r="D2" s="199"/>
      <c r="E2" s="199"/>
      <c r="F2" s="199"/>
      <c r="G2" s="199"/>
    </row>
    <row r="3" spans="1:7" s="200" customFormat="1" ht="18" customHeight="1" thickBot="1">
      <c r="A3" s="203" t="s">
        <v>58</v>
      </c>
      <c r="B3" s="204">
        <f ca="1">ROUND(B2*10000/'数据-汇总表'!E3,0)</f>
        <v>4276844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v>
      </c>
      <c r="D10" s="845">
        <f>'数据-汇总表'!E6</f>
        <v>66.03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66.03</v>
      </c>
      <c r="E19" s="211">
        <f>'数据-取费表'!B31</f>
        <v>300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0.05</v>
      </c>
      <c r="D21" s="236" t="s">
        <v>99</v>
      </c>
      <c r="E21" s="232"/>
      <c r="F21" s="233">
        <f>'数据-取费表'!B38</f>
        <v>0.05</v>
      </c>
      <c r="G21" s="234" t="s">
        <v>79</v>
      </c>
    </row>
    <row r="22" spans="1:7" s="214" customFormat="1" ht="13.5" customHeight="1">
      <c r="A22" s="777" t="s">
        <v>341</v>
      </c>
      <c r="B22" s="210" t="s">
        <v>80</v>
      </c>
      <c r="C22" s="1104">
        <f ca="1">ROUND(SUM(C23:C25),0)</f>
        <v>906</v>
      </c>
      <c r="D22" s="235">
        <f ca="1">C26</f>
        <v>1.1000000000000001E-3</v>
      </c>
      <c r="E22" s="236" t="s">
        <v>99</v>
      </c>
      <c r="F22" s="237">
        <f ca="1">'数据-取费表'!B40</f>
        <v>4.3500000000000004E-2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897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1.1000000000000001E-3</v>
      </c>
      <c r="D26" s="238"/>
      <c r="E26" s="241"/>
      <c r="F26" s="239"/>
      <c r="G26" s="243"/>
    </row>
    <row r="27" spans="1:7" s="214" customFormat="1" ht="24.75">
      <c r="A27" s="777" t="s">
        <v>342</v>
      </c>
      <c r="B27" s="244" t="s">
        <v>85</v>
      </c>
      <c r="C27" s="245">
        <f>C28</f>
        <v>3154</v>
      </c>
      <c r="D27" s="235">
        <f>C29</f>
        <v>7.4999999999999997E-3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7.4999999999999997E-3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28215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26</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1</v>
      </c>
      <c r="D37" s="217">
        <f>'数据-汇总表'!E3</f>
        <v>66.03</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0.05</v>
      </c>
      <c r="D40" s="236" t="s">
        <v>102</v>
      </c>
      <c r="E40" s="232"/>
      <c r="F40" s="233"/>
      <c r="G40" s="234" t="s">
        <v>93</v>
      </c>
    </row>
    <row r="41" spans="1:7" s="214" customFormat="1" ht="13.5" customHeight="1">
      <c r="A41" s="777" t="s">
        <v>340</v>
      </c>
      <c r="B41" s="210" t="s">
        <v>80</v>
      </c>
      <c r="C41" s="232">
        <f ca="1">ROUND(SUM(C42:C43),0)</f>
        <v>1</v>
      </c>
      <c r="D41" s="235">
        <f ca="1">C44</f>
        <v>1.1000000000000001E-3</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v>
      </c>
      <c r="D42" s="238"/>
      <c r="E42" s="238"/>
      <c r="F42" s="239"/>
      <c r="G42" s="3664" t="s">
        <v>94</v>
      </c>
    </row>
    <row r="43" spans="1:7" ht="13.5" customHeight="1">
      <c r="A43" s="780" t="s">
        <v>347</v>
      </c>
      <c r="B43" s="215" t="s">
        <v>426</v>
      </c>
      <c r="C43" s="238">
        <f ca="1">ROUND(IF('数据-取费表'!B22&lt;=1,C39*F22*'数据-取费表'!B21/2,C39*(POWER((1+F22),'数据-取费表'!B21/2)-1)),0)</f>
        <v>0</v>
      </c>
      <c r="D43" s="238"/>
      <c r="E43" s="238"/>
      <c r="F43" s="239"/>
      <c r="G43" s="3665"/>
    </row>
    <row r="44" spans="1:7" ht="13.5" customHeight="1">
      <c r="A44" s="780" t="s">
        <v>348</v>
      </c>
      <c r="B44" s="215" t="s">
        <v>428</v>
      </c>
      <c r="C44" s="238">
        <f ca="1">ROUND(IF('数据-取费表'!B22&lt;=1,C40*F22*'数据-取费表'!B21/2,C40*(POWER((1+F22),'数据-取费表'!B21/2)-1)),4)</f>
        <v>1.1000000000000001E-3</v>
      </c>
      <c r="D44" s="238"/>
      <c r="E44" s="238"/>
      <c r="F44" s="239"/>
      <c r="G44" s="3666"/>
    </row>
    <row r="45" spans="1:7" s="214" customFormat="1" ht="13.5" customHeight="1">
      <c r="A45" s="777" t="s">
        <v>341</v>
      </c>
      <c r="B45" s="244" t="s">
        <v>85</v>
      </c>
      <c r="C45" s="245">
        <f>C46</f>
        <v>4</v>
      </c>
      <c r="D45" s="235">
        <f>C47</f>
        <v>7.4999999999999997E-3</v>
      </c>
      <c r="E45" s="236" t="s">
        <v>102</v>
      </c>
      <c r="F45" s="246"/>
      <c r="G45" s="247" t="s">
        <v>434</v>
      </c>
    </row>
    <row r="46" spans="1:7" s="214" customFormat="1" ht="13.5" customHeight="1">
      <c r="A46" s="780" t="s">
        <v>349</v>
      </c>
      <c r="B46" s="248" t="s">
        <v>427</v>
      </c>
      <c r="C46" s="249">
        <f>ROUND((C33+C39)*F27,0)</f>
        <v>4</v>
      </c>
      <c r="D46" s="263"/>
      <c r="E46" s="236"/>
      <c r="F46" s="246"/>
      <c r="G46" s="247"/>
    </row>
    <row r="47" spans="1:7" s="214" customFormat="1" ht="13.5" customHeight="1">
      <c r="A47" s="780" t="s">
        <v>347</v>
      </c>
      <c r="B47" s="248" t="s">
        <v>429</v>
      </c>
      <c r="C47" s="238">
        <f>ROUND(C40*F27,4)</f>
        <v>7.4999999999999997E-3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38</v>
      </c>
      <c r="D49" s="232"/>
      <c r="E49" s="232"/>
      <c r="F49" s="264"/>
      <c r="G49" s="234" t="s">
        <v>435</v>
      </c>
    </row>
    <row r="50" spans="1:7" s="258" customFormat="1" ht="24">
      <c r="A50" s="777" t="s">
        <v>344</v>
      </c>
      <c r="B50" s="210" t="s">
        <v>97</v>
      </c>
      <c r="C50" s="232"/>
      <c r="D50" s="232"/>
      <c r="E50" s="232"/>
      <c r="F50" s="264">
        <f>IF('数据-取费表'!B24=0,'数据-取费表'!N16,1)</f>
        <v>0.65</v>
      </c>
      <c r="G50" s="247" t="s">
        <v>98</v>
      </c>
    </row>
    <row r="51" spans="1:7" ht="16.5" customHeight="1">
      <c r="A51" s="777" t="s">
        <v>345</v>
      </c>
      <c r="B51" s="210" t="s">
        <v>105</v>
      </c>
      <c r="C51" s="232">
        <f ca="1">ROUND(C49*F50,0)</f>
        <v>25</v>
      </c>
      <c r="D51" s="232"/>
      <c r="E51" s="232"/>
      <c r="F51" s="264"/>
      <c r="G51" s="234" t="s">
        <v>37</v>
      </c>
    </row>
    <row r="52" spans="1:7" s="208" customFormat="1" ht="16.5" thickBot="1">
      <c r="A52" s="265" t="s">
        <v>38</v>
      </c>
      <c r="B52" s="266"/>
      <c r="C52" s="267">
        <f ca="1">C31+C51</f>
        <v>28240</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20" t="s">
        <v>2841</v>
      </c>
      <c r="B1" s="3820"/>
      <c r="C1" s="3820"/>
      <c r="D1" s="3820"/>
      <c r="E1" s="3820"/>
      <c r="F1" s="3820"/>
      <c r="G1" s="3821"/>
      <c r="I1" s="3223" t="s">
        <v>2842</v>
      </c>
      <c r="J1" s="3224" t="s">
        <v>2843</v>
      </c>
      <c r="K1" s="3224" t="s">
        <v>2844</v>
      </c>
      <c r="L1" s="3224" t="s">
        <v>2845</v>
      </c>
      <c r="M1" s="3224" t="s">
        <v>2846</v>
      </c>
      <c r="N1" s="3224" t="s">
        <v>2847</v>
      </c>
      <c r="O1" s="3224" t="s">
        <v>2848</v>
      </c>
      <c r="P1" s="3224" t="s">
        <v>2849</v>
      </c>
      <c r="Q1" s="3224" t="s">
        <v>2850</v>
      </c>
      <c r="R1" s="3224" t="s">
        <v>2851</v>
      </c>
      <c r="S1" s="3224" t="s">
        <v>2852</v>
      </c>
      <c r="T1" s="3225" t="s">
        <v>2853</v>
      </c>
    </row>
    <row r="2" spans="1:20" ht="12" thickBot="1">
      <c r="A2" s="3227" t="s">
        <v>2854</v>
      </c>
      <c r="B2" s="3227"/>
      <c r="C2" s="3227"/>
      <c r="D2" s="3227"/>
      <c r="E2" s="3227"/>
      <c r="F2" s="3227"/>
      <c r="G2" s="3228" t="s">
        <v>2855</v>
      </c>
      <c r="I2" s="3229" t="s">
        <v>2856</v>
      </c>
      <c r="J2" s="3229" t="s">
        <v>2857</v>
      </c>
      <c r="K2" s="3229" t="s">
        <v>2858</v>
      </c>
      <c r="L2" s="3229" t="s">
        <v>2859</v>
      </c>
      <c r="M2" s="3229" t="s">
        <v>2860</v>
      </c>
      <c r="N2" s="3229" t="s">
        <v>2861</v>
      </c>
      <c r="O2" s="3229" t="s">
        <v>2862</v>
      </c>
      <c r="P2" s="3229" t="s">
        <v>2863</v>
      </c>
      <c r="Q2" s="3229" t="s">
        <v>2864</v>
      </c>
      <c r="R2" s="3229" t="s">
        <v>2865</v>
      </c>
      <c r="S2" s="3229" t="s">
        <v>2866</v>
      </c>
      <c r="T2" s="3229" t="s">
        <v>2867</v>
      </c>
    </row>
    <row r="3" spans="1:20" s="3235" customFormat="1">
      <c r="A3" s="3818" t="s">
        <v>2868</v>
      </c>
      <c r="B3" s="3230"/>
      <c r="C3" s="3231" t="s">
        <v>2813</v>
      </c>
      <c r="D3" s="3231" t="s">
        <v>2869</v>
      </c>
      <c r="E3" s="3231" t="s">
        <v>2815</v>
      </c>
      <c r="F3" s="3231" t="s">
        <v>2870</v>
      </c>
      <c r="G3" s="3231" t="s">
        <v>2633</v>
      </c>
      <c r="H3" s="3232"/>
      <c r="I3" s="3233" t="s">
        <v>2871</v>
      </c>
      <c r="J3" s="3234" t="s">
        <v>128</v>
      </c>
      <c r="K3" s="3234" t="s">
        <v>129</v>
      </c>
      <c r="L3" s="3233" t="s">
        <v>130</v>
      </c>
      <c r="M3" s="3233" t="s">
        <v>131</v>
      </c>
      <c r="N3" s="3233" t="s">
        <v>132</v>
      </c>
      <c r="O3" s="3233" t="s">
        <v>133</v>
      </c>
      <c r="P3" s="3233" t="s">
        <v>134</v>
      </c>
      <c r="Q3" s="3233" t="s">
        <v>135</v>
      </c>
      <c r="R3" s="3233" t="s">
        <v>136</v>
      </c>
      <c r="S3" s="3233" t="s">
        <v>2872</v>
      </c>
      <c r="T3" s="3233" t="s">
        <v>2873</v>
      </c>
    </row>
    <row r="4" spans="1:20" s="3235" customFormat="1" ht="12" thickBot="1">
      <c r="A4" s="3819"/>
      <c r="B4" s="3236" t="s">
        <v>2874</v>
      </c>
      <c r="C4" s="3236" t="s">
        <v>2875</v>
      </c>
      <c r="D4" s="3236" t="s">
        <v>2875</v>
      </c>
      <c r="E4" s="3236" t="s">
        <v>2875</v>
      </c>
      <c r="F4" s="3237" t="s">
        <v>2875</v>
      </c>
      <c r="G4" s="3237" t="s">
        <v>2875</v>
      </c>
      <c r="H4" s="3232"/>
      <c r="I4" s="3234" t="s">
        <v>137</v>
      </c>
      <c r="J4" s="3234" t="s">
        <v>111</v>
      </c>
      <c r="K4" s="3234" t="s">
        <v>138</v>
      </c>
      <c r="L4" s="3233" t="s">
        <v>139</v>
      </c>
      <c r="M4" s="3233" t="s">
        <v>140</v>
      </c>
      <c r="N4" s="3233" t="s">
        <v>141</v>
      </c>
      <c r="O4" s="3233" t="s">
        <v>142</v>
      </c>
      <c r="P4" s="3233" t="s">
        <v>143</v>
      </c>
      <c r="Q4" s="3233" t="s">
        <v>2876</v>
      </c>
      <c r="R4" s="3233" t="s">
        <v>2877</v>
      </c>
      <c r="S4" s="3233" t="s">
        <v>2878</v>
      </c>
      <c r="T4" s="3233" t="s">
        <v>2879</v>
      </c>
    </row>
    <row r="5" spans="1:20">
      <c r="A5" s="3238" t="s">
        <v>2842</v>
      </c>
      <c r="B5" s="3229" t="s">
        <v>2856</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2880</v>
      </c>
      <c r="R5" s="3233" t="s">
        <v>2881</v>
      </c>
      <c r="S5" s="3233" t="s">
        <v>153</v>
      </c>
      <c r="T5" s="3233" t="s">
        <v>2882</v>
      </c>
    </row>
    <row r="6" spans="1:20" ht="12" thickBot="1">
      <c r="A6" s="3233" t="s">
        <v>144</v>
      </c>
      <c r="B6" s="3233" t="s">
        <v>2871</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2883</v>
      </c>
      <c r="Q6" s="3233" t="s">
        <v>2884</v>
      </c>
      <c r="R6" s="3233" t="s">
        <v>161</v>
      </c>
      <c r="S6" s="3233" t="s">
        <v>2885</v>
      </c>
      <c r="T6" s="3233" t="s">
        <v>2886</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2887</v>
      </c>
      <c r="Q7" s="3233" t="s">
        <v>2888</v>
      </c>
      <c r="R7" s="3233" t="s">
        <v>2889</v>
      </c>
      <c r="S7" s="3233" t="s">
        <v>2890</v>
      </c>
      <c r="T7" s="3233" t="s">
        <v>2891</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2892</v>
      </c>
      <c r="Q8" s="3233" t="s">
        <v>174</v>
      </c>
      <c r="R8" s="3233" t="s">
        <v>2893</v>
      </c>
      <c r="S8" s="3233" t="s">
        <v>2894</v>
      </c>
      <c r="T8" s="3240" t="s">
        <v>2895</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2896</v>
      </c>
      <c r="Q9" s="3233" t="s">
        <v>182</v>
      </c>
      <c r="R9" s="3233" t="s">
        <v>183</v>
      </c>
      <c r="S9" s="3233" t="s">
        <v>200</v>
      </c>
    </row>
    <row r="10" spans="1:20">
      <c r="A10" s="3238" t="s">
        <v>184</v>
      </c>
      <c r="B10" s="3229" t="s">
        <v>2857</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2897</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2898</v>
      </c>
      <c r="P11" s="3233" t="s">
        <v>191</v>
      </c>
      <c r="Q11" s="3233" t="s">
        <v>199</v>
      </c>
      <c r="R11" s="3233" t="s">
        <v>2899</v>
      </c>
      <c r="S11" s="3233" t="s">
        <v>2900</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2901</v>
      </c>
      <c r="P12" s="3233" t="s">
        <v>2902</v>
      </c>
      <c r="Q12" s="3233" t="s">
        <v>2903</v>
      </c>
      <c r="R12" s="3233" t="s">
        <v>2904</v>
      </c>
      <c r="S12" s="3233" t="s">
        <v>2905</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2906</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2907</v>
      </c>
      <c r="K14" s="3234" t="s">
        <v>215</v>
      </c>
      <c r="L14" s="3233" t="s">
        <v>216</v>
      </c>
      <c r="M14" s="3233" t="s">
        <v>217</v>
      </c>
      <c r="N14" s="3233" t="s">
        <v>218</v>
      </c>
      <c r="O14" s="3233" t="s">
        <v>240</v>
      </c>
      <c r="P14" s="3233" t="s">
        <v>213</v>
      </c>
      <c r="Q14" s="3233" t="s">
        <v>2908</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2909</v>
      </c>
      <c r="P15" s="3233" t="s">
        <v>2910</v>
      </c>
      <c r="Q15" s="3233" t="s">
        <v>242</v>
      </c>
      <c r="R15" s="3233" t="s">
        <v>2911</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2912</v>
      </c>
      <c r="P16" s="3233" t="s">
        <v>227</v>
      </c>
      <c r="Q16" s="3233" t="s">
        <v>250</v>
      </c>
      <c r="R16" s="3233" t="s">
        <v>207</v>
      </c>
      <c r="S16" s="3233" t="s">
        <v>2913</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2914</v>
      </c>
      <c r="P17" s="3233" t="s">
        <v>2915</v>
      </c>
      <c r="Q17" s="3233" t="s">
        <v>256</v>
      </c>
      <c r="R17" s="3233" t="s">
        <v>2916</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2917</v>
      </c>
      <c r="P18" s="3233" t="s">
        <v>241</v>
      </c>
      <c r="Q18" s="3233" t="s">
        <v>2918</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2919</v>
      </c>
      <c r="P19" s="3233" t="s">
        <v>249</v>
      </c>
      <c r="Q19" s="3233" t="s">
        <v>2920</v>
      </c>
      <c r="R19" s="3233" t="s">
        <v>265</v>
      </c>
      <c r="S19" s="3233" t="s">
        <v>2921</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2922</v>
      </c>
      <c r="P20" s="3233" t="s">
        <v>2923</v>
      </c>
      <c r="Q20" s="3233" t="s">
        <v>290</v>
      </c>
      <c r="R20" s="3233" t="s">
        <v>2924</v>
      </c>
      <c r="S20" s="3233" t="s">
        <v>277</v>
      </c>
    </row>
    <row r="21" spans="1:19" ht="14.25" customHeight="1" thickBot="1">
      <c r="A21" s="3233" t="s">
        <v>184</v>
      </c>
      <c r="B21" s="3234" t="s">
        <v>208</v>
      </c>
      <c r="C21" s="3233">
        <v>32370</v>
      </c>
      <c r="D21" s="3233">
        <v>26730</v>
      </c>
      <c r="E21" s="3233">
        <v>26640</v>
      </c>
      <c r="F21" s="3233"/>
      <c r="G21" s="3233">
        <v>19440</v>
      </c>
      <c r="J21" s="3240" t="s">
        <v>2925</v>
      </c>
      <c r="K21" s="3234" t="s">
        <v>267</v>
      </c>
      <c r="L21" s="3233" t="s">
        <v>268</v>
      </c>
      <c r="M21" s="3233" t="s">
        <v>269</v>
      </c>
      <c r="N21" s="3233" t="s">
        <v>270</v>
      </c>
      <c r="O21" s="3233" t="s">
        <v>264</v>
      </c>
      <c r="P21" s="3233" t="s">
        <v>283</v>
      </c>
      <c r="Q21" s="3233" t="s">
        <v>293</v>
      </c>
      <c r="R21" s="3233" t="s">
        <v>2926</v>
      </c>
      <c r="S21" s="3240" t="s">
        <v>2927</v>
      </c>
    </row>
    <row r="22" spans="1:19" ht="14.25" customHeight="1">
      <c r="A22" s="3233" t="s">
        <v>184</v>
      </c>
      <c r="B22" s="3234" t="s">
        <v>2907</v>
      </c>
      <c r="C22" s="3233">
        <v>29830</v>
      </c>
      <c r="D22" s="3233">
        <v>27600</v>
      </c>
      <c r="E22" s="3233">
        <v>28150</v>
      </c>
      <c r="F22" s="3233"/>
      <c r="G22" s="3233">
        <v>20080</v>
      </c>
      <c r="K22" s="3234" t="s">
        <v>2928</v>
      </c>
      <c r="L22" s="3233" t="s">
        <v>272</v>
      </c>
      <c r="M22" s="3233" t="s">
        <v>273</v>
      </c>
      <c r="N22" s="3233" t="s">
        <v>274</v>
      </c>
      <c r="O22" s="3233" t="s">
        <v>2929</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2930</v>
      </c>
      <c r="L23" s="3233" t="s">
        <v>278</v>
      </c>
      <c r="M23" s="3233" t="s">
        <v>279</v>
      </c>
      <c r="N23" s="3233" t="s">
        <v>2931</v>
      </c>
      <c r="O23" s="3233" t="s">
        <v>2932</v>
      </c>
      <c r="P23" s="3233" t="s">
        <v>289</v>
      </c>
      <c r="Q23" s="3233" t="s">
        <v>298</v>
      </c>
      <c r="R23" s="3233" t="s">
        <v>2933</v>
      </c>
    </row>
    <row r="24" spans="1:19" ht="14.25" customHeight="1">
      <c r="A24" s="3233" t="s">
        <v>184</v>
      </c>
      <c r="B24" s="3234" t="s">
        <v>230</v>
      </c>
      <c r="C24" s="3233">
        <v>27930</v>
      </c>
      <c r="D24" s="3233">
        <v>32260</v>
      </c>
      <c r="E24" s="3233">
        <v>32120</v>
      </c>
      <c r="F24" s="3233"/>
      <c r="G24" s="3233">
        <v>23470</v>
      </c>
      <c r="K24" s="3234" t="s">
        <v>2934</v>
      </c>
      <c r="L24" s="3233" t="s">
        <v>281</v>
      </c>
      <c r="M24" s="3233" t="s">
        <v>282</v>
      </c>
      <c r="N24" s="3233" t="s">
        <v>2935</v>
      </c>
      <c r="O24" s="3233" t="s">
        <v>285</v>
      </c>
      <c r="P24" s="3233" t="s">
        <v>2936</v>
      </c>
      <c r="Q24" s="3242" t="s">
        <v>2937</v>
      </c>
      <c r="R24" s="3233" t="s">
        <v>2938</v>
      </c>
    </row>
    <row r="25" spans="1:19" ht="14.25" customHeight="1">
      <c r="A25" s="3233" t="s">
        <v>184</v>
      </c>
      <c r="B25" s="3234" t="s">
        <v>235</v>
      </c>
      <c r="C25" s="3233">
        <v>32230</v>
      </c>
      <c r="D25" s="3233">
        <v>29640</v>
      </c>
      <c r="E25" s="3233">
        <v>29510</v>
      </c>
      <c r="F25" s="3233"/>
      <c r="G25" s="3233">
        <v>21560</v>
      </c>
      <c r="K25" s="3234" t="s">
        <v>2939</v>
      </c>
      <c r="L25" s="3233" t="s">
        <v>2940</v>
      </c>
      <c r="M25" s="3233" t="s">
        <v>284</v>
      </c>
      <c r="N25" s="3233" t="s">
        <v>292</v>
      </c>
      <c r="O25" s="3233" t="s">
        <v>288</v>
      </c>
      <c r="P25" s="3233" t="s">
        <v>275</v>
      </c>
      <c r="Q25" s="3242" t="s">
        <v>271</v>
      </c>
      <c r="R25" s="3233" t="s">
        <v>2941</v>
      </c>
    </row>
    <row r="26" spans="1:19" ht="14.25" customHeight="1" thickBot="1">
      <c r="A26" s="3233" t="s">
        <v>184</v>
      </c>
      <c r="B26" s="3234" t="s">
        <v>244</v>
      </c>
      <c r="C26" s="3233">
        <v>31690</v>
      </c>
      <c r="D26" s="3233">
        <v>27650</v>
      </c>
      <c r="E26" s="3233">
        <v>28200</v>
      </c>
      <c r="F26" s="3233"/>
      <c r="G26" s="3233">
        <v>20110</v>
      </c>
      <c r="K26" s="3239" t="s">
        <v>2942</v>
      </c>
      <c r="L26" s="3233" t="s">
        <v>2943</v>
      </c>
      <c r="M26" s="3233" t="s">
        <v>287</v>
      </c>
      <c r="N26" s="3233" t="s">
        <v>294</v>
      </c>
      <c r="O26" s="3233" t="s">
        <v>2944</v>
      </c>
      <c r="P26" s="3233" t="s">
        <v>2945</v>
      </c>
      <c r="Q26" s="3242" t="s">
        <v>276</v>
      </c>
      <c r="R26" s="3233" t="s">
        <v>2946</v>
      </c>
    </row>
    <row r="27" spans="1:19" ht="14.25" customHeight="1">
      <c r="A27" s="3233" t="s">
        <v>184</v>
      </c>
      <c r="B27" s="3234" t="s">
        <v>251</v>
      </c>
      <c r="C27" s="3233">
        <v>29610</v>
      </c>
      <c r="D27" s="3233">
        <v>27770</v>
      </c>
      <c r="E27" s="3233">
        <v>28300</v>
      </c>
      <c r="F27" s="3233"/>
      <c r="G27" s="3233">
        <v>20210</v>
      </c>
      <c r="L27" s="3233" t="s">
        <v>2947</v>
      </c>
      <c r="M27" s="3233" t="s">
        <v>291</v>
      </c>
      <c r="N27" s="3233" t="s">
        <v>297</v>
      </c>
      <c r="O27" s="3233" t="s">
        <v>2948</v>
      </c>
      <c r="P27" s="3233" t="s">
        <v>2949</v>
      </c>
      <c r="Q27" s="3233" t="s">
        <v>2950</v>
      </c>
      <c r="R27" s="3233" t="s">
        <v>2951</v>
      </c>
    </row>
    <row r="28" spans="1:19" ht="14.25" customHeight="1">
      <c r="A28" s="3233" t="s">
        <v>184</v>
      </c>
      <c r="B28" s="3234" t="s">
        <v>259</v>
      </c>
      <c r="C28" s="3233"/>
      <c r="D28" s="3233">
        <v>31520</v>
      </c>
      <c r="E28" s="3233">
        <v>31410</v>
      </c>
      <c r="F28" s="3233"/>
      <c r="G28" s="3233">
        <v>22940</v>
      </c>
      <c r="L28" s="3233" t="s">
        <v>2952</v>
      </c>
      <c r="M28" s="3233" t="s">
        <v>2953</v>
      </c>
      <c r="N28" s="3233" t="s">
        <v>2954</v>
      </c>
      <c r="O28" s="3233" t="s">
        <v>2955</v>
      </c>
      <c r="P28" s="3233" t="s">
        <v>2956</v>
      </c>
      <c r="Q28" s="3233" t="s">
        <v>2957</v>
      </c>
      <c r="R28" s="3233" t="s">
        <v>2958</v>
      </c>
    </row>
    <row r="29" spans="1:19" ht="14.25" customHeight="1" thickBot="1">
      <c r="A29" s="3241" t="s">
        <v>184</v>
      </c>
      <c r="B29" s="3243" t="s">
        <v>2925</v>
      </c>
      <c r="C29" s="3244"/>
      <c r="D29" s="3244">
        <v>29460</v>
      </c>
      <c r="E29" s="3244">
        <v>28640</v>
      </c>
      <c r="F29" s="3244"/>
      <c r="G29" s="3244">
        <v>21430</v>
      </c>
      <c r="L29" s="3233" t="s">
        <v>2959</v>
      </c>
      <c r="M29" s="3233" t="s">
        <v>2960</v>
      </c>
      <c r="N29" s="3233" t="s">
        <v>2961</v>
      </c>
      <c r="O29" s="3233" t="s">
        <v>2962</v>
      </c>
      <c r="P29" s="3233" t="s">
        <v>2963</v>
      </c>
      <c r="Q29" s="3233" t="s">
        <v>2964</v>
      </c>
      <c r="R29" s="3233" t="s">
        <v>280</v>
      </c>
    </row>
    <row r="30" spans="1:19" ht="14.25" customHeight="1">
      <c r="A30" s="3238" t="s">
        <v>296</v>
      </c>
      <c r="B30" s="3229" t="s">
        <v>2858</v>
      </c>
      <c r="C30" s="3229">
        <v>26890</v>
      </c>
      <c r="D30" s="3229">
        <v>26770</v>
      </c>
      <c r="E30" s="3229">
        <v>25700</v>
      </c>
      <c r="F30" s="3229">
        <v>8180</v>
      </c>
      <c r="G30" s="3245">
        <v>18740</v>
      </c>
      <c r="L30" s="3233" t="s">
        <v>2965</v>
      </c>
      <c r="M30" s="3233" t="s">
        <v>2966</v>
      </c>
      <c r="N30" s="3233" t="s">
        <v>2967</v>
      </c>
      <c r="O30" s="3233" t="s">
        <v>2968</v>
      </c>
      <c r="P30" s="3233" t="s">
        <v>2969</v>
      </c>
      <c r="Q30" s="3233" t="s">
        <v>2970</v>
      </c>
      <c r="R30" s="3233" t="s">
        <v>2971</v>
      </c>
    </row>
    <row r="31" spans="1:19" ht="14.25" customHeight="1">
      <c r="A31" s="3233" t="s">
        <v>296</v>
      </c>
      <c r="B31" s="3234" t="s">
        <v>129</v>
      </c>
      <c r="C31" s="3233">
        <v>24550</v>
      </c>
      <c r="D31" s="3233">
        <v>23990</v>
      </c>
      <c r="E31" s="3233">
        <v>22930</v>
      </c>
      <c r="F31" s="3233">
        <v>7470</v>
      </c>
      <c r="G31" s="3246">
        <v>16790</v>
      </c>
      <c r="L31" s="3233" t="s">
        <v>2972</v>
      </c>
      <c r="M31" s="3233" t="s">
        <v>2973</v>
      </c>
      <c r="N31" s="3233" t="s">
        <v>2974</v>
      </c>
      <c r="O31" s="3233" t="s">
        <v>2975</v>
      </c>
      <c r="P31" s="3233" t="s">
        <v>2976</v>
      </c>
      <c r="Q31" s="3233" t="s">
        <v>2977</v>
      </c>
      <c r="R31" s="3233" t="s">
        <v>2978</v>
      </c>
    </row>
    <row r="32" spans="1:19" ht="14.25" customHeight="1" thickBot="1">
      <c r="A32" s="3233" t="s">
        <v>296</v>
      </c>
      <c r="B32" s="3234" t="s">
        <v>138</v>
      </c>
      <c r="C32" s="3233">
        <v>27210</v>
      </c>
      <c r="D32" s="3233">
        <v>23240</v>
      </c>
      <c r="E32" s="3233">
        <v>23260</v>
      </c>
      <c r="F32" s="3233">
        <v>7130</v>
      </c>
      <c r="G32" s="3246">
        <v>16270</v>
      </c>
      <c r="L32" s="3233" t="s">
        <v>2979</v>
      </c>
      <c r="M32" s="3233" t="s">
        <v>2980</v>
      </c>
      <c r="N32" s="3233" t="s">
        <v>300</v>
      </c>
      <c r="O32" s="3233" t="s">
        <v>2981</v>
      </c>
      <c r="P32" s="3233" t="s">
        <v>299</v>
      </c>
      <c r="Q32" s="3233" t="s">
        <v>2982</v>
      </c>
      <c r="R32" s="3240" t="s">
        <v>2983</v>
      </c>
    </row>
    <row r="33" spans="1:17" ht="14.25" customHeight="1" thickBot="1">
      <c r="A33" s="3233" t="s">
        <v>296</v>
      </c>
      <c r="B33" s="3234" t="s">
        <v>147</v>
      </c>
      <c r="C33" s="3233">
        <v>27300</v>
      </c>
      <c r="D33" s="3233">
        <v>22980</v>
      </c>
      <c r="E33" s="3233">
        <v>24260</v>
      </c>
      <c r="F33" s="3233">
        <v>5860</v>
      </c>
      <c r="G33" s="3246">
        <v>16090</v>
      </c>
      <c r="L33" s="3240" t="s">
        <v>2984</v>
      </c>
      <c r="M33" s="3233" t="s">
        <v>2985</v>
      </c>
      <c r="N33" s="3233" t="s">
        <v>301</v>
      </c>
      <c r="O33" s="3233" t="s">
        <v>2986</v>
      </c>
      <c r="P33" s="3233" t="s">
        <v>2987</v>
      </c>
      <c r="Q33" s="3233" t="s">
        <v>2988</v>
      </c>
    </row>
    <row r="34" spans="1:17" ht="14.25" customHeight="1">
      <c r="A34" s="3233" t="s">
        <v>296</v>
      </c>
      <c r="B34" s="3234" t="s">
        <v>156</v>
      </c>
      <c r="C34" s="3233">
        <v>23090</v>
      </c>
      <c r="D34" s="3233">
        <v>23390</v>
      </c>
      <c r="E34" s="3233">
        <v>23510</v>
      </c>
      <c r="F34" s="3233">
        <v>6700</v>
      </c>
      <c r="G34" s="3246">
        <v>16370</v>
      </c>
      <c r="M34" s="3233" t="s">
        <v>2989</v>
      </c>
      <c r="N34" s="3233" t="s">
        <v>302</v>
      </c>
      <c r="O34" s="3233" t="s">
        <v>2990</v>
      </c>
      <c r="P34" s="3233" t="s">
        <v>2991</v>
      </c>
      <c r="Q34" s="3233" t="s">
        <v>2992</v>
      </c>
    </row>
    <row r="35" spans="1:17" ht="14.25" customHeight="1">
      <c r="A35" s="3233" t="s">
        <v>296</v>
      </c>
      <c r="B35" s="3234" t="s">
        <v>163</v>
      </c>
      <c r="C35" s="3233">
        <v>27270</v>
      </c>
      <c r="D35" s="3233">
        <v>24270</v>
      </c>
      <c r="E35" s="3233">
        <v>24950</v>
      </c>
      <c r="F35" s="3233">
        <v>6600</v>
      </c>
      <c r="G35" s="3246">
        <v>16990</v>
      </c>
      <c r="M35" s="3233" t="s">
        <v>2993</v>
      </c>
      <c r="N35" s="3233" t="s">
        <v>2994</v>
      </c>
      <c r="O35" s="3233" t="s">
        <v>2995</v>
      </c>
      <c r="P35" s="3233" t="s">
        <v>2996</v>
      </c>
      <c r="Q35" s="3233" t="s">
        <v>2997</v>
      </c>
    </row>
    <row r="36" spans="1:17" ht="14.25" customHeight="1">
      <c r="A36" s="3233" t="s">
        <v>296</v>
      </c>
      <c r="B36" s="3234" t="s">
        <v>169</v>
      </c>
      <c r="C36" s="3233">
        <v>23490</v>
      </c>
      <c r="D36" s="3233">
        <v>23020</v>
      </c>
      <c r="E36" s="3233">
        <v>25230</v>
      </c>
      <c r="F36" s="3233">
        <v>6780</v>
      </c>
      <c r="G36" s="3246">
        <v>16120</v>
      </c>
      <c r="M36" s="3233" t="s">
        <v>2998</v>
      </c>
      <c r="N36" s="3233" t="s">
        <v>2999</v>
      </c>
      <c r="O36" s="3233" t="s">
        <v>3000</v>
      </c>
      <c r="P36" s="3233" t="s">
        <v>3001</v>
      </c>
      <c r="Q36" s="3233" t="s">
        <v>3002</v>
      </c>
    </row>
    <row r="37" spans="1:17" ht="14.25" customHeight="1">
      <c r="A37" s="3233" t="s">
        <v>296</v>
      </c>
      <c r="B37" s="3234" t="s">
        <v>176</v>
      </c>
      <c r="C37" s="3233">
        <v>24380</v>
      </c>
      <c r="D37" s="3233">
        <v>22240</v>
      </c>
      <c r="E37" s="3233">
        <v>25980</v>
      </c>
      <c r="F37" s="3233">
        <v>8160</v>
      </c>
      <c r="G37" s="3246">
        <v>15570</v>
      </c>
      <c r="M37" s="3233" t="s">
        <v>3003</v>
      </c>
      <c r="N37" s="3233" t="s">
        <v>3004</v>
      </c>
      <c r="O37" s="3233" t="s">
        <v>3005</v>
      </c>
      <c r="P37" s="3233" t="s">
        <v>3006</v>
      </c>
      <c r="Q37" s="3233" t="s">
        <v>3007</v>
      </c>
    </row>
    <row r="38" spans="1:17" ht="14.25" customHeight="1">
      <c r="A38" s="3233" t="s">
        <v>296</v>
      </c>
      <c r="B38" s="3234" t="s">
        <v>186</v>
      </c>
      <c r="C38" s="3233">
        <v>23120</v>
      </c>
      <c r="D38" s="3233">
        <v>24630</v>
      </c>
      <c r="E38" s="3233">
        <v>25030</v>
      </c>
      <c r="F38" s="3233">
        <v>7710</v>
      </c>
      <c r="G38" s="3246">
        <v>17240</v>
      </c>
      <c r="M38" s="3233" t="s">
        <v>3008</v>
      </c>
      <c r="N38" s="3233" t="s">
        <v>3009</v>
      </c>
      <c r="O38" s="3233" t="s">
        <v>3010</v>
      </c>
      <c r="P38" s="3233" t="s">
        <v>3011</v>
      </c>
      <c r="Q38" s="3233" t="s">
        <v>3012</v>
      </c>
    </row>
    <row r="39" spans="1:17" ht="14.25" customHeight="1">
      <c r="A39" s="3233" t="s">
        <v>296</v>
      </c>
      <c r="B39" s="3234" t="s">
        <v>195</v>
      </c>
      <c r="C39" s="3233">
        <v>22330</v>
      </c>
      <c r="D39" s="3233">
        <v>21140</v>
      </c>
      <c r="E39" s="3233">
        <v>23970</v>
      </c>
      <c r="F39" s="3233">
        <v>7940</v>
      </c>
      <c r="G39" s="3246">
        <v>14790</v>
      </c>
      <c r="M39" s="3233" t="s">
        <v>3013</v>
      </c>
      <c r="N39" s="3233" t="s">
        <v>3014</v>
      </c>
      <c r="O39" s="3233" t="s">
        <v>3015</v>
      </c>
      <c r="P39" s="3233" t="s">
        <v>3016</v>
      </c>
      <c r="Q39" s="3233" t="s">
        <v>3017</v>
      </c>
    </row>
    <row r="40" spans="1:17" ht="14.25" customHeight="1">
      <c r="A40" s="3233" t="s">
        <v>296</v>
      </c>
      <c r="B40" s="3234" t="s">
        <v>202</v>
      </c>
      <c r="C40" s="3233">
        <v>24740</v>
      </c>
      <c r="D40" s="3233">
        <v>24690</v>
      </c>
      <c r="E40" s="3233">
        <v>22610</v>
      </c>
      <c r="F40" s="3233"/>
      <c r="G40" s="3246">
        <v>17280</v>
      </c>
      <c r="M40" s="3233" t="s">
        <v>3018</v>
      </c>
      <c r="N40" s="3233" t="s">
        <v>3019</v>
      </c>
      <c r="O40" s="3233" t="s">
        <v>3020</v>
      </c>
      <c r="P40" s="3233" t="s">
        <v>3021</v>
      </c>
      <c r="Q40" s="3233" t="s">
        <v>3022</v>
      </c>
    </row>
    <row r="41" spans="1:17" ht="14.25" customHeight="1" thickBot="1">
      <c r="A41" s="3233" t="s">
        <v>296</v>
      </c>
      <c r="B41" s="3234" t="s">
        <v>209</v>
      </c>
      <c r="C41" s="3233">
        <v>21220</v>
      </c>
      <c r="D41" s="3233">
        <v>21120</v>
      </c>
      <c r="E41" s="3233">
        <v>22590</v>
      </c>
      <c r="F41" s="3233"/>
      <c r="G41" s="3246">
        <v>14780</v>
      </c>
      <c r="M41" s="3240" t="s">
        <v>3023</v>
      </c>
      <c r="N41" s="3233" t="s">
        <v>3024</v>
      </c>
      <c r="O41" s="3233" t="s">
        <v>3025</v>
      </c>
      <c r="P41" s="3233" t="s">
        <v>3026</v>
      </c>
      <c r="Q41" s="3233" t="s">
        <v>3027</v>
      </c>
    </row>
    <row r="42" spans="1:17" ht="14.25" customHeight="1">
      <c r="A42" s="3233" t="s">
        <v>296</v>
      </c>
      <c r="B42" s="3234" t="s">
        <v>215</v>
      </c>
      <c r="C42" s="3233">
        <v>24800</v>
      </c>
      <c r="D42" s="3233">
        <v>22280</v>
      </c>
      <c r="E42" s="3233">
        <v>24350</v>
      </c>
      <c r="F42" s="3233"/>
      <c r="G42" s="3246">
        <v>15590</v>
      </c>
      <c r="N42" s="3233" t="s">
        <v>3028</v>
      </c>
      <c r="O42" s="3233" t="s">
        <v>3029</v>
      </c>
      <c r="P42" s="3233" t="s">
        <v>3030</v>
      </c>
      <c r="Q42" s="3233" t="s">
        <v>3031</v>
      </c>
    </row>
    <row r="43" spans="1:17" ht="14.25" customHeight="1">
      <c r="A43" s="3233" t="s">
        <v>3032</v>
      </c>
      <c r="B43" s="3234" t="s">
        <v>223</v>
      </c>
      <c r="C43" s="3233">
        <v>21210</v>
      </c>
      <c r="D43" s="3233">
        <v>21160</v>
      </c>
      <c r="E43" s="3233">
        <v>22650</v>
      </c>
      <c r="F43" s="3233"/>
      <c r="G43" s="3246">
        <v>14800</v>
      </c>
      <c r="N43" s="3233" t="s">
        <v>3033</v>
      </c>
      <c r="O43" s="3233" t="s">
        <v>3034</v>
      </c>
      <c r="P43" s="3233" t="s">
        <v>3035</v>
      </c>
      <c r="Q43" s="3233" t="s">
        <v>3036</v>
      </c>
    </row>
    <row r="44" spans="1:17" ht="14.25" customHeight="1" thickBot="1">
      <c r="A44" s="3233" t="s">
        <v>296</v>
      </c>
      <c r="B44" s="3234" t="s">
        <v>231</v>
      </c>
      <c r="C44" s="3233">
        <v>22370</v>
      </c>
      <c r="D44" s="3233">
        <v>23140</v>
      </c>
      <c r="E44" s="3233">
        <v>25090</v>
      </c>
      <c r="F44" s="3233"/>
      <c r="G44" s="3246">
        <v>16190</v>
      </c>
      <c r="N44" s="3233" t="s">
        <v>3037</v>
      </c>
      <c r="O44" s="3233" t="s">
        <v>3038</v>
      </c>
      <c r="P44" s="3240" t="s">
        <v>3039</v>
      </c>
      <c r="Q44" s="3233" t="s">
        <v>3040</v>
      </c>
    </row>
    <row r="45" spans="1:17" ht="14.25" customHeight="1" thickBot="1">
      <c r="A45" s="3233" t="s">
        <v>296</v>
      </c>
      <c r="B45" s="3234" t="s">
        <v>236</v>
      </c>
      <c r="C45" s="3233">
        <v>21240</v>
      </c>
      <c r="D45" s="3233">
        <v>27050</v>
      </c>
      <c r="E45" s="3233">
        <v>28000</v>
      </c>
      <c r="F45" s="3233"/>
      <c r="G45" s="3246">
        <v>18940</v>
      </c>
      <c r="N45" s="3233" t="s">
        <v>3041</v>
      </c>
      <c r="O45" s="3240" t="s">
        <v>3042</v>
      </c>
      <c r="Q45" s="3233" t="s">
        <v>3043</v>
      </c>
    </row>
    <row r="46" spans="1:17" ht="14.25" customHeight="1">
      <c r="A46" s="3233" t="s">
        <v>296</v>
      </c>
      <c r="B46" s="3234" t="s">
        <v>245</v>
      </c>
      <c r="C46" s="3233">
        <v>23240</v>
      </c>
      <c r="D46" s="3233">
        <v>23000</v>
      </c>
      <c r="E46" s="3233">
        <v>24980</v>
      </c>
      <c r="F46" s="3233"/>
      <c r="G46" s="3246">
        <v>16100</v>
      </c>
      <c r="N46" s="3233" t="s">
        <v>3044</v>
      </c>
      <c r="Q46" s="3233" t="s">
        <v>3045</v>
      </c>
    </row>
    <row r="47" spans="1:17" ht="14.25" customHeight="1">
      <c r="A47" s="3233" t="s">
        <v>296</v>
      </c>
      <c r="B47" s="3234" t="s">
        <v>252</v>
      </c>
      <c r="C47" s="3233">
        <v>27150</v>
      </c>
      <c r="D47" s="3233">
        <v>23310</v>
      </c>
      <c r="E47" s="3233">
        <v>25150</v>
      </c>
      <c r="F47" s="3233"/>
      <c r="G47" s="3246">
        <v>16310</v>
      </c>
      <c r="N47" s="3233" t="s">
        <v>3046</v>
      </c>
      <c r="Q47" s="3233" t="s">
        <v>3047</v>
      </c>
    </row>
    <row r="48" spans="1:17" ht="14.25" customHeight="1">
      <c r="A48" s="3233" t="s">
        <v>296</v>
      </c>
      <c r="B48" s="3234" t="s">
        <v>260</v>
      </c>
      <c r="C48" s="3233">
        <v>23100</v>
      </c>
      <c r="D48" s="3233">
        <v>21110</v>
      </c>
      <c r="E48" s="3233">
        <v>23080</v>
      </c>
      <c r="F48" s="3233"/>
      <c r="G48" s="3246">
        <v>14780</v>
      </c>
      <c r="N48" s="3233" t="s">
        <v>3048</v>
      </c>
      <c r="Q48" s="3233" t="s">
        <v>3049</v>
      </c>
    </row>
    <row r="49" spans="1:17" ht="14.25" customHeight="1">
      <c r="A49" s="3233" t="s">
        <v>296</v>
      </c>
      <c r="B49" s="3234" t="s">
        <v>267</v>
      </c>
      <c r="C49" s="3233">
        <v>23400</v>
      </c>
      <c r="D49" s="3233">
        <v>22920</v>
      </c>
      <c r="E49" s="3233">
        <v>24900</v>
      </c>
      <c r="F49" s="3233"/>
      <c r="G49" s="3246">
        <v>16040</v>
      </c>
      <c r="N49" s="3233" t="s">
        <v>3050</v>
      </c>
      <c r="Q49" s="3233" t="s">
        <v>3051</v>
      </c>
    </row>
    <row r="50" spans="1:17" ht="14.25" customHeight="1">
      <c r="A50" s="3233" t="s">
        <v>296</v>
      </c>
      <c r="B50" s="3234" t="s">
        <v>2928</v>
      </c>
      <c r="C50" s="3233">
        <v>21200</v>
      </c>
      <c r="D50" s="3233">
        <v>26540</v>
      </c>
      <c r="E50" s="3233">
        <v>23200</v>
      </c>
      <c r="F50" s="3233"/>
      <c r="G50" s="3246">
        <v>18580</v>
      </c>
      <c r="N50" s="3233" t="s">
        <v>3052</v>
      </c>
      <c r="Q50" s="3234" t="s">
        <v>3053</v>
      </c>
    </row>
    <row r="51" spans="1:17" ht="14.25" customHeight="1" thickBot="1">
      <c r="A51" s="3233" t="s">
        <v>296</v>
      </c>
      <c r="B51" s="3234" t="s">
        <v>2930</v>
      </c>
      <c r="C51" s="3233">
        <v>23000</v>
      </c>
      <c r="D51" s="3233">
        <v>23460</v>
      </c>
      <c r="E51" s="3233">
        <v>25290</v>
      </c>
      <c r="F51" s="3233"/>
      <c r="G51" s="3246">
        <v>16420</v>
      </c>
      <c r="N51" s="3233" t="s">
        <v>3054</v>
      </c>
      <c r="Q51" s="3240" t="s">
        <v>3055</v>
      </c>
    </row>
    <row r="52" spans="1:17" ht="14.25" customHeight="1">
      <c r="A52" s="3233" t="s">
        <v>296</v>
      </c>
      <c r="B52" s="3234" t="s">
        <v>2934</v>
      </c>
      <c r="C52" s="3233">
        <v>26660</v>
      </c>
      <c r="D52" s="3233">
        <v>22350</v>
      </c>
      <c r="E52" s="3233">
        <v>22920</v>
      </c>
      <c r="F52" s="3233"/>
      <c r="G52" s="3246">
        <v>15640</v>
      </c>
      <c r="N52" s="3233" t="s">
        <v>3056</v>
      </c>
    </row>
    <row r="53" spans="1:17" ht="14.25" customHeight="1">
      <c r="A53" s="3233" t="s">
        <v>296</v>
      </c>
      <c r="B53" s="3234" t="s">
        <v>2939</v>
      </c>
      <c r="C53" s="3233">
        <v>23580</v>
      </c>
      <c r="D53" s="3233"/>
      <c r="E53" s="3233">
        <v>24280</v>
      </c>
      <c r="F53" s="3233"/>
      <c r="G53" s="3246"/>
      <c r="N53" s="3233" t="s">
        <v>3057</v>
      </c>
    </row>
    <row r="54" spans="1:17" ht="14.25" customHeight="1" thickBot="1">
      <c r="A54" s="3247" t="s">
        <v>296</v>
      </c>
      <c r="B54" s="3239" t="s">
        <v>2942</v>
      </c>
      <c r="C54" s="3240">
        <v>22460</v>
      </c>
      <c r="D54" s="3240"/>
      <c r="E54" s="3240"/>
      <c r="F54" s="3240"/>
      <c r="G54" s="3248"/>
      <c r="N54" s="3233" t="s">
        <v>3058</v>
      </c>
    </row>
    <row r="55" spans="1:17" ht="14.25" customHeight="1">
      <c r="A55" s="3238" t="s">
        <v>110</v>
      </c>
      <c r="B55" s="3229" t="s">
        <v>3059</v>
      </c>
      <c r="C55" s="3233">
        <v>21970</v>
      </c>
      <c r="D55" s="3233">
        <v>20370</v>
      </c>
      <c r="E55" s="3233">
        <v>20180</v>
      </c>
      <c r="F55" s="3233">
        <v>5730</v>
      </c>
      <c r="G55" s="3233">
        <v>13820</v>
      </c>
      <c r="N55" s="3233" t="s">
        <v>3060</v>
      </c>
    </row>
    <row r="56" spans="1:17" ht="14.25" customHeight="1">
      <c r="A56" s="3233" t="s">
        <v>110</v>
      </c>
      <c r="B56" s="3233" t="s">
        <v>130</v>
      </c>
      <c r="C56" s="3233">
        <v>20470</v>
      </c>
      <c r="D56" s="3233">
        <v>20700</v>
      </c>
      <c r="E56" s="3233">
        <v>20380</v>
      </c>
      <c r="F56" s="3233">
        <v>4760</v>
      </c>
      <c r="G56" s="3233">
        <v>14050</v>
      </c>
      <c r="N56" s="3233" t="s">
        <v>3061</v>
      </c>
    </row>
    <row r="57" spans="1:17" ht="14.25" customHeight="1">
      <c r="A57" s="3233" t="s">
        <v>110</v>
      </c>
      <c r="B57" s="3233" t="s">
        <v>139</v>
      </c>
      <c r="C57" s="3233">
        <v>20790</v>
      </c>
      <c r="D57" s="3233">
        <v>21370</v>
      </c>
      <c r="E57" s="3233">
        <v>20890</v>
      </c>
      <c r="F57" s="3233">
        <v>4910</v>
      </c>
      <c r="G57" s="3233">
        <v>14510</v>
      </c>
      <c r="N57" s="3233" t="s">
        <v>3062</v>
      </c>
    </row>
    <row r="58" spans="1:17" ht="14.25" customHeight="1">
      <c r="A58" s="3233" t="s">
        <v>110</v>
      </c>
      <c r="B58" s="3233" t="s">
        <v>148</v>
      </c>
      <c r="C58" s="3233">
        <v>21460</v>
      </c>
      <c r="D58" s="3233">
        <v>20920</v>
      </c>
      <c r="E58" s="3233">
        <v>23410</v>
      </c>
      <c r="F58" s="3233">
        <v>5100</v>
      </c>
      <c r="G58" s="3233">
        <v>14200</v>
      </c>
      <c r="N58" s="3233" t="s">
        <v>3063</v>
      </c>
    </row>
    <row r="59" spans="1:17" ht="14.25" customHeight="1">
      <c r="A59" s="3233" t="s">
        <v>110</v>
      </c>
      <c r="B59" s="3233" t="s">
        <v>157</v>
      </c>
      <c r="C59" s="3233">
        <v>21000</v>
      </c>
      <c r="D59" s="3233">
        <v>21550</v>
      </c>
      <c r="E59" s="3233">
        <v>21150</v>
      </c>
      <c r="F59" s="3233">
        <v>5250</v>
      </c>
      <c r="G59" s="3233">
        <v>14630</v>
      </c>
      <c r="N59" s="3233" t="s">
        <v>3064</v>
      </c>
    </row>
    <row r="60" spans="1:17" ht="14.25" customHeight="1">
      <c r="A60" s="3233" t="s">
        <v>110</v>
      </c>
      <c r="B60" s="3233" t="s">
        <v>164</v>
      </c>
      <c r="C60" s="3233">
        <v>21640</v>
      </c>
      <c r="D60" s="3233">
        <v>21260</v>
      </c>
      <c r="E60" s="3233">
        <v>24040</v>
      </c>
      <c r="F60" s="3233">
        <v>4470</v>
      </c>
      <c r="G60" s="3233">
        <v>14430</v>
      </c>
      <c r="N60" s="3233" t="s">
        <v>3065</v>
      </c>
    </row>
    <row r="61" spans="1:17" ht="14.25" customHeight="1">
      <c r="A61" s="3233" t="s">
        <v>110</v>
      </c>
      <c r="B61" s="3233" t="s">
        <v>170</v>
      </c>
      <c r="C61" s="3233">
        <v>21330</v>
      </c>
      <c r="D61" s="3233">
        <v>18640</v>
      </c>
      <c r="E61" s="3233">
        <v>21190</v>
      </c>
      <c r="F61" s="3233">
        <v>4180</v>
      </c>
      <c r="G61" s="3233">
        <v>12650</v>
      </c>
      <c r="N61" s="3233" t="s">
        <v>3066</v>
      </c>
    </row>
    <row r="62" spans="1:17" ht="14.25" customHeight="1">
      <c r="A62" s="3233" t="s">
        <v>110</v>
      </c>
      <c r="B62" s="3233" t="s">
        <v>177</v>
      </c>
      <c r="C62" s="3233">
        <v>18710</v>
      </c>
      <c r="D62" s="3233">
        <v>19400</v>
      </c>
      <c r="E62" s="3233">
        <v>23750</v>
      </c>
      <c r="F62" s="3233">
        <v>4860</v>
      </c>
      <c r="G62" s="3233">
        <v>13170</v>
      </c>
      <c r="N62" s="3233" t="s">
        <v>3067</v>
      </c>
    </row>
    <row r="63" spans="1:17" ht="14.25" customHeight="1">
      <c r="A63" s="3233" t="s">
        <v>110</v>
      </c>
      <c r="B63" s="3233" t="s">
        <v>187</v>
      </c>
      <c r="C63" s="3233">
        <v>19480</v>
      </c>
      <c r="D63" s="3233">
        <v>16830</v>
      </c>
      <c r="E63" s="3233">
        <v>21590</v>
      </c>
      <c r="F63" s="3233">
        <v>4560</v>
      </c>
      <c r="G63" s="3233">
        <v>11420</v>
      </c>
      <c r="N63" s="3233" t="s">
        <v>3068</v>
      </c>
    </row>
    <row r="64" spans="1:17" ht="14.25" customHeight="1" thickBot="1">
      <c r="A64" s="3233" t="s">
        <v>110</v>
      </c>
      <c r="B64" s="3233" t="s">
        <v>196</v>
      </c>
      <c r="C64" s="3233">
        <v>16920</v>
      </c>
      <c r="D64" s="3233">
        <v>19190</v>
      </c>
      <c r="E64" s="3233">
        <v>22200</v>
      </c>
      <c r="F64" s="3233">
        <v>4390</v>
      </c>
      <c r="G64" s="3233">
        <v>13030</v>
      </c>
      <c r="N64" s="3240" t="s">
        <v>3069</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2940</v>
      </c>
      <c r="C78" s="3233">
        <v>19820</v>
      </c>
      <c r="D78" s="3233">
        <v>19780</v>
      </c>
      <c r="E78" s="3233">
        <v>18560</v>
      </c>
      <c r="F78" s="3233"/>
      <c r="G78" s="3233">
        <v>13430</v>
      </c>
    </row>
    <row r="79" spans="1:7" s="3222" customFormat="1" ht="14.25" customHeight="1">
      <c r="A79" s="3233" t="s">
        <v>110</v>
      </c>
      <c r="B79" s="3233" t="s">
        <v>2943</v>
      </c>
      <c r="C79" s="3233">
        <v>21660</v>
      </c>
      <c r="D79" s="3233">
        <v>18000</v>
      </c>
      <c r="E79" s="3233">
        <v>22570</v>
      </c>
      <c r="F79" s="3233"/>
      <c r="G79" s="3233">
        <v>12220</v>
      </c>
    </row>
    <row r="80" spans="1:7" s="3222" customFormat="1" ht="14.25" customHeight="1">
      <c r="A80" s="3233" t="s">
        <v>110</v>
      </c>
      <c r="B80" s="3233" t="s">
        <v>2947</v>
      </c>
      <c r="C80" s="3233">
        <v>19850</v>
      </c>
      <c r="D80" s="3233"/>
      <c r="E80" s="3233">
        <v>21700</v>
      </c>
      <c r="F80" s="3233"/>
      <c r="G80" s="3233"/>
    </row>
    <row r="81" spans="1:7" s="3222" customFormat="1" ht="14.25" customHeight="1">
      <c r="A81" s="3233" t="s">
        <v>110</v>
      </c>
      <c r="B81" s="3233" t="s">
        <v>2952</v>
      </c>
      <c r="C81" s="3233">
        <v>18080</v>
      </c>
      <c r="D81" s="3233"/>
      <c r="E81" s="3233">
        <v>20900</v>
      </c>
      <c r="F81" s="3233"/>
      <c r="G81" s="3233"/>
    </row>
    <row r="82" spans="1:7" s="3222" customFormat="1" ht="14.25" customHeight="1">
      <c r="A82" s="3233" t="s">
        <v>110</v>
      </c>
      <c r="B82" s="3233" t="s">
        <v>2959</v>
      </c>
      <c r="C82" s="3233"/>
      <c r="D82" s="3233"/>
      <c r="E82" s="3233">
        <v>20840</v>
      </c>
      <c r="F82" s="3233"/>
      <c r="G82" s="3233"/>
    </row>
    <row r="83" spans="1:7" s="3222" customFormat="1" ht="14.25" customHeight="1">
      <c r="A83" s="3233" t="s">
        <v>110</v>
      </c>
      <c r="B83" s="3233" t="s">
        <v>3070</v>
      </c>
      <c r="C83" s="3233"/>
      <c r="D83" s="3233"/>
      <c r="E83" s="3233"/>
      <c r="F83" s="3233">
        <v>4770</v>
      </c>
      <c r="G83" s="3233"/>
    </row>
    <row r="84" spans="1:7" s="3222" customFormat="1" ht="14.25" customHeight="1">
      <c r="A84" s="3233" t="s">
        <v>110</v>
      </c>
      <c r="B84" s="3233" t="s">
        <v>3071</v>
      </c>
      <c r="C84" s="3233"/>
      <c r="D84" s="3233"/>
      <c r="E84" s="3233"/>
      <c r="F84" s="3233">
        <v>4600</v>
      </c>
      <c r="G84" s="3233"/>
    </row>
    <row r="85" spans="1:7" s="3222" customFormat="1" ht="14.25" customHeight="1">
      <c r="A85" s="3233" t="s">
        <v>110</v>
      </c>
      <c r="B85" s="3233" t="s">
        <v>3072</v>
      </c>
      <c r="C85" s="3233"/>
      <c r="D85" s="3233"/>
      <c r="E85" s="3233"/>
      <c r="F85" s="3233">
        <v>4680</v>
      </c>
      <c r="G85" s="3233"/>
    </row>
    <row r="86" spans="1:7" s="3222" customFormat="1" ht="14.25" customHeight="1" thickBot="1">
      <c r="A86" s="3241" t="s">
        <v>110</v>
      </c>
      <c r="B86" s="3243" t="s">
        <v>3073</v>
      </c>
      <c r="C86" s="3244">
        <v>16610</v>
      </c>
      <c r="D86" s="3244">
        <v>16540</v>
      </c>
      <c r="E86" s="3244">
        <v>18850</v>
      </c>
      <c r="F86" s="3244"/>
      <c r="G86" s="3244">
        <v>11220</v>
      </c>
    </row>
    <row r="87" spans="1:7" s="3222" customFormat="1" ht="14.25" customHeight="1">
      <c r="A87" s="3238" t="s">
        <v>303</v>
      </c>
      <c r="B87" s="3229" t="s">
        <v>3074</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2953</v>
      </c>
      <c r="C113" s="3233">
        <v>15520</v>
      </c>
      <c r="D113" s="3233">
        <v>15450</v>
      </c>
      <c r="E113" s="3233"/>
      <c r="F113" s="3233"/>
      <c r="G113" s="3246">
        <v>10210</v>
      </c>
    </row>
    <row r="114" spans="1:7" s="3222" customFormat="1" ht="14.25" customHeight="1">
      <c r="A114" s="3233" t="s">
        <v>303</v>
      </c>
      <c r="B114" s="3233" t="s">
        <v>2960</v>
      </c>
      <c r="C114" s="3233">
        <v>13110</v>
      </c>
      <c r="D114" s="3233">
        <v>13050</v>
      </c>
      <c r="E114" s="3233"/>
      <c r="F114" s="3233"/>
      <c r="G114" s="3246">
        <v>8620</v>
      </c>
    </row>
    <row r="115" spans="1:7" s="3222" customFormat="1" ht="14.25" customHeight="1">
      <c r="A115" s="3233" t="s">
        <v>303</v>
      </c>
      <c r="B115" s="3233" t="s">
        <v>2966</v>
      </c>
      <c r="C115" s="3233">
        <v>12460</v>
      </c>
      <c r="D115" s="3233">
        <v>12390</v>
      </c>
      <c r="E115" s="3233"/>
      <c r="F115" s="3233"/>
      <c r="G115" s="3246">
        <v>8190</v>
      </c>
    </row>
    <row r="116" spans="1:7" s="3222" customFormat="1" ht="14.25" customHeight="1">
      <c r="A116" s="3233" t="s">
        <v>303</v>
      </c>
      <c r="B116" s="3233" t="s">
        <v>2973</v>
      </c>
      <c r="C116" s="3233">
        <v>13580</v>
      </c>
      <c r="D116" s="3233">
        <v>13520</v>
      </c>
      <c r="E116" s="3233"/>
      <c r="F116" s="3233"/>
      <c r="G116" s="3246">
        <v>8930</v>
      </c>
    </row>
    <row r="117" spans="1:7" s="3222" customFormat="1" ht="14.25" customHeight="1">
      <c r="A117" s="3233" t="s">
        <v>303</v>
      </c>
      <c r="B117" s="3233" t="s">
        <v>2980</v>
      </c>
      <c r="C117" s="3233">
        <v>17120</v>
      </c>
      <c r="D117" s="3233">
        <v>17040</v>
      </c>
      <c r="E117" s="3233"/>
      <c r="F117" s="3233"/>
      <c r="G117" s="3246">
        <v>11260</v>
      </c>
    </row>
    <row r="118" spans="1:7" s="3222" customFormat="1" ht="14.25" customHeight="1">
      <c r="A118" s="3233" t="s">
        <v>303</v>
      </c>
      <c r="B118" s="3233" t="s">
        <v>2985</v>
      </c>
      <c r="C118" s="3233">
        <v>14860</v>
      </c>
      <c r="D118" s="3233">
        <v>14790</v>
      </c>
      <c r="E118" s="3233"/>
      <c r="F118" s="3233"/>
      <c r="G118" s="3246">
        <v>9780</v>
      </c>
    </row>
    <row r="119" spans="1:7" s="3222" customFormat="1" ht="14.25" customHeight="1">
      <c r="A119" s="3233" t="s">
        <v>303</v>
      </c>
      <c r="B119" s="3233" t="s">
        <v>2989</v>
      </c>
      <c r="C119" s="3233">
        <v>16470</v>
      </c>
      <c r="D119" s="3233">
        <v>16400</v>
      </c>
      <c r="E119" s="3233"/>
      <c r="F119" s="3233"/>
      <c r="G119" s="3246">
        <v>10840</v>
      </c>
    </row>
    <row r="120" spans="1:7" s="3222" customFormat="1" ht="14.25" customHeight="1">
      <c r="A120" s="3233" t="s">
        <v>303</v>
      </c>
      <c r="B120" s="3233" t="s">
        <v>3075</v>
      </c>
      <c r="C120" s="3233"/>
      <c r="D120" s="3233"/>
      <c r="E120" s="3233"/>
      <c r="F120" s="3233">
        <v>4160</v>
      </c>
      <c r="G120" s="3246"/>
    </row>
    <row r="121" spans="1:7" s="3222" customFormat="1" ht="14.25" customHeight="1">
      <c r="A121" s="3233" t="s">
        <v>303</v>
      </c>
      <c r="B121" s="3233" t="s">
        <v>3076</v>
      </c>
      <c r="C121" s="3233"/>
      <c r="D121" s="3233"/>
      <c r="E121" s="3233"/>
      <c r="F121" s="3233">
        <v>3880</v>
      </c>
      <c r="G121" s="3246"/>
    </row>
    <row r="122" spans="1:7" s="3222" customFormat="1" ht="14.25" customHeight="1">
      <c r="A122" s="3233" t="s">
        <v>303</v>
      </c>
      <c r="B122" s="3233" t="s">
        <v>3077</v>
      </c>
      <c r="C122" s="3233">
        <v>13750</v>
      </c>
      <c r="D122" s="3233">
        <v>13680</v>
      </c>
      <c r="E122" s="3233">
        <v>16460</v>
      </c>
      <c r="F122" s="3233">
        <v>2880</v>
      </c>
      <c r="G122" s="3246">
        <v>9040</v>
      </c>
    </row>
    <row r="123" spans="1:7" s="3222" customFormat="1" ht="14.25" customHeight="1">
      <c r="A123" s="3233" t="s">
        <v>303</v>
      </c>
      <c r="B123" s="3233" t="s">
        <v>3008</v>
      </c>
      <c r="C123" s="3233">
        <v>13590</v>
      </c>
      <c r="D123" s="3233">
        <v>13520</v>
      </c>
      <c r="E123" s="3233">
        <v>16290</v>
      </c>
      <c r="F123" s="3233">
        <v>2790</v>
      </c>
      <c r="G123" s="3246">
        <v>8930</v>
      </c>
    </row>
    <row r="124" spans="1:7" s="3222" customFormat="1" ht="14.25" customHeight="1">
      <c r="A124" s="3233" t="s">
        <v>303</v>
      </c>
      <c r="B124" s="3233" t="s">
        <v>3013</v>
      </c>
      <c r="C124" s="3233">
        <v>13400</v>
      </c>
      <c r="D124" s="3233">
        <v>13320</v>
      </c>
      <c r="E124" s="3233">
        <v>16100</v>
      </c>
      <c r="F124" s="3233">
        <v>2320</v>
      </c>
      <c r="G124" s="3246">
        <v>8800</v>
      </c>
    </row>
    <row r="125" spans="1:7" s="3222" customFormat="1" ht="14.25" customHeight="1">
      <c r="A125" s="3233" t="s">
        <v>303</v>
      </c>
      <c r="B125" s="3233" t="s">
        <v>3018</v>
      </c>
      <c r="C125" s="3233">
        <v>12860</v>
      </c>
      <c r="D125" s="3233">
        <v>12790</v>
      </c>
      <c r="E125" s="3233">
        <v>15370</v>
      </c>
      <c r="F125" s="3233">
        <v>2280</v>
      </c>
      <c r="G125" s="3246">
        <v>8450</v>
      </c>
    </row>
    <row r="126" spans="1:7" s="3222" customFormat="1" ht="14.25" customHeight="1" thickBot="1">
      <c r="A126" s="3247" t="s">
        <v>303</v>
      </c>
      <c r="B126" s="3240" t="s">
        <v>3023</v>
      </c>
      <c r="C126" s="3240">
        <v>12960</v>
      </c>
      <c r="D126" s="3240">
        <v>12890</v>
      </c>
      <c r="E126" s="3240">
        <v>15530</v>
      </c>
      <c r="F126" s="3240">
        <v>2910</v>
      </c>
      <c r="G126" s="3248">
        <v>8520</v>
      </c>
    </row>
    <row r="127" spans="1:7" s="3222" customFormat="1" ht="14.25" customHeight="1">
      <c r="A127" s="3238" t="s">
        <v>29</v>
      </c>
      <c r="B127" s="3229" t="s">
        <v>3078</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3079</v>
      </c>
      <c r="C148" s="3233">
        <v>10370</v>
      </c>
      <c r="D148" s="3233">
        <v>10310</v>
      </c>
      <c r="E148" s="3233">
        <v>12970</v>
      </c>
      <c r="F148" s="3233"/>
      <c r="G148" s="3233">
        <v>6630</v>
      </c>
    </row>
    <row r="149" spans="1:7" s="3222" customFormat="1" ht="14.25" customHeight="1">
      <c r="A149" s="3233" t="s">
        <v>29</v>
      </c>
      <c r="B149" s="3233" t="s">
        <v>3080</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2954</v>
      </c>
      <c r="C153" s="3233">
        <v>10880</v>
      </c>
      <c r="D153" s="3233">
        <v>10820</v>
      </c>
      <c r="E153" s="3233">
        <v>13660</v>
      </c>
      <c r="F153" s="3233">
        <v>2260</v>
      </c>
      <c r="G153" s="3233">
        <v>6970</v>
      </c>
    </row>
    <row r="154" spans="1:7" s="3222" customFormat="1" ht="14.25" customHeight="1">
      <c r="A154" s="3233" t="s">
        <v>29</v>
      </c>
      <c r="B154" s="3233" t="s">
        <v>3081</v>
      </c>
      <c r="C154" s="3233">
        <v>11220</v>
      </c>
      <c r="D154" s="3233">
        <v>11160</v>
      </c>
      <c r="E154" s="3233">
        <v>14130</v>
      </c>
      <c r="F154" s="3233">
        <v>2230</v>
      </c>
      <c r="G154" s="3233">
        <v>7180</v>
      </c>
    </row>
    <row r="155" spans="1:7" s="3222" customFormat="1" ht="14.25" customHeight="1">
      <c r="A155" s="3233" t="s">
        <v>29</v>
      </c>
      <c r="B155" s="3233" t="s">
        <v>2967</v>
      </c>
      <c r="C155" s="3233">
        <v>10430</v>
      </c>
      <c r="D155" s="3233">
        <v>10380</v>
      </c>
      <c r="E155" s="3233">
        <v>13140</v>
      </c>
      <c r="F155" s="3233">
        <v>2080</v>
      </c>
      <c r="G155" s="3233">
        <v>6650</v>
      </c>
    </row>
    <row r="156" spans="1:7" s="3222" customFormat="1" ht="14.25" customHeight="1">
      <c r="A156" s="3233" t="s">
        <v>29</v>
      </c>
      <c r="B156" s="3233" t="s">
        <v>3082</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3083</v>
      </c>
      <c r="C160" s="3233">
        <v>11180</v>
      </c>
      <c r="D160" s="3233">
        <v>11140</v>
      </c>
      <c r="E160" s="3233">
        <v>14050</v>
      </c>
      <c r="F160" s="3233">
        <v>2270</v>
      </c>
      <c r="G160" s="3233">
        <v>7170</v>
      </c>
    </row>
    <row r="161" spans="1:7" s="3222" customFormat="1" ht="14.25" customHeight="1">
      <c r="A161" s="3233" t="s">
        <v>29</v>
      </c>
      <c r="B161" s="3233" t="s">
        <v>2999</v>
      </c>
      <c r="C161" s="3233">
        <v>11160</v>
      </c>
      <c r="D161" s="3233">
        <v>11120</v>
      </c>
      <c r="E161" s="3233">
        <v>14020</v>
      </c>
      <c r="F161" s="3233">
        <v>2150</v>
      </c>
      <c r="G161" s="3233">
        <v>7160</v>
      </c>
    </row>
    <row r="162" spans="1:7" s="3222" customFormat="1" ht="14.25" customHeight="1">
      <c r="A162" s="3233" t="s">
        <v>29</v>
      </c>
      <c r="B162" s="3233" t="s">
        <v>3004</v>
      </c>
      <c r="C162" s="3233">
        <v>9620</v>
      </c>
      <c r="D162" s="3233">
        <v>9570</v>
      </c>
      <c r="E162" s="3233">
        <v>12320</v>
      </c>
      <c r="F162" s="3233">
        <v>2010</v>
      </c>
      <c r="G162" s="3233">
        <v>6160</v>
      </c>
    </row>
    <row r="163" spans="1:7" s="3222" customFormat="1" ht="14.25" customHeight="1">
      <c r="A163" s="3233" t="s">
        <v>29</v>
      </c>
      <c r="B163" s="3233" t="s">
        <v>3009</v>
      </c>
      <c r="C163" s="3233">
        <v>9320</v>
      </c>
      <c r="D163" s="3233">
        <v>9270</v>
      </c>
      <c r="E163" s="3233">
        <v>11790</v>
      </c>
      <c r="F163" s="3233">
        <v>1920</v>
      </c>
      <c r="G163" s="3233">
        <v>5960</v>
      </c>
    </row>
    <row r="164" spans="1:7" s="3222" customFormat="1" ht="14.25" customHeight="1">
      <c r="A164" s="3233" t="s">
        <v>29</v>
      </c>
      <c r="B164" s="3233" t="s">
        <v>3014</v>
      </c>
      <c r="C164" s="3233"/>
      <c r="D164" s="3233"/>
      <c r="E164" s="3233"/>
      <c r="F164" s="3233">
        <v>1980</v>
      </c>
      <c r="G164" s="3233"/>
    </row>
    <row r="165" spans="1:7" s="3222" customFormat="1" ht="14.25" customHeight="1">
      <c r="A165" s="3233" t="s">
        <v>29</v>
      </c>
      <c r="B165" s="3233" t="s">
        <v>3084</v>
      </c>
      <c r="C165" s="3233">
        <v>11060</v>
      </c>
      <c r="D165" s="3233">
        <v>11030</v>
      </c>
      <c r="E165" s="3233">
        <v>13850</v>
      </c>
      <c r="F165" s="3233">
        <v>2170</v>
      </c>
      <c r="G165" s="3233">
        <v>7090</v>
      </c>
    </row>
    <row r="166" spans="1:7" s="3222" customFormat="1" ht="14.25" customHeight="1">
      <c r="A166" s="3233" t="s">
        <v>29</v>
      </c>
      <c r="B166" s="3233" t="s">
        <v>3024</v>
      </c>
      <c r="C166" s="3233">
        <v>11050</v>
      </c>
      <c r="D166" s="3233">
        <v>11010</v>
      </c>
      <c r="E166" s="3233">
        <v>13920</v>
      </c>
      <c r="F166" s="3233">
        <v>2140</v>
      </c>
      <c r="G166" s="3233">
        <v>7080</v>
      </c>
    </row>
    <row r="167" spans="1:7" s="3222" customFormat="1" ht="14.25" customHeight="1">
      <c r="A167" s="3233" t="s">
        <v>29</v>
      </c>
      <c r="B167" s="3233" t="s">
        <v>3028</v>
      </c>
      <c r="C167" s="3233">
        <v>10930</v>
      </c>
      <c r="D167" s="3233">
        <v>10890</v>
      </c>
      <c r="E167" s="3233">
        <v>13790</v>
      </c>
      <c r="F167" s="3233">
        <v>2010</v>
      </c>
      <c r="G167" s="3233">
        <v>7000</v>
      </c>
    </row>
    <row r="168" spans="1:7" s="3222" customFormat="1" ht="14.25" customHeight="1">
      <c r="A168" s="3233" t="s">
        <v>29</v>
      </c>
      <c r="B168" s="3233" t="s">
        <v>3033</v>
      </c>
      <c r="C168" s="3233">
        <v>9420</v>
      </c>
      <c r="D168" s="3233">
        <v>9380</v>
      </c>
      <c r="E168" s="3233">
        <v>11970</v>
      </c>
      <c r="F168" s="3233"/>
      <c r="G168" s="3233">
        <v>6040</v>
      </c>
    </row>
    <row r="169" spans="1:7" s="3222" customFormat="1" ht="14.25" customHeight="1">
      <c r="A169" s="3233" t="s">
        <v>29</v>
      </c>
      <c r="B169" s="3233" t="s">
        <v>3085</v>
      </c>
      <c r="C169" s="3233"/>
      <c r="D169" s="3233"/>
      <c r="E169" s="3233"/>
      <c r="F169" s="3233">
        <v>2880</v>
      </c>
      <c r="G169" s="3233"/>
    </row>
    <row r="170" spans="1:7" s="3222" customFormat="1" ht="14.25" customHeight="1">
      <c r="A170" s="3233" t="s">
        <v>29</v>
      </c>
      <c r="B170" s="3233" t="s">
        <v>3041</v>
      </c>
      <c r="C170" s="3233"/>
      <c r="D170" s="3233"/>
      <c r="E170" s="3233"/>
      <c r="F170" s="3233">
        <v>2880</v>
      </c>
      <c r="G170" s="3233"/>
    </row>
    <row r="171" spans="1:7" s="3222" customFormat="1" ht="14.25" customHeight="1">
      <c r="A171" s="3233" t="s">
        <v>29</v>
      </c>
      <c r="B171" s="3233" t="s">
        <v>3044</v>
      </c>
      <c r="C171" s="3233"/>
      <c r="D171" s="3233"/>
      <c r="E171" s="3233"/>
      <c r="F171" s="3233">
        <v>2880</v>
      </c>
      <c r="G171" s="3233"/>
    </row>
    <row r="172" spans="1:7" s="3222" customFormat="1" ht="14.25" customHeight="1">
      <c r="A172" s="3233" t="s">
        <v>29</v>
      </c>
      <c r="B172" s="3233" t="s">
        <v>3046</v>
      </c>
      <c r="C172" s="3233"/>
      <c r="D172" s="3233"/>
      <c r="E172" s="3233"/>
      <c r="F172" s="3233">
        <v>2880</v>
      </c>
      <c r="G172" s="3233"/>
    </row>
    <row r="173" spans="1:7" s="3222" customFormat="1" ht="14.25" customHeight="1">
      <c r="A173" s="3233" t="s">
        <v>29</v>
      </c>
      <c r="B173" s="3233" t="s">
        <v>3048</v>
      </c>
      <c r="C173" s="3233"/>
      <c r="D173" s="3233"/>
      <c r="E173" s="3233"/>
      <c r="F173" s="3233">
        <v>2150</v>
      </c>
      <c r="G173" s="3233"/>
    </row>
    <row r="174" spans="1:7" s="3222" customFormat="1" ht="14.25" customHeight="1">
      <c r="A174" s="3233" t="s">
        <v>29</v>
      </c>
      <c r="B174" s="3233" t="s">
        <v>3050</v>
      </c>
      <c r="C174" s="3233"/>
      <c r="D174" s="3233"/>
      <c r="E174" s="3233"/>
      <c r="F174" s="3233">
        <v>2030</v>
      </c>
      <c r="G174" s="3233"/>
    </row>
    <row r="175" spans="1:7" s="3222" customFormat="1" ht="14.25" customHeight="1">
      <c r="A175" s="3233" t="s">
        <v>29</v>
      </c>
      <c r="B175" s="3233" t="s">
        <v>3052</v>
      </c>
      <c r="C175" s="3233"/>
      <c r="D175" s="3233"/>
      <c r="E175" s="3233"/>
      <c r="F175" s="3233">
        <v>2780</v>
      </c>
      <c r="G175" s="3233"/>
    </row>
    <row r="176" spans="1:7" s="3222" customFormat="1" ht="14.25" customHeight="1">
      <c r="A176" s="3233" t="s">
        <v>29</v>
      </c>
      <c r="B176" s="3233" t="s">
        <v>3054</v>
      </c>
      <c r="C176" s="3233"/>
      <c r="D176" s="3233"/>
      <c r="E176" s="3233"/>
      <c r="F176" s="3233">
        <v>2780</v>
      </c>
      <c r="G176" s="3233"/>
    </row>
    <row r="177" spans="1:7" s="3222" customFormat="1" ht="14.25" customHeight="1">
      <c r="A177" s="3233" t="s">
        <v>29</v>
      </c>
      <c r="B177" s="3233" t="s">
        <v>3086</v>
      </c>
      <c r="C177" s="3233"/>
      <c r="D177" s="3233"/>
      <c r="E177" s="3233"/>
      <c r="F177" s="3233">
        <v>2780</v>
      </c>
      <c r="G177" s="3233"/>
    </row>
    <row r="178" spans="1:7" s="3222" customFormat="1" ht="14.25" customHeight="1">
      <c r="A178" s="3233" t="s">
        <v>29</v>
      </c>
      <c r="B178" s="3233" t="s">
        <v>3087</v>
      </c>
      <c r="C178" s="3233"/>
      <c r="D178" s="3233"/>
      <c r="E178" s="3233"/>
      <c r="F178" s="3233">
        <v>2060</v>
      </c>
      <c r="G178" s="3233"/>
    </row>
    <row r="179" spans="1:7" s="3222" customFormat="1" ht="14.25" customHeight="1">
      <c r="A179" s="3233" t="s">
        <v>29</v>
      </c>
      <c r="B179" s="3233" t="s">
        <v>3088</v>
      </c>
      <c r="C179" s="3233"/>
      <c r="D179" s="3233"/>
      <c r="E179" s="3233"/>
      <c r="F179" s="3233">
        <v>2120</v>
      </c>
      <c r="G179" s="3233"/>
    </row>
    <row r="180" spans="1:7" s="3222" customFormat="1" ht="14.25" customHeight="1">
      <c r="A180" s="3233" t="s">
        <v>29</v>
      </c>
      <c r="B180" s="3233" t="s">
        <v>3060</v>
      </c>
      <c r="C180" s="3233"/>
      <c r="D180" s="3233"/>
      <c r="E180" s="3233"/>
      <c r="F180" s="3233">
        <v>2340</v>
      </c>
      <c r="G180" s="3233"/>
    </row>
    <row r="181" spans="1:7" s="3222" customFormat="1" ht="14.25" customHeight="1">
      <c r="A181" s="3233" t="s">
        <v>29</v>
      </c>
      <c r="B181" s="3233" t="s">
        <v>3061</v>
      </c>
      <c r="C181" s="3233"/>
      <c r="D181" s="3233"/>
      <c r="E181" s="3233"/>
      <c r="F181" s="3233">
        <v>2340</v>
      </c>
      <c r="G181" s="3233"/>
    </row>
    <row r="182" spans="1:7" s="3222" customFormat="1" ht="14.25" customHeight="1">
      <c r="A182" s="3233" t="s">
        <v>29</v>
      </c>
      <c r="B182" s="3233" t="s">
        <v>3062</v>
      </c>
      <c r="C182" s="3233"/>
      <c r="D182" s="3233"/>
      <c r="E182" s="3233"/>
      <c r="F182" s="3233">
        <v>2340</v>
      </c>
      <c r="G182" s="3233"/>
    </row>
    <row r="183" spans="1:7" s="3222" customFormat="1" ht="14.25" customHeight="1">
      <c r="A183" s="3233" t="s">
        <v>29</v>
      </c>
      <c r="B183" s="3233" t="s">
        <v>3063</v>
      </c>
      <c r="C183" s="3233"/>
      <c r="D183" s="3233"/>
      <c r="E183" s="3233"/>
      <c r="F183" s="3233">
        <v>2340</v>
      </c>
      <c r="G183" s="3233"/>
    </row>
    <row r="184" spans="1:7" s="3222" customFormat="1" ht="14.25" customHeight="1">
      <c r="A184" s="3233" t="s">
        <v>29</v>
      </c>
      <c r="B184" s="3233" t="s">
        <v>3064</v>
      </c>
      <c r="C184" s="3233"/>
      <c r="D184" s="3233"/>
      <c r="E184" s="3233"/>
      <c r="F184" s="3233">
        <v>2340</v>
      </c>
      <c r="G184" s="3233"/>
    </row>
    <row r="185" spans="1:7" s="3222" customFormat="1" ht="14.25" customHeight="1">
      <c r="A185" s="3233" t="s">
        <v>29</v>
      </c>
      <c r="B185" s="3233" t="s">
        <v>3065</v>
      </c>
      <c r="C185" s="3233"/>
      <c r="D185" s="3233"/>
      <c r="E185" s="3233"/>
      <c r="F185" s="3233">
        <v>2530</v>
      </c>
      <c r="G185" s="3233"/>
    </row>
    <row r="186" spans="1:7" s="3222" customFormat="1" ht="14.25" customHeight="1">
      <c r="A186" s="3233" t="s">
        <v>29</v>
      </c>
      <c r="B186" s="3233" t="s">
        <v>3066</v>
      </c>
      <c r="C186" s="3233"/>
      <c r="D186" s="3233"/>
      <c r="E186" s="3233"/>
      <c r="F186" s="3233">
        <v>2550</v>
      </c>
      <c r="G186" s="3233"/>
    </row>
    <row r="187" spans="1:7" s="3222" customFormat="1" ht="14.25" customHeight="1">
      <c r="A187" s="3233" t="s">
        <v>29</v>
      </c>
      <c r="B187" s="3233" t="s">
        <v>3067</v>
      </c>
      <c r="C187" s="3233"/>
      <c r="D187" s="3233"/>
      <c r="E187" s="3233"/>
      <c r="F187" s="3233">
        <v>2070</v>
      </c>
      <c r="G187" s="3233"/>
    </row>
    <row r="188" spans="1:7" s="3222" customFormat="1" ht="14.25" customHeight="1">
      <c r="A188" s="3233" t="s">
        <v>29</v>
      </c>
      <c r="B188" s="3233" t="s">
        <v>3068</v>
      </c>
      <c r="C188" s="3233"/>
      <c r="D188" s="3233"/>
      <c r="E188" s="3233"/>
      <c r="F188" s="3233">
        <v>2340</v>
      </c>
      <c r="G188" s="3233"/>
    </row>
    <row r="189" spans="1:7" s="3222" customFormat="1" ht="14.25" customHeight="1" thickBot="1">
      <c r="A189" s="3241" t="s">
        <v>29</v>
      </c>
      <c r="B189" s="3244" t="s">
        <v>3069</v>
      </c>
      <c r="C189" s="3244"/>
      <c r="D189" s="3244"/>
      <c r="E189" s="3244"/>
      <c r="F189" s="3244">
        <v>2050</v>
      </c>
      <c r="G189" s="3244"/>
    </row>
    <row r="190" spans="1:7" s="3222" customFormat="1" ht="14.25" customHeight="1">
      <c r="A190" s="3238" t="s">
        <v>304</v>
      </c>
      <c r="B190" s="3229" t="s">
        <v>3089</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3090</v>
      </c>
      <c r="C199" s="3233">
        <v>8690</v>
      </c>
      <c r="D199" s="3233">
        <v>8630</v>
      </c>
      <c r="E199" s="3233">
        <v>11350</v>
      </c>
      <c r="F199" s="3233">
        <v>1600</v>
      </c>
      <c r="G199" s="3246">
        <v>5450</v>
      </c>
    </row>
    <row r="200" spans="1:7" s="3222" customFormat="1" ht="14.25" customHeight="1">
      <c r="A200" s="3233" t="s">
        <v>304</v>
      </c>
      <c r="B200" s="3233" t="s">
        <v>2901</v>
      </c>
      <c r="C200" s="3233"/>
      <c r="D200" s="3233"/>
      <c r="E200" s="3233"/>
      <c r="F200" s="3233">
        <v>1510</v>
      </c>
      <c r="G200" s="3246"/>
    </row>
    <row r="201" spans="1:7" s="3222" customFormat="1" ht="14.25" customHeight="1">
      <c r="A201" s="3233" t="s">
        <v>304</v>
      </c>
      <c r="B201" s="3233" t="s">
        <v>3091</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3092</v>
      </c>
      <c r="C203" s="3233">
        <v>8130</v>
      </c>
      <c r="D203" s="3233">
        <v>8070</v>
      </c>
      <c r="E203" s="3233">
        <v>10820</v>
      </c>
      <c r="F203" s="3233">
        <v>1690</v>
      </c>
      <c r="G203" s="3246">
        <v>5100</v>
      </c>
    </row>
    <row r="204" spans="1:7" s="3222" customFormat="1" ht="14.25" customHeight="1">
      <c r="A204" s="3233" t="s">
        <v>304</v>
      </c>
      <c r="B204" s="3233" t="s">
        <v>2912</v>
      </c>
      <c r="C204" s="3233">
        <v>8350</v>
      </c>
      <c r="D204" s="3233">
        <v>8290</v>
      </c>
      <c r="E204" s="3233">
        <v>11080</v>
      </c>
      <c r="F204" s="3233">
        <v>1450</v>
      </c>
      <c r="G204" s="3246">
        <v>5240</v>
      </c>
    </row>
    <row r="205" spans="1:7" s="3222" customFormat="1" ht="14.25" customHeight="1">
      <c r="A205" s="3233" t="s">
        <v>304</v>
      </c>
      <c r="B205" s="3233" t="s">
        <v>2914</v>
      </c>
      <c r="C205" s="3233">
        <v>7190</v>
      </c>
      <c r="D205" s="3233">
        <v>7130</v>
      </c>
      <c r="E205" s="3233">
        <v>9490</v>
      </c>
      <c r="F205" s="3233">
        <v>1470</v>
      </c>
      <c r="G205" s="3246">
        <v>4510</v>
      </c>
    </row>
    <row r="206" spans="1:7" s="3222" customFormat="1" ht="14.25" customHeight="1">
      <c r="A206" s="3233" t="s">
        <v>304</v>
      </c>
      <c r="B206" s="3233" t="s">
        <v>2917</v>
      </c>
      <c r="C206" s="3233">
        <v>7000</v>
      </c>
      <c r="D206" s="3233">
        <v>6950</v>
      </c>
      <c r="E206" s="3233">
        <v>9170</v>
      </c>
      <c r="F206" s="3233">
        <v>1400</v>
      </c>
      <c r="G206" s="3246">
        <v>4380</v>
      </c>
    </row>
    <row r="207" spans="1:7" s="3222" customFormat="1" ht="14.25" customHeight="1">
      <c r="A207" s="3233" t="s">
        <v>304</v>
      </c>
      <c r="B207" s="3233" t="s">
        <v>2919</v>
      </c>
      <c r="C207" s="3233">
        <v>6950</v>
      </c>
      <c r="D207" s="3233">
        <v>6900</v>
      </c>
      <c r="E207" s="3233">
        <v>9110</v>
      </c>
      <c r="F207" s="3233">
        <v>1790</v>
      </c>
      <c r="G207" s="3246">
        <v>4360</v>
      </c>
    </row>
    <row r="208" spans="1:7" s="3222" customFormat="1" ht="14.25" customHeight="1">
      <c r="A208" s="3233" t="s">
        <v>304</v>
      </c>
      <c r="B208" s="3233" t="s">
        <v>3093</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2929</v>
      </c>
      <c r="C210" s="3233">
        <v>8710</v>
      </c>
      <c r="D210" s="3233">
        <v>8660</v>
      </c>
      <c r="E210" s="3233">
        <v>11440</v>
      </c>
      <c r="F210" s="3233">
        <v>1740</v>
      </c>
      <c r="G210" s="3246">
        <v>5470</v>
      </c>
    </row>
    <row r="211" spans="1:7" s="3222" customFormat="1" ht="14.25" customHeight="1">
      <c r="A211" s="3233" t="s">
        <v>304</v>
      </c>
      <c r="B211" s="3233" t="s">
        <v>3094</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3095</v>
      </c>
      <c r="C214" s="3233">
        <v>8090</v>
      </c>
      <c r="D214" s="3233">
        <v>8030</v>
      </c>
      <c r="E214" s="3233">
        <v>10780</v>
      </c>
      <c r="F214" s="3233">
        <v>1570</v>
      </c>
      <c r="G214" s="3246">
        <v>5070</v>
      </c>
    </row>
    <row r="215" spans="1:7" s="3222" customFormat="1" ht="14.25" customHeight="1">
      <c r="A215" s="3233" t="s">
        <v>304</v>
      </c>
      <c r="B215" s="3233" t="s">
        <v>3096</v>
      </c>
      <c r="C215" s="3233">
        <v>7950</v>
      </c>
      <c r="D215" s="3233">
        <v>7900</v>
      </c>
      <c r="E215" s="3233">
        <v>10560</v>
      </c>
      <c r="F215" s="3233">
        <v>1630</v>
      </c>
      <c r="G215" s="3246">
        <v>4990</v>
      </c>
    </row>
    <row r="216" spans="1:7" s="3222" customFormat="1" ht="14.25" customHeight="1">
      <c r="A216" s="3233" t="s">
        <v>304</v>
      </c>
      <c r="B216" s="3233" t="s">
        <v>3097</v>
      </c>
      <c r="C216" s="3233">
        <v>8490</v>
      </c>
      <c r="D216" s="3233">
        <v>8440</v>
      </c>
      <c r="E216" s="3233">
        <v>11260</v>
      </c>
      <c r="F216" s="3233">
        <v>1690</v>
      </c>
      <c r="G216" s="3246">
        <v>5330</v>
      </c>
    </row>
    <row r="217" spans="1:7" s="3222" customFormat="1" ht="14.25" customHeight="1">
      <c r="A217" s="3233" t="s">
        <v>304</v>
      </c>
      <c r="B217" s="3233" t="s">
        <v>2962</v>
      </c>
      <c r="C217" s="3233">
        <v>8200</v>
      </c>
      <c r="D217" s="3233">
        <v>8150</v>
      </c>
      <c r="E217" s="3233">
        <v>10910</v>
      </c>
      <c r="F217" s="3233">
        <v>1670</v>
      </c>
      <c r="G217" s="3246">
        <v>5150</v>
      </c>
    </row>
    <row r="218" spans="1:7" s="3222" customFormat="1" ht="14.25" customHeight="1">
      <c r="A218" s="3233" t="s">
        <v>304</v>
      </c>
      <c r="B218" s="3233" t="s">
        <v>3098</v>
      </c>
      <c r="C218" s="3233"/>
      <c r="D218" s="3233"/>
      <c r="E218" s="3233"/>
      <c r="F218" s="3233">
        <v>2040</v>
      </c>
      <c r="G218" s="3246"/>
    </row>
    <row r="219" spans="1:7" s="3222" customFormat="1" ht="14.25" customHeight="1">
      <c r="A219" s="3233" t="s">
        <v>304</v>
      </c>
      <c r="B219" s="3233" t="s">
        <v>3099</v>
      </c>
      <c r="C219" s="3233"/>
      <c r="D219" s="3233"/>
      <c r="E219" s="3233"/>
      <c r="F219" s="3233">
        <v>2040</v>
      </c>
      <c r="G219" s="3246"/>
    </row>
    <row r="220" spans="1:7" s="3222" customFormat="1" ht="14.25" customHeight="1">
      <c r="A220" s="3233" t="s">
        <v>304</v>
      </c>
      <c r="B220" s="3233" t="s">
        <v>3100</v>
      </c>
      <c r="C220" s="3233"/>
      <c r="D220" s="3233"/>
      <c r="E220" s="3233"/>
      <c r="F220" s="3233">
        <v>2040</v>
      </c>
      <c r="G220" s="3246"/>
    </row>
    <row r="221" spans="1:7" s="3222" customFormat="1" ht="14.25" customHeight="1">
      <c r="A221" s="3233" t="s">
        <v>304</v>
      </c>
      <c r="B221" s="3233" t="s">
        <v>3101</v>
      </c>
      <c r="C221" s="3233"/>
      <c r="D221" s="3233"/>
      <c r="E221" s="3233"/>
      <c r="F221" s="3233">
        <v>2040</v>
      </c>
      <c r="G221" s="3246"/>
    </row>
    <row r="222" spans="1:7" s="3222" customFormat="1" ht="14.25" customHeight="1">
      <c r="A222" s="3233" t="s">
        <v>304</v>
      </c>
      <c r="B222" s="3233" t="s">
        <v>3102</v>
      </c>
      <c r="C222" s="3233"/>
      <c r="D222" s="3233"/>
      <c r="E222" s="3233"/>
      <c r="F222" s="3233">
        <v>2040</v>
      </c>
      <c r="G222" s="3246"/>
    </row>
    <row r="223" spans="1:7" s="3222" customFormat="1" ht="14.25" customHeight="1">
      <c r="A223" s="3233" t="s">
        <v>304</v>
      </c>
      <c r="B223" s="3233" t="s">
        <v>3103</v>
      </c>
      <c r="C223" s="3233"/>
      <c r="D223" s="3233"/>
      <c r="E223" s="3233"/>
      <c r="F223" s="3233">
        <v>1930</v>
      </c>
      <c r="G223" s="3246"/>
    </row>
    <row r="224" spans="1:7" s="3222" customFormat="1" ht="14.25" customHeight="1">
      <c r="A224" s="3233" t="s">
        <v>304</v>
      </c>
      <c r="B224" s="3233" t="s">
        <v>3104</v>
      </c>
      <c r="C224" s="3233"/>
      <c r="D224" s="3233"/>
      <c r="E224" s="3233"/>
      <c r="F224" s="3233">
        <v>1930</v>
      </c>
      <c r="G224" s="3246"/>
    </row>
    <row r="225" spans="1:7" s="3222" customFormat="1" ht="14.25" customHeight="1">
      <c r="A225" s="3233" t="s">
        <v>304</v>
      </c>
      <c r="B225" s="3233" t="s">
        <v>3105</v>
      </c>
      <c r="C225" s="3233"/>
      <c r="D225" s="3233"/>
      <c r="E225" s="3233"/>
      <c r="F225" s="3233">
        <v>1930</v>
      </c>
      <c r="G225" s="3246"/>
    </row>
    <row r="226" spans="1:7" s="3222" customFormat="1" ht="14.25" customHeight="1">
      <c r="A226" s="3233" t="s">
        <v>304</v>
      </c>
      <c r="B226" s="3233" t="s">
        <v>3106</v>
      </c>
      <c r="C226" s="3233"/>
      <c r="D226" s="3233"/>
      <c r="E226" s="3233"/>
      <c r="F226" s="3233">
        <v>1700</v>
      </c>
      <c r="G226" s="3246"/>
    </row>
    <row r="227" spans="1:7" s="3222" customFormat="1" ht="14.25" customHeight="1">
      <c r="A227" s="3233" t="s">
        <v>304</v>
      </c>
      <c r="B227" s="3233" t="s">
        <v>3107</v>
      </c>
      <c r="C227" s="3233"/>
      <c r="D227" s="3233"/>
      <c r="E227" s="3233"/>
      <c r="F227" s="3233">
        <v>1520</v>
      </c>
      <c r="G227" s="3246"/>
    </row>
    <row r="228" spans="1:7" s="3222" customFormat="1" ht="14.25" customHeight="1">
      <c r="A228" s="3233" t="s">
        <v>304</v>
      </c>
      <c r="B228" s="3233" t="s">
        <v>3108</v>
      </c>
      <c r="C228" s="3233"/>
      <c r="D228" s="3233"/>
      <c r="E228" s="3233"/>
      <c r="F228" s="3233">
        <v>1520</v>
      </c>
      <c r="G228" s="3246"/>
    </row>
    <row r="229" spans="1:7" s="3222" customFormat="1" ht="14.25" customHeight="1">
      <c r="A229" s="3233" t="s">
        <v>304</v>
      </c>
      <c r="B229" s="3233" t="s">
        <v>3025</v>
      </c>
      <c r="C229" s="3233"/>
      <c r="D229" s="3233"/>
      <c r="E229" s="3233"/>
      <c r="F229" s="3233">
        <v>1520</v>
      </c>
      <c r="G229" s="3246"/>
    </row>
    <row r="230" spans="1:7" s="3222" customFormat="1" ht="14.25" customHeight="1">
      <c r="A230" s="3233" t="s">
        <v>304</v>
      </c>
      <c r="B230" s="3233" t="s">
        <v>3109</v>
      </c>
      <c r="C230" s="3233"/>
      <c r="D230" s="3233"/>
      <c r="E230" s="3233"/>
      <c r="F230" s="3233">
        <v>1820</v>
      </c>
      <c r="G230" s="3246"/>
    </row>
    <row r="231" spans="1:7" s="3222" customFormat="1" ht="14.25" customHeight="1">
      <c r="A231" s="3233" t="s">
        <v>304</v>
      </c>
      <c r="B231" s="3233" t="s">
        <v>3110</v>
      </c>
      <c r="C231" s="3233"/>
      <c r="D231" s="3233"/>
      <c r="E231" s="3233"/>
      <c r="F231" s="3233">
        <v>1760</v>
      </c>
      <c r="G231" s="3246"/>
    </row>
    <row r="232" spans="1:7" s="3222" customFormat="1" ht="14.25" customHeight="1">
      <c r="A232" s="3233" t="s">
        <v>304</v>
      </c>
      <c r="B232" s="3233" t="s">
        <v>3111</v>
      </c>
      <c r="C232" s="3233"/>
      <c r="D232" s="3233"/>
      <c r="E232" s="3233"/>
      <c r="F232" s="3233">
        <v>1840</v>
      </c>
      <c r="G232" s="3246"/>
    </row>
    <row r="233" spans="1:7" s="3222" customFormat="1" ht="14.25" customHeight="1" thickBot="1">
      <c r="A233" s="3247" t="s">
        <v>304</v>
      </c>
      <c r="B233" s="3240" t="s">
        <v>3042</v>
      </c>
      <c r="C233" s="3240"/>
      <c r="D233" s="3240"/>
      <c r="E233" s="3240"/>
      <c r="F233" s="3240">
        <v>1770</v>
      </c>
      <c r="G233" s="3248"/>
    </row>
    <row r="234" spans="1:7" s="3222" customFormat="1" ht="14.25" customHeight="1">
      <c r="A234" s="3238" t="s">
        <v>305</v>
      </c>
      <c r="B234" s="3229" t="s">
        <v>3112</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2883</v>
      </c>
      <c r="C238" s="3233">
        <v>6920</v>
      </c>
      <c r="D238" s="3233">
        <v>6890</v>
      </c>
      <c r="E238" s="3233">
        <v>8640</v>
      </c>
      <c r="F238" s="3233">
        <v>1310</v>
      </c>
      <c r="G238" s="3233">
        <v>4230</v>
      </c>
    </row>
    <row r="239" spans="1:7" s="3222" customFormat="1" ht="14.25" customHeight="1">
      <c r="A239" s="3233" t="s">
        <v>305</v>
      </c>
      <c r="B239" s="3233" t="s">
        <v>3113</v>
      </c>
      <c r="C239" s="3233">
        <v>6780</v>
      </c>
      <c r="D239" s="3233">
        <v>6750</v>
      </c>
      <c r="E239" s="3233">
        <v>8440</v>
      </c>
      <c r="F239" s="3233">
        <v>1160</v>
      </c>
      <c r="G239" s="3233">
        <v>4140</v>
      </c>
    </row>
    <row r="240" spans="1:7" s="3222" customFormat="1" ht="14.25" customHeight="1">
      <c r="A240" s="3233" t="s">
        <v>305</v>
      </c>
      <c r="B240" s="3233" t="s">
        <v>3114</v>
      </c>
      <c r="C240" s="3233">
        <v>5420</v>
      </c>
      <c r="D240" s="3233">
        <v>5380</v>
      </c>
      <c r="E240" s="3233">
        <v>6640</v>
      </c>
      <c r="F240" s="3233">
        <v>1020</v>
      </c>
      <c r="G240" s="3233">
        <v>3300</v>
      </c>
    </row>
    <row r="241" spans="1:7" s="3222" customFormat="1" ht="14.25" customHeight="1">
      <c r="A241" s="3233" t="s">
        <v>305</v>
      </c>
      <c r="B241" s="3233" t="s">
        <v>3115</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3116</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3117</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3118</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3119</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3120</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2945</v>
      </c>
      <c r="C258" s="3233">
        <v>6190</v>
      </c>
      <c r="D258" s="3233">
        <v>6160</v>
      </c>
      <c r="E258" s="3233">
        <v>7680</v>
      </c>
      <c r="F258" s="3233">
        <v>1170</v>
      </c>
      <c r="G258" s="3233">
        <v>3780</v>
      </c>
    </row>
    <row r="259" spans="1:7" s="3222" customFormat="1" ht="14.25" customHeight="1">
      <c r="A259" s="3233" t="s">
        <v>305</v>
      </c>
      <c r="B259" s="3233" t="s">
        <v>3121</v>
      </c>
      <c r="C259" s="3233">
        <v>7610</v>
      </c>
      <c r="D259" s="3233">
        <v>7570</v>
      </c>
      <c r="E259" s="3233">
        <v>9350</v>
      </c>
      <c r="F259" s="3233">
        <v>1350</v>
      </c>
      <c r="G259" s="3233">
        <v>4650</v>
      </c>
    </row>
    <row r="260" spans="1:7" s="3222" customFormat="1" ht="14.25" customHeight="1">
      <c r="A260" s="3233" t="s">
        <v>305</v>
      </c>
      <c r="B260" s="3233" t="s">
        <v>3122</v>
      </c>
      <c r="C260" s="3233">
        <v>6920</v>
      </c>
      <c r="D260" s="3233">
        <v>6880</v>
      </c>
      <c r="E260" s="3233">
        <v>8380</v>
      </c>
      <c r="F260" s="3233">
        <v>1160</v>
      </c>
      <c r="G260" s="3233">
        <v>4220</v>
      </c>
    </row>
    <row r="261" spans="1:7" s="3222" customFormat="1" ht="14.25" customHeight="1">
      <c r="A261" s="3233" t="s">
        <v>305</v>
      </c>
      <c r="B261" s="3233" t="s">
        <v>3123</v>
      </c>
      <c r="C261" s="3233">
        <v>6850</v>
      </c>
      <c r="D261" s="3233">
        <v>6810</v>
      </c>
      <c r="E261" s="3233">
        <v>8290</v>
      </c>
      <c r="F261" s="3233">
        <v>1130</v>
      </c>
      <c r="G261" s="3233">
        <v>4180</v>
      </c>
    </row>
    <row r="262" spans="1:7" s="3222" customFormat="1" ht="14.25" customHeight="1">
      <c r="A262" s="3233" t="s">
        <v>305</v>
      </c>
      <c r="B262" s="3233" t="s">
        <v>3124</v>
      </c>
      <c r="C262" s="3233">
        <v>5860</v>
      </c>
      <c r="D262" s="3233">
        <v>5820</v>
      </c>
      <c r="E262" s="3233">
        <v>7640</v>
      </c>
      <c r="F262" s="3233">
        <v>1070</v>
      </c>
      <c r="G262" s="3233">
        <v>3570</v>
      </c>
    </row>
    <row r="263" spans="1:7" s="3222" customFormat="1" ht="14.25" customHeight="1">
      <c r="A263" s="3233" t="s">
        <v>305</v>
      </c>
      <c r="B263" s="3233" t="s">
        <v>3125</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3126</v>
      </c>
      <c r="C265" s="3233"/>
      <c r="D265" s="3233"/>
      <c r="E265" s="3233"/>
      <c r="F265" s="3233">
        <v>1500</v>
      </c>
      <c r="G265" s="3233"/>
    </row>
    <row r="266" spans="1:7" s="3222" customFormat="1" ht="14.25" customHeight="1">
      <c r="A266" s="3233" t="s">
        <v>305</v>
      </c>
      <c r="B266" s="3233" t="s">
        <v>3127</v>
      </c>
      <c r="C266" s="3233"/>
      <c r="D266" s="3233"/>
      <c r="E266" s="3233"/>
      <c r="F266" s="3233">
        <v>1500</v>
      </c>
      <c r="G266" s="3233"/>
    </row>
    <row r="267" spans="1:7" s="3222" customFormat="1" ht="14.25" customHeight="1">
      <c r="A267" s="3233" t="s">
        <v>305</v>
      </c>
      <c r="B267" s="3233" t="s">
        <v>3128</v>
      </c>
      <c r="C267" s="3233"/>
      <c r="D267" s="3233"/>
      <c r="E267" s="3233"/>
      <c r="F267" s="3233">
        <v>1500</v>
      </c>
      <c r="G267" s="3233"/>
    </row>
    <row r="268" spans="1:7" s="3222" customFormat="1" ht="14.25" customHeight="1">
      <c r="A268" s="3233" t="s">
        <v>305</v>
      </c>
      <c r="B268" s="3233" t="s">
        <v>3129</v>
      </c>
      <c r="C268" s="3233"/>
      <c r="D268" s="3233"/>
      <c r="E268" s="3233"/>
      <c r="F268" s="3233">
        <v>1290</v>
      </c>
      <c r="G268" s="3233"/>
    </row>
    <row r="269" spans="1:7" s="3222" customFormat="1" ht="14.25" customHeight="1">
      <c r="A269" s="3233" t="s">
        <v>305</v>
      </c>
      <c r="B269" s="3233" t="s">
        <v>3130</v>
      </c>
      <c r="C269" s="3233"/>
      <c r="D269" s="3233"/>
      <c r="E269" s="3233"/>
      <c r="F269" s="3233">
        <v>1150</v>
      </c>
      <c r="G269" s="3233"/>
    </row>
    <row r="270" spans="1:7" s="3222" customFormat="1" ht="14.25" customHeight="1">
      <c r="A270" s="3233" t="s">
        <v>305</v>
      </c>
      <c r="B270" s="3233" t="s">
        <v>3131</v>
      </c>
      <c r="C270" s="3233"/>
      <c r="D270" s="3233"/>
      <c r="E270" s="3233"/>
      <c r="F270" s="3233">
        <v>1380</v>
      </c>
      <c r="G270" s="3233"/>
    </row>
    <row r="271" spans="1:7" s="3222" customFormat="1" ht="14.25" customHeight="1">
      <c r="A271" s="3233" t="s">
        <v>305</v>
      </c>
      <c r="B271" s="3233" t="s">
        <v>3132</v>
      </c>
      <c r="C271" s="3233"/>
      <c r="D271" s="3233"/>
      <c r="E271" s="3233"/>
      <c r="F271" s="3233">
        <v>1460</v>
      </c>
      <c r="G271" s="3233"/>
    </row>
    <row r="272" spans="1:7" s="3222" customFormat="1" ht="14.25" customHeight="1">
      <c r="A272" s="3233" t="s">
        <v>305</v>
      </c>
      <c r="B272" s="3233" t="s">
        <v>3133</v>
      </c>
      <c r="C272" s="3233"/>
      <c r="D272" s="3233"/>
      <c r="E272" s="3233"/>
      <c r="F272" s="3233">
        <v>1460</v>
      </c>
      <c r="G272" s="3233"/>
    </row>
    <row r="273" spans="1:7" s="3222" customFormat="1" ht="14.25" customHeight="1">
      <c r="A273" s="3233" t="s">
        <v>305</v>
      </c>
      <c r="B273" s="3233" t="s">
        <v>3026</v>
      </c>
      <c r="C273" s="3233"/>
      <c r="D273" s="3233"/>
      <c r="E273" s="3233"/>
      <c r="F273" s="3233">
        <v>1490</v>
      </c>
      <c r="G273" s="3233"/>
    </row>
    <row r="274" spans="1:7" s="3222" customFormat="1" ht="14.25" customHeight="1">
      <c r="A274" s="3233" t="s">
        <v>305</v>
      </c>
      <c r="B274" s="3233" t="s">
        <v>3134</v>
      </c>
      <c r="C274" s="3233"/>
      <c r="D274" s="3233"/>
      <c r="E274" s="3233"/>
      <c r="F274" s="3233">
        <v>1490</v>
      </c>
      <c r="G274" s="3233"/>
    </row>
    <row r="275" spans="1:7" s="3222" customFormat="1" ht="14.25" customHeight="1">
      <c r="A275" s="3233" t="s">
        <v>305</v>
      </c>
      <c r="B275" s="3233" t="s">
        <v>3135</v>
      </c>
      <c r="C275" s="3233"/>
      <c r="D275" s="3233"/>
      <c r="E275" s="3233"/>
      <c r="F275" s="3233">
        <v>1220</v>
      </c>
      <c r="G275" s="3233"/>
    </row>
    <row r="276" spans="1:7" s="3222" customFormat="1" ht="14.25" customHeight="1" thickBot="1">
      <c r="A276" s="3241" t="s">
        <v>305</v>
      </c>
      <c r="B276" s="3243" t="s">
        <v>3136</v>
      </c>
      <c r="C276" s="3244"/>
      <c r="D276" s="3244"/>
      <c r="E276" s="3244"/>
      <c r="F276" s="3244">
        <v>1380</v>
      </c>
      <c r="G276" s="3244"/>
    </row>
    <row r="277" spans="1:7" s="3222" customFormat="1" ht="14.25" customHeight="1">
      <c r="A277" s="3238" t="s">
        <v>306</v>
      </c>
      <c r="B277" s="3229" t="s">
        <v>3137</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3138</v>
      </c>
      <c r="C279" s="3233">
        <v>4760</v>
      </c>
      <c r="D279" s="3233">
        <v>4720</v>
      </c>
      <c r="E279" s="3233">
        <v>5540</v>
      </c>
      <c r="F279" s="3233">
        <v>810</v>
      </c>
      <c r="G279" s="3246">
        <v>2850</v>
      </c>
    </row>
    <row r="280" spans="1:7" s="3222" customFormat="1" ht="14.25" customHeight="1">
      <c r="A280" s="3233" t="s">
        <v>306</v>
      </c>
      <c r="B280" s="3233" t="s">
        <v>3139</v>
      </c>
      <c r="C280" s="3233">
        <v>4010</v>
      </c>
      <c r="D280" s="3233">
        <v>3950</v>
      </c>
      <c r="E280" s="3233">
        <v>4710</v>
      </c>
      <c r="F280" s="3233">
        <v>800</v>
      </c>
      <c r="G280" s="3246">
        <v>2390</v>
      </c>
    </row>
    <row r="281" spans="1:7" s="3222" customFormat="1" ht="14.25" customHeight="1">
      <c r="A281" s="3233" t="s">
        <v>306</v>
      </c>
      <c r="B281" s="3233" t="s">
        <v>3140</v>
      </c>
      <c r="C281" s="3233">
        <v>4480</v>
      </c>
      <c r="D281" s="3233">
        <v>4420</v>
      </c>
      <c r="E281" s="3233">
        <v>5230</v>
      </c>
      <c r="F281" s="3233">
        <v>870</v>
      </c>
      <c r="G281" s="3246">
        <v>2660</v>
      </c>
    </row>
    <row r="282" spans="1:7" s="3222" customFormat="1" ht="14.25" customHeight="1">
      <c r="A282" s="3233" t="s">
        <v>306</v>
      </c>
      <c r="B282" s="3233" t="s">
        <v>3141</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3142</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3143</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2918</v>
      </c>
      <c r="C293" s="3233">
        <v>5320</v>
      </c>
      <c r="D293" s="3233">
        <v>5270</v>
      </c>
      <c r="E293" s="3233">
        <v>6160</v>
      </c>
      <c r="F293" s="3233">
        <v>990</v>
      </c>
      <c r="G293" s="3246">
        <v>3170</v>
      </c>
    </row>
    <row r="294" spans="1:7" s="3222" customFormat="1" ht="14.25" customHeight="1">
      <c r="A294" s="3233" t="s">
        <v>306</v>
      </c>
      <c r="B294" s="3233" t="s">
        <v>3144</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2937</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3145</v>
      </c>
      <c r="C302" s="3233">
        <v>5520</v>
      </c>
      <c r="D302" s="3233">
        <v>5470</v>
      </c>
      <c r="E302" s="3233">
        <v>6410</v>
      </c>
      <c r="F302" s="3233">
        <v>950</v>
      </c>
      <c r="G302" s="3246">
        <v>3300</v>
      </c>
    </row>
    <row r="303" spans="1:7" s="3222" customFormat="1" ht="14.25" customHeight="1">
      <c r="A303" s="3233" t="s">
        <v>306</v>
      </c>
      <c r="B303" s="3233" t="s">
        <v>2957</v>
      </c>
      <c r="C303" s="3233">
        <v>5630</v>
      </c>
      <c r="D303" s="3233">
        <v>5590</v>
      </c>
      <c r="E303" s="3233">
        <v>6550</v>
      </c>
      <c r="F303" s="3233">
        <v>1010</v>
      </c>
      <c r="G303" s="3246">
        <v>3370</v>
      </c>
    </row>
    <row r="304" spans="1:7" s="3222" customFormat="1" ht="14.25" customHeight="1">
      <c r="A304" s="3233" t="s">
        <v>306</v>
      </c>
      <c r="B304" s="3233" t="s">
        <v>2964</v>
      </c>
      <c r="C304" s="3233">
        <v>5680</v>
      </c>
      <c r="D304" s="3233">
        <v>5620</v>
      </c>
      <c r="E304" s="3233">
        <v>6620</v>
      </c>
      <c r="F304" s="3233">
        <v>1050</v>
      </c>
      <c r="G304" s="3246">
        <v>3390</v>
      </c>
    </row>
    <row r="305" spans="1:7" s="3222" customFormat="1" ht="14.25" customHeight="1">
      <c r="A305" s="3233" t="s">
        <v>306</v>
      </c>
      <c r="B305" s="3233" t="s">
        <v>2970</v>
      </c>
      <c r="C305" s="3233">
        <v>5590</v>
      </c>
      <c r="D305" s="3233">
        <v>5530</v>
      </c>
      <c r="E305" s="3233">
        <v>6460</v>
      </c>
      <c r="F305" s="3233">
        <v>900</v>
      </c>
      <c r="G305" s="3246">
        <v>3340</v>
      </c>
    </row>
    <row r="306" spans="1:7" s="3222" customFormat="1" ht="14.25" customHeight="1">
      <c r="A306" s="3233" t="s">
        <v>306</v>
      </c>
      <c r="B306" s="3233" t="s">
        <v>3146</v>
      </c>
      <c r="C306" s="3233">
        <v>5560</v>
      </c>
      <c r="D306" s="3233">
        <v>5510</v>
      </c>
      <c r="E306" s="3233">
        <v>6440</v>
      </c>
      <c r="F306" s="3233">
        <v>900</v>
      </c>
      <c r="G306" s="3246">
        <v>3320</v>
      </c>
    </row>
    <row r="307" spans="1:7" s="3222" customFormat="1" ht="14.25" customHeight="1">
      <c r="A307" s="3233" t="s">
        <v>306</v>
      </c>
      <c r="B307" s="3233" t="s">
        <v>2982</v>
      </c>
      <c r="C307" s="3233">
        <v>5650</v>
      </c>
      <c r="D307" s="3233">
        <v>5600</v>
      </c>
      <c r="E307" s="3233">
        <v>6590</v>
      </c>
      <c r="F307" s="3233">
        <v>930</v>
      </c>
      <c r="G307" s="3246">
        <v>3380</v>
      </c>
    </row>
    <row r="308" spans="1:7" s="3222" customFormat="1" ht="14.25" customHeight="1">
      <c r="A308" s="3233" t="s">
        <v>306</v>
      </c>
      <c r="B308" s="3233" t="s">
        <v>3147</v>
      </c>
      <c r="C308" s="3233">
        <v>5620</v>
      </c>
      <c r="D308" s="3233">
        <v>5580</v>
      </c>
      <c r="E308" s="3233">
        <v>6540</v>
      </c>
      <c r="F308" s="3233">
        <v>910</v>
      </c>
      <c r="G308" s="3246">
        <v>3370</v>
      </c>
    </row>
    <row r="309" spans="1:7" s="3222" customFormat="1" ht="14.25" customHeight="1">
      <c r="A309" s="3233" t="s">
        <v>306</v>
      </c>
      <c r="B309" s="3233" t="s">
        <v>3148</v>
      </c>
      <c r="C309" s="3233">
        <v>5060</v>
      </c>
      <c r="D309" s="3233">
        <v>5020</v>
      </c>
      <c r="E309" s="3233">
        <v>6370</v>
      </c>
      <c r="F309" s="3233">
        <v>800</v>
      </c>
      <c r="G309" s="3246">
        <v>3020</v>
      </c>
    </row>
    <row r="310" spans="1:7" s="3222" customFormat="1" ht="14.25" customHeight="1">
      <c r="A310" s="3233" t="s">
        <v>306</v>
      </c>
      <c r="B310" s="3233" t="s">
        <v>2997</v>
      </c>
      <c r="C310" s="3233">
        <v>5150</v>
      </c>
      <c r="D310" s="3233">
        <v>5110</v>
      </c>
      <c r="E310" s="3233">
        <v>6500</v>
      </c>
      <c r="F310" s="3233">
        <v>880</v>
      </c>
      <c r="G310" s="3246">
        <v>3080</v>
      </c>
    </row>
    <row r="311" spans="1:7" s="3222" customFormat="1" ht="14.25" customHeight="1">
      <c r="A311" s="3233" t="s">
        <v>306</v>
      </c>
      <c r="B311" s="3233" t="s">
        <v>3149</v>
      </c>
      <c r="C311" s="3233">
        <v>4750</v>
      </c>
      <c r="D311" s="3233">
        <v>4710</v>
      </c>
      <c r="E311" s="3233">
        <v>5510</v>
      </c>
      <c r="F311" s="3233">
        <v>880</v>
      </c>
      <c r="G311" s="3246">
        <v>2840</v>
      </c>
    </row>
    <row r="312" spans="1:7" s="3222" customFormat="1" ht="14.25" customHeight="1">
      <c r="A312" s="3233" t="s">
        <v>306</v>
      </c>
      <c r="B312" s="3233" t="s">
        <v>3007</v>
      </c>
      <c r="C312" s="3233">
        <v>4690</v>
      </c>
      <c r="D312" s="3233">
        <v>4640</v>
      </c>
      <c r="E312" s="3233">
        <v>5420</v>
      </c>
      <c r="F312" s="3233">
        <v>800</v>
      </c>
      <c r="G312" s="3246">
        <v>2800</v>
      </c>
    </row>
    <row r="313" spans="1:7" s="3222" customFormat="1" ht="14.25" customHeight="1">
      <c r="A313" s="3233" t="s">
        <v>306</v>
      </c>
      <c r="B313" s="3233" t="s">
        <v>3012</v>
      </c>
      <c r="C313" s="3233">
        <v>4810</v>
      </c>
      <c r="D313" s="3233">
        <v>4760</v>
      </c>
      <c r="E313" s="3233">
        <v>5550</v>
      </c>
      <c r="F313" s="3233">
        <v>920</v>
      </c>
      <c r="G313" s="3246">
        <v>2870</v>
      </c>
    </row>
    <row r="314" spans="1:7" s="3222" customFormat="1" ht="14.25" customHeight="1">
      <c r="A314" s="3233" t="s">
        <v>306</v>
      </c>
      <c r="B314" s="3233" t="s">
        <v>3150</v>
      </c>
      <c r="C314" s="3233"/>
      <c r="D314" s="3233"/>
      <c r="E314" s="3233"/>
      <c r="F314" s="3233">
        <v>1020</v>
      </c>
      <c r="G314" s="3246"/>
    </row>
    <row r="315" spans="1:7" s="3222" customFormat="1" ht="14.25" customHeight="1">
      <c r="A315" s="3233" t="s">
        <v>306</v>
      </c>
      <c r="B315" s="3233" t="s">
        <v>3151</v>
      </c>
      <c r="C315" s="3233"/>
      <c r="D315" s="3233"/>
      <c r="E315" s="3233"/>
      <c r="F315" s="3233">
        <v>1050</v>
      </c>
      <c r="G315" s="3246"/>
    </row>
    <row r="316" spans="1:7" s="3222" customFormat="1" ht="14.25" customHeight="1">
      <c r="A316" s="3233" t="s">
        <v>306</v>
      </c>
      <c r="B316" s="3233" t="s">
        <v>3027</v>
      </c>
      <c r="C316" s="3233"/>
      <c r="D316" s="3233"/>
      <c r="E316" s="3233"/>
      <c r="F316" s="3233">
        <v>900</v>
      </c>
      <c r="G316" s="3246"/>
    </row>
    <row r="317" spans="1:7" s="3222" customFormat="1" ht="14.25" customHeight="1">
      <c r="A317" s="3233" t="s">
        <v>306</v>
      </c>
      <c r="B317" s="3233" t="s">
        <v>3152</v>
      </c>
      <c r="C317" s="3233"/>
      <c r="D317" s="3233"/>
      <c r="E317" s="3233"/>
      <c r="F317" s="3233">
        <v>920</v>
      </c>
      <c r="G317" s="3246"/>
    </row>
    <row r="318" spans="1:7" s="3222" customFormat="1" ht="14.25" customHeight="1">
      <c r="A318" s="3233" t="s">
        <v>306</v>
      </c>
      <c r="B318" s="3233" t="s">
        <v>3153</v>
      </c>
      <c r="C318" s="3233"/>
      <c r="D318" s="3233"/>
      <c r="E318" s="3233"/>
      <c r="F318" s="3233">
        <v>1080</v>
      </c>
      <c r="G318" s="3246"/>
    </row>
    <row r="319" spans="1:7" s="3222" customFormat="1" ht="14.25" customHeight="1">
      <c r="A319" s="3233" t="s">
        <v>306</v>
      </c>
      <c r="B319" s="3233" t="s">
        <v>3040</v>
      </c>
      <c r="C319" s="3233"/>
      <c r="D319" s="3233"/>
      <c r="E319" s="3233"/>
      <c r="F319" s="3233">
        <v>1020</v>
      </c>
      <c r="G319" s="3246"/>
    </row>
    <row r="320" spans="1:7" s="3222" customFormat="1" ht="14.25" customHeight="1">
      <c r="A320" s="3233" t="s">
        <v>306</v>
      </c>
      <c r="B320" s="3233" t="s">
        <v>3043</v>
      </c>
      <c r="C320" s="3233"/>
      <c r="D320" s="3233"/>
      <c r="E320" s="3233"/>
      <c r="F320" s="3233">
        <v>1050</v>
      </c>
      <c r="G320" s="3246"/>
    </row>
    <row r="321" spans="1:7" s="3222" customFormat="1" ht="14.25" customHeight="1">
      <c r="A321" s="3233" t="s">
        <v>306</v>
      </c>
      <c r="B321" s="3233" t="s">
        <v>3045</v>
      </c>
      <c r="C321" s="3233"/>
      <c r="D321" s="3233"/>
      <c r="E321" s="3233"/>
      <c r="F321" s="3233">
        <v>960</v>
      </c>
      <c r="G321" s="3246"/>
    </row>
    <row r="322" spans="1:7" s="3222" customFormat="1" ht="14.25" customHeight="1">
      <c r="A322" s="3233" t="s">
        <v>306</v>
      </c>
      <c r="B322" s="3233" t="s">
        <v>3047</v>
      </c>
      <c r="C322" s="3233"/>
      <c r="D322" s="3233"/>
      <c r="E322" s="3233"/>
      <c r="F322" s="3233">
        <v>960</v>
      </c>
      <c r="G322" s="3246"/>
    </row>
    <row r="323" spans="1:7" s="3222" customFormat="1" ht="14.25" customHeight="1">
      <c r="A323" s="3233" t="s">
        <v>306</v>
      </c>
      <c r="B323" s="3233" t="s">
        <v>3049</v>
      </c>
      <c r="C323" s="3233"/>
      <c r="D323" s="3233"/>
      <c r="E323" s="3233"/>
      <c r="F323" s="3233">
        <v>880</v>
      </c>
      <c r="G323" s="3246"/>
    </row>
    <row r="324" spans="1:7" s="3222" customFormat="1" ht="14.25" customHeight="1">
      <c r="A324" s="3233" t="s">
        <v>306</v>
      </c>
      <c r="B324" s="3233" t="s">
        <v>3051</v>
      </c>
      <c r="C324" s="3233"/>
      <c r="D324" s="3233"/>
      <c r="E324" s="3233"/>
      <c r="F324" s="3233">
        <v>930</v>
      </c>
      <c r="G324" s="3246"/>
    </row>
    <row r="325" spans="1:7" s="3222" customFormat="1" ht="14.25" customHeight="1">
      <c r="A325" s="3233" t="s">
        <v>306</v>
      </c>
      <c r="B325" s="3234" t="s">
        <v>3053</v>
      </c>
      <c r="C325" s="3233"/>
      <c r="D325" s="3233"/>
      <c r="E325" s="3233"/>
      <c r="F325" s="3233">
        <v>900</v>
      </c>
      <c r="G325" s="3246"/>
    </row>
    <row r="326" spans="1:7" s="3222" customFormat="1" ht="14.25" customHeight="1" thickBot="1">
      <c r="A326" s="3247" t="s">
        <v>306</v>
      </c>
      <c r="B326" s="3240" t="s">
        <v>3055</v>
      </c>
      <c r="C326" s="3240"/>
      <c r="D326" s="3240"/>
      <c r="E326" s="3240"/>
      <c r="F326" s="3240">
        <v>790</v>
      </c>
      <c r="G326" s="3248"/>
    </row>
    <row r="327" spans="1:7" s="3222" customFormat="1" ht="14.25" customHeight="1">
      <c r="A327" s="3238" t="s">
        <v>307</v>
      </c>
      <c r="B327" s="3229" t="s">
        <v>3154</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3155</v>
      </c>
      <c r="C329" s="3233">
        <v>2730</v>
      </c>
      <c r="D329" s="3233">
        <v>2690</v>
      </c>
      <c r="E329" s="3233">
        <v>3100</v>
      </c>
      <c r="F329" s="3233">
        <v>660</v>
      </c>
      <c r="G329" s="3233">
        <v>1610</v>
      </c>
    </row>
    <row r="330" spans="1:7" s="3222" customFormat="1" ht="14.25" customHeight="1">
      <c r="A330" s="3233" t="s">
        <v>307</v>
      </c>
      <c r="B330" s="3233" t="s">
        <v>3156</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2889</v>
      </c>
      <c r="C332" s="3233">
        <v>3520</v>
      </c>
      <c r="D332" s="3233">
        <v>3480</v>
      </c>
      <c r="E332" s="3233">
        <v>3830</v>
      </c>
      <c r="F332" s="3233">
        <v>720</v>
      </c>
      <c r="G332" s="3233">
        <v>2090</v>
      </c>
    </row>
    <row r="333" spans="1:7" s="3222" customFormat="1" ht="14.25" customHeight="1">
      <c r="A333" s="3233" t="s">
        <v>307</v>
      </c>
      <c r="B333" s="3233" t="s">
        <v>3157</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2899</v>
      </c>
      <c r="C336" s="3233">
        <v>3570</v>
      </c>
      <c r="D336" s="3233">
        <v>3530</v>
      </c>
      <c r="E336" s="3233">
        <v>3880</v>
      </c>
      <c r="F336" s="3233">
        <v>770</v>
      </c>
      <c r="G336" s="3233">
        <v>2110</v>
      </c>
    </row>
    <row r="337" spans="1:10" s="3222" customFormat="1" ht="14.25" customHeight="1">
      <c r="A337" s="3233" t="s">
        <v>307</v>
      </c>
      <c r="B337" s="3233" t="s">
        <v>3158</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3159</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3160</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2924</v>
      </c>
      <c r="C345" s="3233">
        <v>3190</v>
      </c>
      <c r="D345" s="3233">
        <v>3140</v>
      </c>
      <c r="E345" s="3233">
        <v>3450</v>
      </c>
      <c r="F345" s="3233">
        <v>720</v>
      </c>
      <c r="G345" s="3233">
        <v>1880</v>
      </c>
      <c r="J345" s="3222"/>
    </row>
    <row r="346" spans="1:10">
      <c r="A346" s="3233" t="s">
        <v>307</v>
      </c>
      <c r="B346" s="3233" t="s">
        <v>3161</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2933</v>
      </c>
      <c r="C348" s="3233">
        <v>4000</v>
      </c>
      <c r="D348" s="3233">
        <v>3950</v>
      </c>
      <c r="E348" s="3233">
        <v>4430</v>
      </c>
      <c r="F348" s="3233">
        <v>760</v>
      </c>
      <c r="G348" s="3233">
        <v>2360</v>
      </c>
      <c r="J348" s="3222"/>
    </row>
    <row r="349" spans="1:10">
      <c r="A349" s="3233" t="s">
        <v>307</v>
      </c>
      <c r="B349" s="3233" t="s">
        <v>2938</v>
      </c>
      <c r="C349" s="3233">
        <v>3820</v>
      </c>
      <c r="D349" s="3233">
        <v>3780</v>
      </c>
      <c r="E349" s="3233">
        <v>4170</v>
      </c>
      <c r="F349" s="3233">
        <v>710</v>
      </c>
      <c r="G349" s="3233">
        <v>2260</v>
      </c>
      <c r="J349" s="3222"/>
    </row>
    <row r="350" spans="1:10">
      <c r="A350" s="3233" t="s">
        <v>307</v>
      </c>
      <c r="B350" s="3233" t="s">
        <v>3162</v>
      </c>
      <c r="C350" s="3233">
        <v>3760</v>
      </c>
      <c r="D350" s="3233">
        <v>3730</v>
      </c>
      <c r="E350" s="3233">
        <v>4100</v>
      </c>
      <c r="F350" s="3233">
        <v>800</v>
      </c>
      <c r="G350" s="3233">
        <v>2230</v>
      </c>
      <c r="J350" s="3222"/>
    </row>
    <row r="351" spans="1:10">
      <c r="A351" s="3233" t="s">
        <v>307</v>
      </c>
      <c r="B351" s="3233" t="s">
        <v>2946</v>
      </c>
      <c r="C351" s="3233">
        <v>3610</v>
      </c>
      <c r="D351" s="3233">
        <v>3580</v>
      </c>
      <c r="E351" s="3233">
        <v>3930</v>
      </c>
      <c r="F351" s="3233">
        <v>700</v>
      </c>
      <c r="G351" s="3233">
        <v>2140</v>
      </c>
      <c r="J351" s="3222"/>
    </row>
    <row r="352" spans="1:10">
      <c r="A352" s="3233" t="s">
        <v>307</v>
      </c>
      <c r="B352" s="3233" t="s">
        <v>2951</v>
      </c>
      <c r="C352" s="3233">
        <v>3670</v>
      </c>
      <c r="D352" s="3233">
        <v>3630</v>
      </c>
      <c r="E352" s="3233">
        <v>4000</v>
      </c>
      <c r="F352" s="3233">
        <v>750</v>
      </c>
      <c r="G352" s="3233">
        <v>2180</v>
      </c>
    </row>
    <row r="353" spans="1:7" s="3226" customFormat="1">
      <c r="A353" s="3233" t="s">
        <v>307</v>
      </c>
      <c r="B353" s="3233" t="s">
        <v>3163</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2971</v>
      </c>
      <c r="C355" s="3233">
        <v>3650</v>
      </c>
      <c r="D355" s="3233">
        <v>3610</v>
      </c>
      <c r="E355" s="3233">
        <v>4200</v>
      </c>
      <c r="F355" s="3233">
        <v>640</v>
      </c>
      <c r="G355" s="3233">
        <v>2160</v>
      </c>
    </row>
    <row r="356" spans="1:7" s="3226" customFormat="1">
      <c r="A356" s="3233" t="s">
        <v>307</v>
      </c>
      <c r="B356" s="3233" t="s">
        <v>2978</v>
      </c>
      <c r="C356" s="3233">
        <v>3260</v>
      </c>
      <c r="D356" s="3233">
        <v>3230</v>
      </c>
      <c r="E356" s="3233">
        <v>3740</v>
      </c>
      <c r="F356" s="3233">
        <v>600</v>
      </c>
      <c r="G356" s="3233">
        <v>1930</v>
      </c>
    </row>
    <row r="357" spans="1:7" s="3226" customFormat="1" ht="12" thickBot="1">
      <c r="A357" s="3241" t="s">
        <v>307</v>
      </c>
      <c r="B357" s="3244" t="s">
        <v>3164</v>
      </c>
      <c r="C357" s="3244">
        <v>3690</v>
      </c>
      <c r="D357" s="3244">
        <v>3650</v>
      </c>
      <c r="E357" s="3244">
        <v>4020</v>
      </c>
      <c r="F357" s="3244">
        <v>700</v>
      </c>
      <c r="G357" s="3244">
        <v>2190</v>
      </c>
    </row>
    <row r="358" spans="1:7" s="3226" customFormat="1">
      <c r="A358" s="3238" t="s">
        <v>3165</v>
      </c>
      <c r="B358" s="3229" t="s">
        <v>3166</v>
      </c>
      <c r="C358" s="3229">
        <v>2080</v>
      </c>
      <c r="D358" s="3229">
        <v>2040</v>
      </c>
      <c r="E358" s="3229">
        <v>2010</v>
      </c>
      <c r="F358" s="3229">
        <v>530</v>
      </c>
      <c r="G358" s="3245">
        <v>1230</v>
      </c>
    </row>
    <row r="359" spans="1:7" s="3226" customFormat="1">
      <c r="A359" s="3233" t="s">
        <v>3165</v>
      </c>
      <c r="B359" s="3233" t="s">
        <v>3167</v>
      </c>
      <c r="C359" s="3233">
        <v>1850</v>
      </c>
      <c r="D359" s="3233">
        <v>1820</v>
      </c>
      <c r="E359" s="3233">
        <v>1780</v>
      </c>
      <c r="F359" s="3233">
        <v>520</v>
      </c>
      <c r="G359" s="3246">
        <v>1100</v>
      </c>
    </row>
    <row r="360" spans="1:7" s="3226" customFormat="1">
      <c r="A360" s="3233" t="s">
        <v>3165</v>
      </c>
      <c r="B360" s="3233" t="s">
        <v>3168</v>
      </c>
      <c r="C360" s="3233">
        <v>2020</v>
      </c>
      <c r="D360" s="3233">
        <v>1990</v>
      </c>
      <c r="E360" s="3233">
        <v>1950</v>
      </c>
      <c r="F360" s="3233">
        <v>500</v>
      </c>
      <c r="G360" s="3246">
        <v>1200</v>
      </c>
    </row>
    <row r="361" spans="1:7" s="3226" customFormat="1">
      <c r="A361" s="3233" t="s">
        <v>3165</v>
      </c>
      <c r="B361" s="3233" t="s">
        <v>153</v>
      </c>
      <c r="C361" s="3233">
        <v>2260</v>
      </c>
      <c r="D361" s="3233">
        <v>2220</v>
      </c>
      <c r="E361" s="3233">
        <v>2180</v>
      </c>
      <c r="F361" s="3233">
        <v>580</v>
      </c>
      <c r="G361" s="3246">
        <v>1340</v>
      </c>
    </row>
    <row r="362" spans="1:7" s="3226" customFormat="1">
      <c r="A362" s="3233" t="s">
        <v>3165</v>
      </c>
      <c r="B362" s="3233" t="s">
        <v>3169</v>
      </c>
      <c r="C362" s="3233">
        <v>2650</v>
      </c>
      <c r="D362" s="3233">
        <v>2610</v>
      </c>
      <c r="E362" s="3233">
        <v>2570</v>
      </c>
      <c r="F362" s="3233">
        <v>630</v>
      </c>
      <c r="G362" s="3246">
        <v>1570</v>
      </c>
    </row>
    <row r="363" spans="1:7" s="3226" customFormat="1">
      <c r="A363" s="3233" t="s">
        <v>3165</v>
      </c>
      <c r="B363" s="3233" t="s">
        <v>2890</v>
      </c>
      <c r="C363" s="3233">
        <v>2390</v>
      </c>
      <c r="D363" s="3233">
        <v>2360</v>
      </c>
      <c r="E363" s="3233">
        <v>2320</v>
      </c>
      <c r="F363" s="3233">
        <v>600</v>
      </c>
      <c r="G363" s="3246">
        <v>1420</v>
      </c>
    </row>
    <row r="364" spans="1:7" s="3226" customFormat="1">
      <c r="A364" s="3233" t="s">
        <v>3165</v>
      </c>
      <c r="B364" s="3233" t="s">
        <v>3170</v>
      </c>
      <c r="C364" s="3233">
        <v>2050</v>
      </c>
      <c r="D364" s="3233">
        <v>2030</v>
      </c>
      <c r="E364" s="3233">
        <v>1990</v>
      </c>
      <c r="F364" s="3233">
        <v>550</v>
      </c>
      <c r="G364" s="3246">
        <v>1220</v>
      </c>
    </row>
    <row r="365" spans="1:7" s="3226" customFormat="1">
      <c r="A365" s="3233" t="s">
        <v>3165</v>
      </c>
      <c r="B365" s="3233" t="s">
        <v>200</v>
      </c>
      <c r="C365" s="3233">
        <v>2140</v>
      </c>
      <c r="D365" s="3233">
        <v>2100</v>
      </c>
      <c r="E365" s="3233">
        <v>2060</v>
      </c>
      <c r="F365" s="3233">
        <v>540</v>
      </c>
      <c r="G365" s="3246">
        <v>1270</v>
      </c>
    </row>
    <row r="366" spans="1:7" s="3226" customFormat="1">
      <c r="A366" s="3233" t="s">
        <v>3165</v>
      </c>
      <c r="B366" s="3233" t="s">
        <v>2897</v>
      </c>
      <c r="C366" s="3233">
        <v>2410</v>
      </c>
      <c r="D366" s="3233">
        <v>2370</v>
      </c>
      <c r="E366" s="3233">
        <v>2330</v>
      </c>
      <c r="F366" s="3233">
        <v>570</v>
      </c>
      <c r="G366" s="3246">
        <v>1440</v>
      </c>
    </row>
    <row r="367" spans="1:7" s="3226" customFormat="1">
      <c r="A367" s="3233" t="s">
        <v>3165</v>
      </c>
      <c r="B367" s="3233" t="s">
        <v>3171</v>
      </c>
      <c r="C367" s="3233">
        <v>2300</v>
      </c>
      <c r="D367" s="3233">
        <v>2260</v>
      </c>
      <c r="E367" s="3233">
        <v>2220</v>
      </c>
      <c r="F367" s="3233">
        <v>560</v>
      </c>
      <c r="G367" s="3246">
        <v>1370</v>
      </c>
    </row>
    <row r="368" spans="1:7" s="3226" customFormat="1">
      <c r="A368" s="3233" t="s">
        <v>3165</v>
      </c>
      <c r="B368" s="3233" t="s">
        <v>3172</v>
      </c>
      <c r="C368" s="3233">
        <v>2430</v>
      </c>
      <c r="D368" s="3233">
        <v>2390</v>
      </c>
      <c r="E368" s="3233">
        <v>2350</v>
      </c>
      <c r="F368" s="3233">
        <v>570</v>
      </c>
      <c r="G368" s="3246">
        <v>1450</v>
      </c>
    </row>
    <row r="369" spans="1:7" s="3226" customFormat="1">
      <c r="A369" s="3233" t="s">
        <v>3165</v>
      </c>
      <c r="B369" s="3233" t="s">
        <v>214</v>
      </c>
      <c r="C369" s="3233">
        <v>2320</v>
      </c>
      <c r="D369" s="3233">
        <v>2290</v>
      </c>
      <c r="E369" s="3233">
        <v>2250</v>
      </c>
      <c r="F369" s="3233">
        <v>550</v>
      </c>
      <c r="G369" s="3246">
        <v>1380</v>
      </c>
    </row>
    <row r="370" spans="1:7" s="3226" customFormat="1">
      <c r="A370" s="3233" t="s">
        <v>3165</v>
      </c>
      <c r="B370" s="3233" t="s">
        <v>221</v>
      </c>
      <c r="C370" s="3233">
        <v>2190</v>
      </c>
      <c r="D370" s="3233">
        <v>2170</v>
      </c>
      <c r="E370" s="3233">
        <v>2130</v>
      </c>
      <c r="F370" s="3233">
        <v>530</v>
      </c>
      <c r="G370" s="3246">
        <v>1310</v>
      </c>
    </row>
    <row r="371" spans="1:7" s="3226" customFormat="1">
      <c r="A371" s="3233" t="s">
        <v>3165</v>
      </c>
      <c r="B371" s="3233" t="s">
        <v>229</v>
      </c>
      <c r="C371" s="3233">
        <v>2460</v>
      </c>
      <c r="D371" s="3233">
        <v>2420</v>
      </c>
      <c r="E371" s="3233">
        <v>2370</v>
      </c>
      <c r="F371" s="3233">
        <v>560</v>
      </c>
      <c r="G371" s="3246">
        <v>1470</v>
      </c>
    </row>
    <row r="372" spans="1:7" s="3226" customFormat="1">
      <c r="A372" s="3233" t="s">
        <v>3165</v>
      </c>
      <c r="B372" s="3233" t="s">
        <v>3173</v>
      </c>
      <c r="C372" s="3233">
        <v>2250</v>
      </c>
      <c r="D372" s="3233">
        <v>2210</v>
      </c>
      <c r="E372" s="3233">
        <v>2180</v>
      </c>
      <c r="F372" s="3233">
        <v>550</v>
      </c>
      <c r="G372" s="3246">
        <v>1340</v>
      </c>
    </row>
    <row r="373" spans="1:7" s="3226" customFormat="1">
      <c r="A373" s="3233" t="s">
        <v>3165</v>
      </c>
      <c r="B373" s="3233" t="s">
        <v>258</v>
      </c>
      <c r="C373" s="3233">
        <v>2210</v>
      </c>
      <c r="D373" s="3233">
        <v>2190</v>
      </c>
      <c r="E373" s="3233">
        <v>2150</v>
      </c>
      <c r="F373" s="3233">
        <v>530</v>
      </c>
      <c r="G373" s="3246">
        <v>1320</v>
      </c>
    </row>
    <row r="374" spans="1:7" s="3226" customFormat="1">
      <c r="A374" s="3233" t="s">
        <v>3165</v>
      </c>
      <c r="B374" s="3233" t="s">
        <v>266</v>
      </c>
      <c r="C374" s="3233">
        <v>2320</v>
      </c>
      <c r="D374" s="3233">
        <v>2280</v>
      </c>
      <c r="E374" s="3233">
        <v>2230</v>
      </c>
      <c r="F374" s="3233">
        <v>580</v>
      </c>
      <c r="G374" s="3246">
        <v>1380</v>
      </c>
    </row>
    <row r="375" spans="1:7" s="3226" customFormat="1">
      <c r="A375" s="3233" t="s">
        <v>3165</v>
      </c>
      <c r="B375" s="3233" t="s">
        <v>3174</v>
      </c>
      <c r="C375" s="3233">
        <v>2090</v>
      </c>
      <c r="D375" s="3233">
        <v>2050</v>
      </c>
      <c r="E375" s="3233">
        <v>2020</v>
      </c>
      <c r="F375" s="3233">
        <v>520</v>
      </c>
      <c r="G375" s="3246">
        <v>1240</v>
      </c>
    </row>
    <row r="376" spans="1:7" s="3226" customFormat="1">
      <c r="A376" s="3233" t="s">
        <v>3165</v>
      </c>
      <c r="B376" s="3233" t="s">
        <v>277</v>
      </c>
      <c r="C376" s="3233">
        <v>2010</v>
      </c>
      <c r="D376" s="3233">
        <v>1980</v>
      </c>
      <c r="E376" s="3233">
        <v>1940</v>
      </c>
      <c r="F376" s="3233">
        <v>540</v>
      </c>
      <c r="G376" s="3246">
        <v>1190</v>
      </c>
    </row>
    <row r="377" spans="1:7" s="3226" customFormat="1" ht="12" thickBot="1">
      <c r="A377" s="3241" t="s">
        <v>3165</v>
      </c>
      <c r="B377" s="3244" t="s">
        <v>2927</v>
      </c>
      <c r="C377" s="3244">
        <v>1930</v>
      </c>
      <c r="D377" s="3244">
        <v>1890</v>
      </c>
      <c r="E377" s="3244">
        <v>1860</v>
      </c>
      <c r="F377" s="3244">
        <v>530</v>
      </c>
      <c r="G377" s="3249">
        <v>1150</v>
      </c>
    </row>
    <row r="378" spans="1:7" s="3226" customFormat="1">
      <c r="A378" s="3250" t="s">
        <v>3175</v>
      </c>
      <c r="B378" s="3229" t="s">
        <v>3176</v>
      </c>
      <c r="C378" s="3229">
        <v>1520</v>
      </c>
      <c r="D378" s="3229">
        <v>1490</v>
      </c>
      <c r="E378" s="3229">
        <v>1460</v>
      </c>
      <c r="F378" s="3229">
        <v>460</v>
      </c>
      <c r="G378" s="3245">
        <v>940</v>
      </c>
    </row>
    <row r="379" spans="1:7" s="3226" customFormat="1">
      <c r="A379" s="3251" t="s">
        <v>3175</v>
      </c>
      <c r="B379" s="3233" t="s">
        <v>3177</v>
      </c>
      <c r="C379" s="3233">
        <v>1500</v>
      </c>
      <c r="D379" s="3233">
        <v>1470</v>
      </c>
      <c r="E379" s="3233">
        <v>1430</v>
      </c>
      <c r="F379" s="3233">
        <v>460</v>
      </c>
      <c r="G379" s="3246">
        <v>920</v>
      </c>
    </row>
    <row r="380" spans="1:7" s="3226" customFormat="1">
      <c r="A380" s="3251" t="s">
        <v>3175</v>
      </c>
      <c r="B380" s="3233" t="s">
        <v>3178</v>
      </c>
      <c r="C380" s="3233">
        <v>1620</v>
      </c>
      <c r="D380" s="3233">
        <v>1590</v>
      </c>
      <c r="E380" s="3233">
        <v>1560</v>
      </c>
      <c r="F380" s="3233">
        <v>480</v>
      </c>
      <c r="G380" s="3246">
        <v>1000</v>
      </c>
    </row>
    <row r="381" spans="1:7" s="3226" customFormat="1">
      <c r="A381" s="3251" t="s">
        <v>3175</v>
      </c>
      <c r="B381" s="3233" t="s">
        <v>3179</v>
      </c>
      <c r="C381" s="3233">
        <v>1460</v>
      </c>
      <c r="D381" s="3233">
        <v>1430</v>
      </c>
      <c r="E381" s="3233">
        <v>1390</v>
      </c>
      <c r="F381" s="3233">
        <v>450</v>
      </c>
      <c r="G381" s="3246">
        <v>900</v>
      </c>
    </row>
    <row r="382" spans="1:7" s="3226" customFormat="1">
      <c r="A382" s="3251" t="s">
        <v>3175</v>
      </c>
      <c r="B382" s="3233" t="s">
        <v>3180</v>
      </c>
      <c r="C382" s="3233">
        <v>1310</v>
      </c>
      <c r="D382" s="3233">
        <v>1280</v>
      </c>
      <c r="E382" s="3233">
        <v>1250</v>
      </c>
      <c r="F382" s="3233">
        <v>440</v>
      </c>
      <c r="G382" s="3246">
        <v>800</v>
      </c>
    </row>
    <row r="383" spans="1:7" s="3226" customFormat="1">
      <c r="A383" s="3251" t="s">
        <v>3175</v>
      </c>
      <c r="B383" s="3233" t="s">
        <v>3181</v>
      </c>
      <c r="C383" s="3233">
        <v>1260</v>
      </c>
      <c r="D383" s="3233">
        <v>1230</v>
      </c>
      <c r="E383" s="3233">
        <v>1200</v>
      </c>
      <c r="F383" s="3233">
        <v>420</v>
      </c>
      <c r="G383" s="3246">
        <v>770</v>
      </c>
    </row>
    <row r="384" spans="1:7" s="3226" customFormat="1" ht="12" thickBot="1">
      <c r="A384" s="3252" t="s">
        <v>3175</v>
      </c>
      <c r="B384" s="3240" t="s">
        <v>3182</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22" t="s">
        <v>3183</v>
      </c>
      <c r="B1" s="3822"/>
    </row>
    <row r="2" spans="1:7" ht="14.25" thickBot="1">
      <c r="A2" s="3255"/>
      <c r="B2" s="3255"/>
    </row>
    <row r="3" spans="1:7" ht="14.25" thickBot="1">
      <c r="A3" s="3255"/>
      <c r="B3" s="3255"/>
      <c r="C3" s="3256" t="s">
        <v>2813</v>
      </c>
      <c r="D3" s="3256" t="s">
        <v>2869</v>
      </c>
      <c r="E3" s="3256" t="s">
        <v>2815</v>
      </c>
      <c r="F3" s="3256" t="s">
        <v>2870</v>
      </c>
      <c r="G3" s="3256" t="s">
        <v>2633</v>
      </c>
    </row>
    <row r="4" spans="1:7" ht="14.25" thickBot="1">
      <c r="A4" s="3257" t="s">
        <v>2868</v>
      </c>
      <c r="B4" s="3258" t="s">
        <v>2874</v>
      </c>
      <c r="C4" s="3256"/>
      <c r="D4" s="3256"/>
      <c r="E4" s="3256"/>
      <c r="F4" s="3256"/>
      <c r="G4" s="3256"/>
    </row>
    <row r="5" spans="1:7">
      <c r="A5" s="3259" t="s">
        <v>2842</v>
      </c>
      <c r="B5" s="3260" t="s">
        <v>2856</v>
      </c>
      <c r="C5" s="3261">
        <v>9.8000000000000004E-2</v>
      </c>
      <c r="D5" s="3261">
        <v>8.6999999999999994E-2</v>
      </c>
      <c r="E5" s="3261">
        <v>8.6999999999999994E-2</v>
      </c>
      <c r="F5" s="3261">
        <v>9.8000000000000004E-2</v>
      </c>
      <c r="G5" s="3262">
        <v>9.5000000000000001E-2</v>
      </c>
    </row>
    <row r="6" spans="1:7">
      <c r="A6" s="3263" t="s">
        <v>144</v>
      </c>
      <c r="B6" s="3264" t="s">
        <v>2871</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2857</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2907</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2925</v>
      </c>
      <c r="C29" s="3273"/>
      <c r="D29" s="3269">
        <v>5.1999999999999998E-2</v>
      </c>
      <c r="E29" s="3269">
        <v>7.0000000000000007E-2</v>
      </c>
      <c r="F29" s="3273"/>
      <c r="G29" s="3271">
        <v>7.0999999999999994E-2</v>
      </c>
    </row>
    <row r="30" spans="1:7">
      <c r="A30" s="3274" t="s">
        <v>296</v>
      </c>
      <c r="B30" s="3260" t="s">
        <v>2858</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2844</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2928</v>
      </c>
      <c r="C50" s="3265">
        <v>9.8000000000000004E-2</v>
      </c>
      <c r="D50" s="3265">
        <v>7.2999999999999995E-2</v>
      </c>
      <c r="E50" s="3265">
        <v>7.0999999999999994E-2</v>
      </c>
      <c r="F50" s="3276"/>
      <c r="G50" s="3266">
        <v>7.2999999999999995E-2</v>
      </c>
    </row>
    <row r="51" spans="1:7">
      <c r="A51" s="3275" t="s">
        <v>296</v>
      </c>
      <c r="B51" s="3264" t="s">
        <v>2930</v>
      </c>
      <c r="C51" s="3265">
        <v>9.9000000000000005E-2</v>
      </c>
      <c r="D51" s="3265">
        <v>8.5000000000000006E-2</v>
      </c>
      <c r="E51" s="3265">
        <v>6.3E-2</v>
      </c>
      <c r="F51" s="3276"/>
      <c r="G51" s="3266">
        <v>9.6000000000000002E-2</v>
      </c>
    </row>
    <row r="52" spans="1:7">
      <c r="A52" s="3275" t="s">
        <v>296</v>
      </c>
      <c r="B52" s="3264" t="s">
        <v>2934</v>
      </c>
      <c r="C52" s="3265">
        <v>7.3999999999999996E-2</v>
      </c>
      <c r="D52" s="3265">
        <v>9.6000000000000002E-2</v>
      </c>
      <c r="E52" s="3265">
        <v>0.05</v>
      </c>
      <c r="F52" s="3276"/>
      <c r="G52" s="3266">
        <v>9.8000000000000004E-2</v>
      </c>
    </row>
    <row r="53" spans="1:7">
      <c r="A53" s="3275" t="s">
        <v>296</v>
      </c>
      <c r="B53" s="3264" t="s">
        <v>2939</v>
      </c>
      <c r="C53" s="3265">
        <v>8.5999999999999993E-2</v>
      </c>
      <c r="D53" s="3276"/>
      <c r="E53" s="3265">
        <v>9.1999999999999998E-2</v>
      </c>
      <c r="F53" s="3276"/>
      <c r="G53" s="3277"/>
    </row>
    <row r="54" spans="1:7" ht="14.25" thickBot="1">
      <c r="A54" s="3278" t="s">
        <v>296</v>
      </c>
      <c r="B54" s="3268" t="s">
        <v>2942</v>
      </c>
      <c r="C54" s="3269">
        <v>9.6000000000000002E-2</v>
      </c>
      <c r="D54" s="3270"/>
      <c r="E54" s="3279"/>
      <c r="F54" s="3270"/>
      <c r="G54" s="3280"/>
    </row>
    <row r="55" spans="1:7">
      <c r="A55" s="3274" t="s">
        <v>110</v>
      </c>
      <c r="B55" s="3260" t="s">
        <v>2859</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2940</v>
      </c>
      <c r="C78" s="3265">
        <v>0.1</v>
      </c>
      <c r="D78" s="3265">
        <v>8.5000000000000006E-2</v>
      </c>
      <c r="E78" s="3265">
        <v>9.6000000000000002E-2</v>
      </c>
      <c r="F78" s="3276"/>
      <c r="G78" s="3266">
        <v>9.6000000000000002E-2</v>
      </c>
    </row>
    <row r="79" spans="1:7">
      <c r="A79" s="3275" t="s">
        <v>110</v>
      </c>
      <c r="B79" s="3264" t="s">
        <v>2943</v>
      </c>
      <c r="C79" s="3265">
        <v>0.05</v>
      </c>
      <c r="D79" s="3265">
        <v>9.6000000000000002E-2</v>
      </c>
      <c r="E79" s="3265">
        <v>9.5000000000000001E-2</v>
      </c>
      <c r="F79" s="3276"/>
      <c r="G79" s="3266">
        <v>9.8000000000000004E-2</v>
      </c>
    </row>
    <row r="80" spans="1:7">
      <c r="A80" s="3275" t="s">
        <v>110</v>
      </c>
      <c r="B80" s="3264" t="s">
        <v>2947</v>
      </c>
      <c r="C80" s="3265">
        <v>8.5999999999999993E-2</v>
      </c>
      <c r="D80" s="3281"/>
      <c r="E80" s="3265">
        <v>0.1</v>
      </c>
      <c r="F80" s="3276"/>
      <c r="G80" s="3277"/>
    </row>
    <row r="81" spans="1:7">
      <c r="A81" s="3275" t="s">
        <v>110</v>
      </c>
      <c r="B81" s="3264" t="s">
        <v>2952</v>
      </c>
      <c r="C81" s="3265">
        <v>9.6000000000000002E-2</v>
      </c>
      <c r="D81" s="3276"/>
      <c r="E81" s="3265">
        <v>9.8000000000000004E-2</v>
      </c>
      <c r="F81" s="3276"/>
      <c r="G81" s="3277"/>
    </row>
    <row r="82" spans="1:7">
      <c r="A82" s="3275" t="s">
        <v>110</v>
      </c>
      <c r="B82" s="3264" t="s">
        <v>2959</v>
      </c>
      <c r="C82" s="3281"/>
      <c r="D82" s="3276"/>
      <c r="E82" s="3265">
        <v>7.6999999999999999E-2</v>
      </c>
      <c r="F82" s="3276"/>
      <c r="G82" s="3277"/>
    </row>
    <row r="83" spans="1:7">
      <c r="A83" s="3275" t="s">
        <v>110</v>
      </c>
      <c r="B83" s="3264" t="s">
        <v>2965</v>
      </c>
      <c r="C83" s="3276"/>
      <c r="D83" s="3276"/>
      <c r="E83" s="3276"/>
      <c r="F83" s="3265">
        <v>0.1</v>
      </c>
      <c r="G83" s="3282"/>
    </row>
    <row r="84" spans="1:7">
      <c r="A84" s="3275" t="s">
        <v>110</v>
      </c>
      <c r="B84" s="3264" t="s">
        <v>2972</v>
      </c>
      <c r="C84" s="3276"/>
      <c r="D84" s="3276"/>
      <c r="E84" s="3276"/>
      <c r="F84" s="3265">
        <v>0.1</v>
      </c>
      <c r="G84" s="3282"/>
    </row>
    <row r="85" spans="1:7">
      <c r="A85" s="3275" t="s">
        <v>110</v>
      </c>
      <c r="B85" s="3264" t="s">
        <v>2979</v>
      </c>
      <c r="C85" s="3276"/>
      <c r="D85" s="3276"/>
      <c r="E85" s="3276"/>
      <c r="F85" s="3265">
        <v>0.1</v>
      </c>
      <c r="G85" s="3282"/>
    </row>
    <row r="86" spans="1:7" ht="14.25" thickBot="1">
      <c r="A86" s="3278" t="s">
        <v>110</v>
      </c>
      <c r="B86" s="3268" t="s">
        <v>2984</v>
      </c>
      <c r="C86" s="3269">
        <v>9.8000000000000004E-2</v>
      </c>
      <c r="D86" s="3269">
        <v>9.8000000000000004E-2</v>
      </c>
      <c r="E86" s="3269">
        <v>9.6000000000000002E-2</v>
      </c>
      <c r="F86" s="3279"/>
      <c r="G86" s="3271">
        <v>0.1</v>
      </c>
    </row>
    <row r="87" spans="1:7">
      <c r="A87" s="3274" t="s">
        <v>303</v>
      </c>
      <c r="B87" s="3260" t="s">
        <v>2860</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2953</v>
      </c>
      <c r="C113" s="3265">
        <v>0.1</v>
      </c>
      <c r="D113" s="3265">
        <v>0.1</v>
      </c>
      <c r="E113" s="3276"/>
      <c r="F113" s="3276"/>
      <c r="G113" s="3266">
        <v>0.1</v>
      </c>
    </row>
    <row r="114" spans="1:7">
      <c r="A114" s="3275" t="s">
        <v>303</v>
      </c>
      <c r="B114" s="3264" t="s">
        <v>2960</v>
      </c>
      <c r="C114" s="3265">
        <v>9.7000000000000003E-2</v>
      </c>
      <c r="D114" s="3265">
        <v>9.7000000000000003E-2</v>
      </c>
      <c r="E114" s="3276"/>
      <c r="F114" s="3276"/>
      <c r="G114" s="3266">
        <v>9.9000000000000005E-2</v>
      </c>
    </row>
    <row r="115" spans="1:7">
      <c r="A115" s="3275" t="s">
        <v>303</v>
      </c>
      <c r="B115" s="3264" t="s">
        <v>2966</v>
      </c>
      <c r="C115" s="3265">
        <v>0.1</v>
      </c>
      <c r="D115" s="3265">
        <v>0.1</v>
      </c>
      <c r="E115" s="3276"/>
      <c r="F115" s="3276"/>
      <c r="G115" s="3266">
        <v>0.1</v>
      </c>
    </row>
    <row r="116" spans="1:7">
      <c r="A116" s="3275" t="s">
        <v>303</v>
      </c>
      <c r="B116" s="3264" t="s">
        <v>2973</v>
      </c>
      <c r="C116" s="3265">
        <v>0.1</v>
      </c>
      <c r="D116" s="3265">
        <v>0.1</v>
      </c>
      <c r="E116" s="3276"/>
      <c r="F116" s="3276"/>
      <c r="G116" s="3266">
        <v>0.1</v>
      </c>
    </row>
    <row r="117" spans="1:7">
      <c r="A117" s="3275" t="s">
        <v>303</v>
      </c>
      <c r="B117" s="3264" t="s">
        <v>2980</v>
      </c>
      <c r="C117" s="3265">
        <v>9.7000000000000003E-2</v>
      </c>
      <c r="D117" s="3265">
        <v>9.7000000000000003E-2</v>
      </c>
      <c r="E117" s="3276"/>
      <c r="F117" s="3276"/>
      <c r="G117" s="3266">
        <v>9.7000000000000003E-2</v>
      </c>
    </row>
    <row r="118" spans="1:7">
      <c r="A118" s="3275" t="s">
        <v>303</v>
      </c>
      <c r="B118" s="3264" t="s">
        <v>2985</v>
      </c>
      <c r="C118" s="3265">
        <v>0.1</v>
      </c>
      <c r="D118" s="3265">
        <v>0.1</v>
      </c>
      <c r="E118" s="3276"/>
      <c r="F118" s="3276"/>
      <c r="G118" s="3266">
        <v>0.1</v>
      </c>
    </row>
    <row r="119" spans="1:7">
      <c r="A119" s="3275" t="s">
        <v>303</v>
      </c>
      <c r="B119" s="3264" t="s">
        <v>2989</v>
      </c>
      <c r="C119" s="3265">
        <v>5.0999999999999997E-2</v>
      </c>
      <c r="D119" s="3265">
        <v>5.1999999999999998E-2</v>
      </c>
      <c r="E119" s="3276"/>
      <c r="F119" s="3281"/>
      <c r="G119" s="3266">
        <v>0.06</v>
      </c>
    </row>
    <row r="120" spans="1:7">
      <c r="A120" s="3275" t="s">
        <v>303</v>
      </c>
      <c r="B120" s="3264" t="s">
        <v>2993</v>
      </c>
      <c r="C120" s="3276"/>
      <c r="D120" s="3276"/>
      <c r="E120" s="3276"/>
      <c r="F120" s="3265">
        <v>0.1</v>
      </c>
      <c r="G120" s="3282"/>
    </row>
    <row r="121" spans="1:7">
      <c r="A121" s="3275" t="s">
        <v>303</v>
      </c>
      <c r="B121" s="3264" t="s">
        <v>2998</v>
      </c>
      <c r="C121" s="3276"/>
      <c r="D121" s="3276"/>
      <c r="E121" s="3276"/>
      <c r="F121" s="3265">
        <v>0.1</v>
      </c>
      <c r="G121" s="3282"/>
    </row>
    <row r="122" spans="1:7">
      <c r="A122" s="3275" t="s">
        <v>303</v>
      </c>
      <c r="B122" s="3264" t="s">
        <v>3003</v>
      </c>
      <c r="C122" s="3265">
        <v>0.1</v>
      </c>
      <c r="D122" s="3265">
        <v>0.1</v>
      </c>
      <c r="E122" s="3265">
        <v>9.8000000000000004E-2</v>
      </c>
      <c r="F122" s="3265">
        <v>0.1</v>
      </c>
      <c r="G122" s="3266">
        <v>0.1</v>
      </c>
    </row>
    <row r="123" spans="1:7">
      <c r="A123" s="3275" t="s">
        <v>303</v>
      </c>
      <c r="B123" s="3264" t="s">
        <v>3008</v>
      </c>
      <c r="C123" s="3265">
        <v>0.1</v>
      </c>
      <c r="D123" s="3265">
        <v>0.1</v>
      </c>
      <c r="E123" s="3265">
        <v>9.8000000000000004E-2</v>
      </c>
      <c r="F123" s="3265">
        <v>0.1</v>
      </c>
      <c r="G123" s="3266">
        <v>0.1</v>
      </c>
    </row>
    <row r="124" spans="1:7">
      <c r="A124" s="3275" t="s">
        <v>303</v>
      </c>
      <c r="B124" s="3264" t="s">
        <v>3013</v>
      </c>
      <c r="C124" s="3265">
        <v>0.1</v>
      </c>
      <c r="D124" s="3265">
        <v>0.1</v>
      </c>
      <c r="E124" s="3265">
        <v>9.8000000000000004E-2</v>
      </c>
      <c r="F124" s="3281"/>
      <c r="G124" s="3266">
        <v>0.1</v>
      </c>
    </row>
    <row r="125" spans="1:7">
      <c r="A125" s="3275" t="s">
        <v>303</v>
      </c>
      <c r="B125" s="3264" t="s">
        <v>3018</v>
      </c>
      <c r="C125" s="3265">
        <v>9.8000000000000004E-2</v>
      </c>
      <c r="D125" s="3265">
        <v>9.8000000000000004E-2</v>
      </c>
      <c r="E125" s="3265">
        <v>9.6000000000000002E-2</v>
      </c>
      <c r="F125" s="3281"/>
      <c r="G125" s="3266">
        <v>0.1</v>
      </c>
    </row>
    <row r="126" spans="1:7" ht="14.25" thickBot="1">
      <c r="A126" s="3278" t="s">
        <v>303</v>
      </c>
      <c r="B126" s="3268" t="s">
        <v>3184</v>
      </c>
      <c r="C126" s="3269">
        <v>0.1</v>
      </c>
      <c r="D126" s="3269">
        <v>0.1</v>
      </c>
      <c r="E126" s="3269">
        <v>9.8000000000000004E-2</v>
      </c>
      <c r="F126" s="3269">
        <v>0.1</v>
      </c>
      <c r="G126" s="3271">
        <v>0.1</v>
      </c>
    </row>
    <row r="127" spans="1:7">
      <c r="A127" s="3274" t="s">
        <v>29</v>
      </c>
      <c r="B127" s="3260" t="s">
        <v>2861</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2931</v>
      </c>
      <c r="C148" s="3265">
        <v>0.13</v>
      </c>
      <c r="D148" s="3265">
        <v>0.13</v>
      </c>
      <c r="E148" s="3265">
        <v>0.13</v>
      </c>
      <c r="F148" s="3276"/>
      <c r="G148" s="3266">
        <v>0.13</v>
      </c>
    </row>
    <row r="149" spans="1:7">
      <c r="A149" s="3275" t="s">
        <v>29</v>
      </c>
      <c r="B149" s="3264" t="s">
        <v>2935</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2954</v>
      </c>
      <c r="C153" s="3265">
        <v>0.13</v>
      </c>
      <c r="D153" s="3265">
        <v>0.13</v>
      </c>
      <c r="E153" s="3265">
        <v>0.13</v>
      </c>
      <c r="F153" s="3265">
        <v>0.13</v>
      </c>
      <c r="G153" s="3266">
        <v>0.13</v>
      </c>
    </row>
    <row r="154" spans="1:7">
      <c r="A154" s="3275" t="s">
        <v>29</v>
      </c>
      <c r="B154" s="3264" t="s">
        <v>2961</v>
      </c>
      <c r="C154" s="3265">
        <v>0.121</v>
      </c>
      <c r="D154" s="3265">
        <v>0.121</v>
      </c>
      <c r="E154" s="3265">
        <v>0.105</v>
      </c>
      <c r="F154" s="3265">
        <v>0.121</v>
      </c>
      <c r="G154" s="3266">
        <v>0.123</v>
      </c>
    </row>
    <row r="155" spans="1:7">
      <c r="A155" s="3275" t="s">
        <v>29</v>
      </c>
      <c r="B155" s="3264" t="s">
        <v>2967</v>
      </c>
      <c r="C155" s="3265">
        <v>0.1</v>
      </c>
      <c r="D155" s="3265">
        <v>0.1</v>
      </c>
      <c r="E155" s="3265">
        <v>0.1</v>
      </c>
      <c r="F155" s="3265">
        <v>0.1</v>
      </c>
      <c r="G155" s="3266">
        <v>0.1</v>
      </c>
    </row>
    <row r="156" spans="1:7">
      <c r="A156" s="3275" t="s">
        <v>29</v>
      </c>
      <c r="B156" s="3264" t="s">
        <v>2974</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2994</v>
      </c>
      <c r="C160" s="3265">
        <v>0.13</v>
      </c>
      <c r="D160" s="3265">
        <v>0.13</v>
      </c>
      <c r="E160" s="3265">
        <v>0.124</v>
      </c>
      <c r="F160" s="3265">
        <v>0.126</v>
      </c>
      <c r="G160" s="3266">
        <v>0.13</v>
      </c>
    </row>
    <row r="161" spans="1:7">
      <c r="A161" s="3275" t="s">
        <v>29</v>
      </c>
      <c r="B161" s="3264" t="s">
        <v>2999</v>
      </c>
      <c r="C161" s="3265">
        <v>0.13</v>
      </c>
      <c r="D161" s="3265">
        <v>0.13</v>
      </c>
      <c r="E161" s="3265">
        <v>0.124</v>
      </c>
      <c r="F161" s="3265">
        <v>0.127</v>
      </c>
      <c r="G161" s="3266">
        <v>0.13</v>
      </c>
    </row>
    <row r="162" spans="1:7">
      <c r="A162" s="3275" t="s">
        <v>29</v>
      </c>
      <c r="B162" s="3264" t="s">
        <v>3004</v>
      </c>
      <c r="C162" s="3265">
        <v>0.1</v>
      </c>
      <c r="D162" s="3265">
        <v>0.1</v>
      </c>
      <c r="E162" s="3265">
        <v>0.1</v>
      </c>
      <c r="F162" s="3265">
        <v>0.121</v>
      </c>
      <c r="G162" s="3266">
        <v>0.105</v>
      </c>
    </row>
    <row r="163" spans="1:7">
      <c r="A163" s="3275" t="s">
        <v>29</v>
      </c>
      <c r="B163" s="3264" t="s">
        <v>3009</v>
      </c>
      <c r="C163" s="3265">
        <v>0.1</v>
      </c>
      <c r="D163" s="3265">
        <v>0.1</v>
      </c>
      <c r="E163" s="3265">
        <v>0.1</v>
      </c>
      <c r="F163" s="3265">
        <v>0.1</v>
      </c>
      <c r="G163" s="3266">
        <v>0.1</v>
      </c>
    </row>
    <row r="164" spans="1:7">
      <c r="A164" s="3275" t="s">
        <v>29</v>
      </c>
      <c r="B164" s="3264" t="s">
        <v>3014</v>
      </c>
      <c r="C164" s="3281"/>
      <c r="D164" s="3281"/>
      <c r="E164" s="3281"/>
      <c r="F164" s="3265">
        <v>0.1</v>
      </c>
      <c r="G164" s="3277"/>
    </row>
    <row r="165" spans="1:7">
      <c r="A165" s="3275" t="s">
        <v>29</v>
      </c>
      <c r="B165" s="3264" t="s">
        <v>3185</v>
      </c>
      <c r="C165" s="3265">
        <v>0.126</v>
      </c>
      <c r="D165" s="3265">
        <v>0.126</v>
      </c>
      <c r="E165" s="3265">
        <v>0.11899999999999999</v>
      </c>
      <c r="F165" s="3265">
        <v>0.13</v>
      </c>
      <c r="G165" s="3266">
        <v>0.128</v>
      </c>
    </row>
    <row r="166" spans="1:7">
      <c r="A166" s="3275" t="s">
        <v>29</v>
      </c>
      <c r="B166" s="3264" t="s">
        <v>3024</v>
      </c>
      <c r="C166" s="3265">
        <v>0.129</v>
      </c>
      <c r="D166" s="3265">
        <v>0.129</v>
      </c>
      <c r="E166" s="3265">
        <v>0.123</v>
      </c>
      <c r="F166" s="3265">
        <v>0.128</v>
      </c>
      <c r="G166" s="3266">
        <v>0.13</v>
      </c>
    </row>
    <row r="167" spans="1:7">
      <c r="A167" s="3275" t="s">
        <v>29</v>
      </c>
      <c r="B167" s="3264" t="s">
        <v>3028</v>
      </c>
      <c r="C167" s="3265">
        <v>0.125</v>
      </c>
      <c r="D167" s="3265">
        <v>0.125</v>
      </c>
      <c r="E167" s="3265">
        <v>0.11700000000000001</v>
      </c>
      <c r="F167" s="3265">
        <v>0.13</v>
      </c>
      <c r="G167" s="3266">
        <v>0.126</v>
      </c>
    </row>
    <row r="168" spans="1:7">
      <c r="A168" s="3275" t="s">
        <v>29</v>
      </c>
      <c r="B168" s="3264" t="s">
        <v>3033</v>
      </c>
      <c r="C168" s="3265">
        <v>0.128</v>
      </c>
      <c r="D168" s="3265">
        <v>0.128</v>
      </c>
      <c r="E168" s="3265">
        <v>0.123</v>
      </c>
      <c r="F168" s="3276"/>
      <c r="G168" s="3266">
        <v>0.13</v>
      </c>
    </row>
    <row r="169" spans="1:7">
      <c r="A169" s="3275" t="s">
        <v>29</v>
      </c>
      <c r="B169" s="3264" t="s">
        <v>3186</v>
      </c>
      <c r="C169" s="3281"/>
      <c r="D169" s="3281"/>
      <c r="E169" s="3281"/>
      <c r="F169" s="3265">
        <v>0.05</v>
      </c>
      <c r="G169" s="3277"/>
    </row>
    <row r="170" spans="1:7">
      <c r="A170" s="3275" t="s">
        <v>29</v>
      </c>
      <c r="B170" s="3264" t="s">
        <v>3187</v>
      </c>
      <c r="C170" s="3281"/>
      <c r="D170" s="3281"/>
      <c r="E170" s="3281"/>
      <c r="F170" s="3265">
        <v>0.05</v>
      </c>
      <c r="G170" s="3277"/>
    </row>
    <row r="171" spans="1:7">
      <c r="A171" s="3275" t="s">
        <v>29</v>
      </c>
      <c r="B171" s="3264" t="s">
        <v>3188</v>
      </c>
      <c r="C171" s="3281"/>
      <c r="D171" s="3281"/>
      <c r="E171" s="3281"/>
      <c r="F171" s="3265">
        <v>0.05</v>
      </c>
      <c r="G171" s="3282"/>
    </row>
    <row r="172" spans="1:7">
      <c r="A172" s="3275" t="s">
        <v>29</v>
      </c>
      <c r="B172" s="3264" t="s">
        <v>3189</v>
      </c>
      <c r="C172" s="3281"/>
      <c r="D172" s="3281"/>
      <c r="E172" s="3281"/>
      <c r="F172" s="3265">
        <v>0.05</v>
      </c>
      <c r="G172" s="3282"/>
    </row>
    <row r="173" spans="1:7">
      <c r="A173" s="3275" t="s">
        <v>29</v>
      </c>
      <c r="B173" s="3264" t="s">
        <v>3190</v>
      </c>
      <c r="C173" s="3281"/>
      <c r="D173" s="3281"/>
      <c r="E173" s="3281"/>
      <c r="F173" s="3265">
        <v>0.05</v>
      </c>
      <c r="G173" s="3277"/>
    </row>
    <row r="174" spans="1:7">
      <c r="A174" s="3275" t="s">
        <v>29</v>
      </c>
      <c r="B174" s="3264" t="s">
        <v>3191</v>
      </c>
      <c r="C174" s="3281"/>
      <c r="D174" s="3281"/>
      <c r="E174" s="3281"/>
      <c r="F174" s="3265">
        <v>0.05</v>
      </c>
      <c r="G174" s="3277"/>
    </row>
    <row r="175" spans="1:7">
      <c r="A175" s="3275" t="s">
        <v>29</v>
      </c>
      <c r="B175" s="3264" t="s">
        <v>3192</v>
      </c>
      <c r="C175" s="3281"/>
      <c r="D175" s="3281"/>
      <c r="E175" s="3281"/>
      <c r="F175" s="3265">
        <v>0.05</v>
      </c>
      <c r="G175" s="3277"/>
    </row>
    <row r="176" spans="1:7">
      <c r="A176" s="3275" t="s">
        <v>29</v>
      </c>
      <c r="B176" s="3264" t="s">
        <v>3193</v>
      </c>
      <c r="C176" s="3281"/>
      <c r="D176" s="3281"/>
      <c r="E176" s="3281"/>
      <c r="F176" s="3265">
        <v>0.05</v>
      </c>
      <c r="G176" s="3277"/>
    </row>
    <row r="177" spans="1:7">
      <c r="A177" s="3275" t="s">
        <v>29</v>
      </c>
      <c r="B177" s="3264" t="s">
        <v>3194</v>
      </c>
      <c r="C177" s="3276"/>
      <c r="D177" s="3276"/>
      <c r="E177" s="3276"/>
      <c r="F177" s="3265">
        <v>0.05</v>
      </c>
      <c r="G177" s="3282"/>
    </row>
    <row r="178" spans="1:7">
      <c r="A178" s="3275" t="s">
        <v>29</v>
      </c>
      <c r="B178" s="3264" t="s">
        <v>3195</v>
      </c>
      <c r="C178" s="3276"/>
      <c r="D178" s="3276"/>
      <c r="E178" s="3276"/>
      <c r="F178" s="3265">
        <v>0.05</v>
      </c>
      <c r="G178" s="3282"/>
    </row>
    <row r="179" spans="1:7">
      <c r="A179" s="3275" t="s">
        <v>29</v>
      </c>
      <c r="B179" s="3264" t="s">
        <v>3196</v>
      </c>
      <c r="C179" s="3276"/>
      <c r="D179" s="3276"/>
      <c r="E179" s="3276"/>
      <c r="F179" s="3265">
        <v>0.05</v>
      </c>
      <c r="G179" s="3282"/>
    </row>
    <row r="180" spans="1:7">
      <c r="A180" s="3275" t="s">
        <v>29</v>
      </c>
      <c r="B180" s="3264" t="s">
        <v>3197</v>
      </c>
      <c r="C180" s="3276"/>
      <c r="D180" s="3276"/>
      <c r="E180" s="3276"/>
      <c r="F180" s="3265">
        <v>0.05</v>
      </c>
      <c r="G180" s="3282"/>
    </row>
    <row r="181" spans="1:7">
      <c r="A181" s="3275" t="s">
        <v>29</v>
      </c>
      <c r="B181" s="3264" t="s">
        <v>3198</v>
      </c>
      <c r="C181" s="3276"/>
      <c r="D181" s="3276"/>
      <c r="E181" s="3276"/>
      <c r="F181" s="3265">
        <v>0.05</v>
      </c>
      <c r="G181" s="3282"/>
    </row>
    <row r="182" spans="1:7">
      <c r="A182" s="3275" t="s">
        <v>29</v>
      </c>
      <c r="B182" s="3264" t="s">
        <v>3199</v>
      </c>
      <c r="C182" s="3276"/>
      <c r="D182" s="3276"/>
      <c r="E182" s="3276"/>
      <c r="F182" s="3265">
        <v>0.05</v>
      </c>
      <c r="G182" s="3282"/>
    </row>
    <row r="183" spans="1:7">
      <c r="A183" s="3275" t="s">
        <v>29</v>
      </c>
      <c r="B183" s="3264" t="s">
        <v>3200</v>
      </c>
      <c r="C183" s="3276"/>
      <c r="D183" s="3276"/>
      <c r="E183" s="3276"/>
      <c r="F183" s="3265">
        <v>0.05</v>
      </c>
      <c r="G183" s="3282"/>
    </row>
    <row r="184" spans="1:7">
      <c r="A184" s="3275" t="s">
        <v>29</v>
      </c>
      <c r="B184" s="3264" t="s">
        <v>3201</v>
      </c>
      <c r="C184" s="3276"/>
      <c r="D184" s="3276"/>
      <c r="E184" s="3276"/>
      <c r="F184" s="3265">
        <v>0.05</v>
      </c>
      <c r="G184" s="3282"/>
    </row>
    <row r="185" spans="1:7">
      <c r="A185" s="3275" t="s">
        <v>29</v>
      </c>
      <c r="B185" s="3264" t="s">
        <v>3202</v>
      </c>
      <c r="C185" s="3276"/>
      <c r="D185" s="3276"/>
      <c r="E185" s="3276"/>
      <c r="F185" s="3265">
        <v>0.05</v>
      </c>
      <c r="G185" s="3282"/>
    </row>
    <row r="186" spans="1:7">
      <c r="A186" s="3275" t="s">
        <v>29</v>
      </c>
      <c r="B186" s="3264" t="s">
        <v>3203</v>
      </c>
      <c r="C186" s="3276"/>
      <c r="D186" s="3276"/>
      <c r="E186" s="3276"/>
      <c r="F186" s="3265">
        <v>0.05</v>
      </c>
      <c r="G186" s="3282"/>
    </row>
    <row r="187" spans="1:7">
      <c r="A187" s="3275" t="s">
        <v>29</v>
      </c>
      <c r="B187" s="3264" t="s">
        <v>3204</v>
      </c>
      <c r="C187" s="3276"/>
      <c r="D187" s="3276"/>
      <c r="E187" s="3276"/>
      <c r="F187" s="3265">
        <v>0.05</v>
      </c>
      <c r="G187" s="3282"/>
    </row>
    <row r="188" spans="1:7">
      <c r="A188" s="3275" t="s">
        <v>29</v>
      </c>
      <c r="B188" s="3264" t="s">
        <v>3205</v>
      </c>
      <c r="C188" s="3276"/>
      <c r="D188" s="3276"/>
      <c r="E188" s="3276"/>
      <c r="F188" s="3265">
        <v>0.05</v>
      </c>
      <c r="G188" s="3282"/>
    </row>
    <row r="189" spans="1:7" ht="14.25" thickBot="1">
      <c r="A189" s="3278" t="s">
        <v>29</v>
      </c>
      <c r="B189" s="3268" t="s">
        <v>3206</v>
      </c>
      <c r="C189" s="3270"/>
      <c r="D189" s="3270"/>
      <c r="E189" s="3270"/>
      <c r="F189" s="3269">
        <v>0.05</v>
      </c>
      <c r="G189" s="3283"/>
    </row>
    <row r="190" spans="1:7">
      <c r="A190" s="3274" t="s">
        <v>304</v>
      </c>
      <c r="B190" s="3260" t="s">
        <v>2862</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2898</v>
      </c>
      <c r="C199" s="3265">
        <v>0.13</v>
      </c>
      <c r="D199" s="3265">
        <v>0.13</v>
      </c>
      <c r="E199" s="3265">
        <v>0.13</v>
      </c>
      <c r="F199" s="3265">
        <v>0.13</v>
      </c>
      <c r="G199" s="3266">
        <v>0.13</v>
      </c>
    </row>
    <row r="200" spans="1:7">
      <c r="A200" s="3275" t="s">
        <v>304</v>
      </c>
      <c r="B200" s="3264" t="s">
        <v>2901</v>
      </c>
      <c r="C200" s="3281"/>
      <c r="D200" s="3281"/>
      <c r="E200" s="3281"/>
      <c r="F200" s="3265">
        <v>0.13</v>
      </c>
      <c r="G200" s="3277"/>
    </row>
    <row r="201" spans="1:7">
      <c r="A201" s="3275" t="s">
        <v>304</v>
      </c>
      <c r="B201" s="3264" t="s">
        <v>2906</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2909</v>
      </c>
      <c r="C203" s="3265">
        <v>0.129</v>
      </c>
      <c r="D203" s="3265">
        <v>0.129</v>
      </c>
      <c r="E203" s="3265">
        <v>0.13</v>
      </c>
      <c r="F203" s="3265">
        <v>0.13</v>
      </c>
      <c r="G203" s="3266">
        <v>0.13</v>
      </c>
    </row>
    <row r="204" spans="1:7">
      <c r="A204" s="3275" t="s">
        <v>304</v>
      </c>
      <c r="B204" s="3264" t="s">
        <v>2912</v>
      </c>
      <c r="C204" s="3265">
        <v>0.129</v>
      </c>
      <c r="D204" s="3265">
        <v>0.129</v>
      </c>
      <c r="E204" s="3265">
        <v>0.123</v>
      </c>
      <c r="F204" s="3265">
        <v>0.13</v>
      </c>
      <c r="G204" s="3266">
        <v>0.13</v>
      </c>
    </row>
    <row r="205" spans="1:7">
      <c r="A205" s="3275" t="s">
        <v>304</v>
      </c>
      <c r="B205" s="3264" t="s">
        <v>2914</v>
      </c>
      <c r="C205" s="3265">
        <v>0.13</v>
      </c>
      <c r="D205" s="3265">
        <v>0.13</v>
      </c>
      <c r="E205" s="3265">
        <v>0.13</v>
      </c>
      <c r="F205" s="3265">
        <v>0.13</v>
      </c>
      <c r="G205" s="3266">
        <v>0.13</v>
      </c>
    </row>
    <row r="206" spans="1:7">
      <c r="A206" s="3275" t="s">
        <v>304</v>
      </c>
      <c r="B206" s="3264" t="s">
        <v>2917</v>
      </c>
      <c r="C206" s="3265">
        <v>0.13</v>
      </c>
      <c r="D206" s="3265">
        <v>0.13</v>
      </c>
      <c r="E206" s="3265">
        <v>0.13</v>
      </c>
      <c r="F206" s="3265">
        <v>0.128</v>
      </c>
      <c r="G206" s="3266">
        <v>0.13</v>
      </c>
    </row>
    <row r="207" spans="1:7">
      <c r="A207" s="3275" t="s">
        <v>304</v>
      </c>
      <c r="B207" s="3264" t="s">
        <v>2919</v>
      </c>
      <c r="C207" s="3265">
        <v>0.13</v>
      </c>
      <c r="D207" s="3265">
        <v>0.13</v>
      </c>
      <c r="E207" s="3265">
        <v>0.13</v>
      </c>
      <c r="F207" s="3265">
        <v>0.13</v>
      </c>
      <c r="G207" s="3266">
        <v>0.13</v>
      </c>
    </row>
    <row r="208" spans="1:7">
      <c r="A208" s="3275" t="s">
        <v>304</v>
      </c>
      <c r="B208" s="3264" t="s">
        <v>2922</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2929</v>
      </c>
      <c r="C210" s="3265">
        <v>0.121</v>
      </c>
      <c r="D210" s="3265">
        <v>0.121</v>
      </c>
      <c r="E210" s="3265">
        <v>0.125</v>
      </c>
      <c r="F210" s="3265">
        <v>0.13</v>
      </c>
      <c r="G210" s="3266">
        <v>0.123</v>
      </c>
    </row>
    <row r="211" spans="1:7">
      <c r="A211" s="3275" t="s">
        <v>304</v>
      </c>
      <c r="B211" s="3264" t="s">
        <v>2932</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2944</v>
      </c>
      <c r="C214" s="3265">
        <v>0.128</v>
      </c>
      <c r="D214" s="3265">
        <v>0.128</v>
      </c>
      <c r="E214" s="3265">
        <v>0.13</v>
      </c>
      <c r="F214" s="3265">
        <v>0.13</v>
      </c>
      <c r="G214" s="3266">
        <v>0.13</v>
      </c>
    </row>
    <row r="215" spans="1:7">
      <c r="A215" s="3275" t="s">
        <v>304</v>
      </c>
      <c r="B215" s="3264" t="s">
        <v>2948</v>
      </c>
      <c r="C215" s="3265">
        <v>0.13</v>
      </c>
      <c r="D215" s="3265">
        <v>0.13</v>
      </c>
      <c r="E215" s="3265">
        <v>0.13</v>
      </c>
      <c r="F215" s="3265">
        <v>0.129</v>
      </c>
      <c r="G215" s="3266">
        <v>0.13</v>
      </c>
    </row>
    <row r="216" spans="1:7">
      <c r="A216" s="3275" t="s">
        <v>304</v>
      </c>
      <c r="B216" s="3264" t="s">
        <v>2955</v>
      </c>
      <c r="C216" s="3265">
        <v>0.13</v>
      </c>
      <c r="D216" s="3265">
        <v>0.13</v>
      </c>
      <c r="E216" s="3265">
        <v>0.13</v>
      </c>
      <c r="F216" s="3265">
        <v>0.13</v>
      </c>
      <c r="G216" s="3266">
        <v>0.13</v>
      </c>
    </row>
    <row r="217" spans="1:7">
      <c r="A217" s="3275" t="s">
        <v>304</v>
      </c>
      <c r="B217" s="3264" t="s">
        <v>2962</v>
      </c>
      <c r="C217" s="3265">
        <v>0.129</v>
      </c>
      <c r="D217" s="3265">
        <v>0.129</v>
      </c>
      <c r="E217" s="3265">
        <v>0.13</v>
      </c>
      <c r="F217" s="3265">
        <v>0.13</v>
      </c>
      <c r="G217" s="3266">
        <v>0.13</v>
      </c>
    </row>
    <row r="218" spans="1:7">
      <c r="A218" s="3275" t="s">
        <v>304</v>
      </c>
      <c r="B218" s="3264" t="s">
        <v>2968</v>
      </c>
      <c r="C218" s="3276"/>
      <c r="D218" s="3276"/>
      <c r="E218" s="3276"/>
      <c r="F218" s="3265">
        <v>0.05</v>
      </c>
      <c r="G218" s="3282"/>
    </row>
    <row r="219" spans="1:7">
      <c r="A219" s="3275" t="s">
        <v>304</v>
      </c>
      <c r="B219" s="3264" t="s">
        <v>2975</v>
      </c>
      <c r="C219" s="3276"/>
      <c r="D219" s="3276"/>
      <c r="E219" s="3276"/>
      <c r="F219" s="3265">
        <v>0.05</v>
      </c>
      <c r="G219" s="3282"/>
    </row>
    <row r="220" spans="1:7">
      <c r="A220" s="3275" t="s">
        <v>304</v>
      </c>
      <c r="B220" s="3264" t="s">
        <v>2981</v>
      </c>
      <c r="C220" s="3276"/>
      <c r="D220" s="3276"/>
      <c r="E220" s="3276"/>
      <c r="F220" s="3265">
        <v>0.05</v>
      </c>
      <c r="G220" s="3282"/>
    </row>
    <row r="221" spans="1:7">
      <c r="A221" s="3275" t="s">
        <v>304</v>
      </c>
      <c r="B221" s="3264" t="s">
        <v>2986</v>
      </c>
      <c r="C221" s="3276"/>
      <c r="D221" s="3276"/>
      <c r="E221" s="3276"/>
      <c r="F221" s="3265">
        <v>0.05</v>
      </c>
      <c r="G221" s="3282"/>
    </row>
    <row r="222" spans="1:7">
      <c r="A222" s="3275" t="s">
        <v>304</v>
      </c>
      <c r="B222" s="3264" t="s">
        <v>2990</v>
      </c>
      <c r="C222" s="3276"/>
      <c r="D222" s="3276"/>
      <c r="E222" s="3276"/>
      <c r="F222" s="3265">
        <v>0.05</v>
      </c>
      <c r="G222" s="3282"/>
    </row>
    <row r="223" spans="1:7">
      <c r="A223" s="3275" t="s">
        <v>304</v>
      </c>
      <c r="B223" s="3264" t="s">
        <v>2995</v>
      </c>
      <c r="C223" s="3276"/>
      <c r="D223" s="3276"/>
      <c r="E223" s="3276"/>
      <c r="F223" s="3265">
        <v>0.05</v>
      </c>
      <c r="G223" s="3282"/>
    </row>
    <row r="224" spans="1:7">
      <c r="A224" s="3275" t="s">
        <v>304</v>
      </c>
      <c r="B224" s="3264" t="s">
        <v>3000</v>
      </c>
      <c r="C224" s="3276"/>
      <c r="D224" s="3276"/>
      <c r="E224" s="3276"/>
      <c r="F224" s="3265">
        <v>0.05</v>
      </c>
      <c r="G224" s="3282"/>
    </row>
    <row r="225" spans="1:7">
      <c r="A225" s="3275" t="s">
        <v>304</v>
      </c>
      <c r="B225" s="3264" t="s">
        <v>3005</v>
      </c>
      <c r="C225" s="3276"/>
      <c r="D225" s="3276"/>
      <c r="E225" s="3276"/>
      <c r="F225" s="3265">
        <v>0.05</v>
      </c>
      <c r="G225" s="3282"/>
    </row>
    <row r="226" spans="1:7">
      <c r="A226" s="3275" t="s">
        <v>304</v>
      </c>
      <c r="B226" s="3264" t="s">
        <v>3207</v>
      </c>
      <c r="C226" s="3276"/>
      <c r="D226" s="3276"/>
      <c r="E226" s="3276"/>
      <c r="F226" s="3265">
        <v>0.05</v>
      </c>
      <c r="G226" s="3282"/>
    </row>
    <row r="227" spans="1:7">
      <c r="A227" s="3275" t="s">
        <v>304</v>
      </c>
      <c r="B227" s="3264" t="s">
        <v>3208</v>
      </c>
      <c r="C227" s="3276"/>
      <c r="D227" s="3276"/>
      <c r="E227" s="3276"/>
      <c r="F227" s="3265">
        <v>0.05</v>
      </c>
      <c r="G227" s="3282"/>
    </row>
    <row r="228" spans="1:7">
      <c r="A228" s="3275" t="s">
        <v>304</v>
      </c>
      <c r="B228" s="3264" t="s">
        <v>3209</v>
      </c>
      <c r="C228" s="3276"/>
      <c r="D228" s="3276"/>
      <c r="E228" s="3276"/>
      <c r="F228" s="3265">
        <v>0.05</v>
      </c>
      <c r="G228" s="3282"/>
    </row>
    <row r="229" spans="1:7">
      <c r="A229" s="3275" t="s">
        <v>304</v>
      </c>
      <c r="B229" s="3264" t="s">
        <v>3210</v>
      </c>
      <c r="C229" s="3276"/>
      <c r="D229" s="3276"/>
      <c r="E229" s="3276"/>
      <c r="F229" s="3265">
        <v>0.05</v>
      </c>
      <c r="G229" s="3282"/>
    </row>
    <row r="230" spans="1:7">
      <c r="A230" s="3275" t="s">
        <v>304</v>
      </c>
      <c r="B230" s="3264" t="s">
        <v>3211</v>
      </c>
      <c r="C230" s="3276"/>
      <c r="D230" s="3276"/>
      <c r="E230" s="3276"/>
      <c r="F230" s="3265">
        <v>0.05</v>
      </c>
      <c r="G230" s="3282"/>
    </row>
    <row r="231" spans="1:7">
      <c r="A231" s="3275" t="s">
        <v>304</v>
      </c>
      <c r="B231" s="3264" t="s">
        <v>3212</v>
      </c>
      <c r="C231" s="3276"/>
      <c r="D231" s="3276"/>
      <c r="E231" s="3276"/>
      <c r="F231" s="3265">
        <v>0.05</v>
      </c>
      <c r="G231" s="3282"/>
    </row>
    <row r="232" spans="1:7">
      <c r="A232" s="3275" t="s">
        <v>304</v>
      </c>
      <c r="B232" s="3264" t="s">
        <v>3213</v>
      </c>
      <c r="C232" s="3276"/>
      <c r="D232" s="3276"/>
      <c r="E232" s="3276"/>
      <c r="F232" s="3265">
        <v>0.05</v>
      </c>
      <c r="G232" s="3282"/>
    </row>
    <row r="233" spans="1:7" ht="14.25" thickBot="1">
      <c r="A233" s="3278" t="s">
        <v>304</v>
      </c>
      <c r="B233" s="3268" t="s">
        <v>3214</v>
      </c>
      <c r="C233" s="3270"/>
      <c r="D233" s="3270"/>
      <c r="E233" s="3270"/>
      <c r="F233" s="3269">
        <v>0.05</v>
      </c>
      <c r="G233" s="3283"/>
    </row>
    <row r="234" spans="1:7">
      <c r="A234" s="3274" t="s">
        <v>305</v>
      </c>
      <c r="B234" s="3260" t="s">
        <v>2863</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2883</v>
      </c>
      <c r="C238" s="3265">
        <v>0.14899999999999999</v>
      </c>
      <c r="D238" s="3265">
        <v>0.14899999999999999</v>
      </c>
      <c r="E238" s="3265">
        <v>0.15</v>
      </c>
      <c r="F238" s="3265">
        <v>0.15</v>
      </c>
      <c r="G238" s="3266">
        <v>0.15</v>
      </c>
    </row>
    <row r="239" spans="1:7">
      <c r="A239" s="3275" t="s">
        <v>305</v>
      </c>
      <c r="B239" s="3264" t="s">
        <v>2887</v>
      </c>
      <c r="C239" s="3265">
        <v>0.15</v>
      </c>
      <c r="D239" s="3265">
        <v>0.15</v>
      </c>
      <c r="E239" s="3265">
        <v>0.15</v>
      </c>
      <c r="F239" s="3265">
        <v>0.15</v>
      </c>
      <c r="G239" s="3266">
        <v>0.15</v>
      </c>
    </row>
    <row r="240" spans="1:7">
      <c r="A240" s="3275" t="s">
        <v>305</v>
      </c>
      <c r="B240" s="3264" t="s">
        <v>2892</v>
      </c>
      <c r="C240" s="3265">
        <v>0.15</v>
      </c>
      <c r="D240" s="3265">
        <v>0.15</v>
      </c>
      <c r="E240" s="3265">
        <v>0.15</v>
      </c>
      <c r="F240" s="3265">
        <v>0.15</v>
      </c>
      <c r="G240" s="3266">
        <v>0.15</v>
      </c>
    </row>
    <row r="241" spans="1:7">
      <c r="A241" s="3275" t="s">
        <v>305</v>
      </c>
      <c r="B241" s="3264" t="s">
        <v>2896</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2902</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2910</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2915</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2923</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2936</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2945</v>
      </c>
      <c r="C258" s="3265">
        <v>0.14299999999999999</v>
      </c>
      <c r="D258" s="3265">
        <v>0.14299999999999999</v>
      </c>
      <c r="E258" s="3265">
        <v>0.15</v>
      </c>
      <c r="F258" s="3265">
        <v>0.14799999999999999</v>
      </c>
      <c r="G258" s="3266">
        <v>0.14599999999999999</v>
      </c>
    </row>
    <row r="259" spans="1:7">
      <c r="A259" s="3275" t="s">
        <v>305</v>
      </c>
      <c r="B259" s="3264" t="s">
        <v>2949</v>
      </c>
      <c r="C259" s="3265">
        <v>0.14399999999999999</v>
      </c>
      <c r="D259" s="3265">
        <v>0.14399999999999999</v>
      </c>
      <c r="E259" s="3265">
        <v>0.14899999999999999</v>
      </c>
      <c r="F259" s="3265">
        <v>0.14699999999999999</v>
      </c>
      <c r="G259" s="3266">
        <v>0.14599999999999999</v>
      </c>
    </row>
    <row r="260" spans="1:7">
      <c r="A260" s="3275" t="s">
        <v>305</v>
      </c>
      <c r="B260" s="3264" t="s">
        <v>2956</v>
      </c>
      <c r="C260" s="3265">
        <v>0.109</v>
      </c>
      <c r="D260" s="3265">
        <v>0.111</v>
      </c>
      <c r="E260" s="3265">
        <v>0.13100000000000001</v>
      </c>
      <c r="F260" s="3265">
        <v>0.126</v>
      </c>
      <c r="G260" s="3266">
        <v>0.11899999999999999</v>
      </c>
    </row>
    <row r="261" spans="1:7">
      <c r="A261" s="3275" t="s">
        <v>305</v>
      </c>
      <c r="B261" s="3264" t="s">
        <v>2963</v>
      </c>
      <c r="C261" s="3265">
        <v>0.1</v>
      </c>
      <c r="D261" s="3265">
        <v>0.1</v>
      </c>
      <c r="E261" s="3265">
        <v>0.11799999999999999</v>
      </c>
      <c r="F261" s="3265">
        <v>0.108</v>
      </c>
      <c r="G261" s="3266">
        <v>0.107</v>
      </c>
    </row>
    <row r="262" spans="1:7">
      <c r="A262" s="3275" t="s">
        <v>305</v>
      </c>
      <c r="B262" s="3264" t="s">
        <v>2969</v>
      </c>
      <c r="C262" s="3265">
        <v>0.1</v>
      </c>
      <c r="D262" s="3265">
        <v>0.1</v>
      </c>
      <c r="E262" s="3265">
        <v>0.1</v>
      </c>
      <c r="F262" s="3265">
        <v>0.14099999999999999</v>
      </c>
      <c r="G262" s="3266">
        <v>0.1</v>
      </c>
    </row>
    <row r="263" spans="1:7">
      <c r="A263" s="3275" t="s">
        <v>305</v>
      </c>
      <c r="B263" s="3264" t="s">
        <v>2976</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2987</v>
      </c>
      <c r="C265" s="3276"/>
      <c r="D265" s="3276"/>
      <c r="E265" s="3276"/>
      <c r="F265" s="3265">
        <v>0.05</v>
      </c>
      <c r="G265" s="3282"/>
    </row>
    <row r="266" spans="1:7">
      <c r="A266" s="3275" t="s">
        <v>305</v>
      </c>
      <c r="B266" s="3264" t="s">
        <v>2991</v>
      </c>
      <c r="C266" s="3276"/>
      <c r="D266" s="3276"/>
      <c r="E266" s="3276"/>
      <c r="F266" s="3265">
        <v>0.05</v>
      </c>
      <c r="G266" s="3282"/>
    </row>
    <row r="267" spans="1:7">
      <c r="A267" s="3275" t="s">
        <v>305</v>
      </c>
      <c r="B267" s="3264" t="s">
        <v>2996</v>
      </c>
      <c r="C267" s="3276"/>
      <c r="D267" s="3276"/>
      <c r="E267" s="3276"/>
      <c r="F267" s="3265">
        <v>0.05</v>
      </c>
      <c r="G267" s="3282"/>
    </row>
    <row r="268" spans="1:7">
      <c r="A268" s="3275" t="s">
        <v>305</v>
      </c>
      <c r="B268" s="3264" t="s">
        <v>3001</v>
      </c>
      <c r="C268" s="3276"/>
      <c r="D268" s="3276"/>
      <c r="E268" s="3276"/>
      <c r="F268" s="3265">
        <v>0.05</v>
      </c>
      <c r="G268" s="3282"/>
    </row>
    <row r="269" spans="1:7">
      <c r="A269" s="3275" t="s">
        <v>305</v>
      </c>
      <c r="B269" s="3264" t="s">
        <v>3006</v>
      </c>
      <c r="C269" s="3276"/>
      <c r="D269" s="3276"/>
      <c r="E269" s="3276"/>
      <c r="F269" s="3265">
        <v>0.05</v>
      </c>
      <c r="G269" s="3282"/>
    </row>
    <row r="270" spans="1:7">
      <c r="A270" s="3275" t="s">
        <v>305</v>
      </c>
      <c r="B270" s="3264" t="s">
        <v>3011</v>
      </c>
      <c r="C270" s="3276"/>
      <c r="D270" s="3276"/>
      <c r="E270" s="3276"/>
      <c r="F270" s="3265">
        <v>0.05</v>
      </c>
      <c r="G270" s="3282"/>
    </row>
    <row r="271" spans="1:7">
      <c r="A271" s="3275" t="s">
        <v>305</v>
      </c>
      <c r="B271" s="3264" t="s">
        <v>3215</v>
      </c>
      <c r="C271" s="3276"/>
      <c r="D271" s="3276"/>
      <c r="E271" s="3276"/>
      <c r="F271" s="3265">
        <v>0.05</v>
      </c>
      <c r="G271" s="3282"/>
    </row>
    <row r="272" spans="1:7">
      <c r="A272" s="3275" t="s">
        <v>305</v>
      </c>
      <c r="B272" s="3264" t="s">
        <v>3216</v>
      </c>
      <c r="C272" s="3276"/>
      <c r="D272" s="3276"/>
      <c r="E272" s="3276"/>
      <c r="F272" s="3265">
        <v>0.05</v>
      </c>
      <c r="G272" s="3282"/>
    </row>
    <row r="273" spans="1:7">
      <c r="A273" s="3275" t="s">
        <v>305</v>
      </c>
      <c r="B273" s="3264" t="s">
        <v>3217</v>
      </c>
      <c r="C273" s="3276"/>
      <c r="D273" s="3276"/>
      <c r="E273" s="3276"/>
      <c r="F273" s="3265">
        <v>0.05</v>
      </c>
      <c r="G273" s="3282"/>
    </row>
    <row r="274" spans="1:7">
      <c r="A274" s="3275" t="s">
        <v>305</v>
      </c>
      <c r="B274" s="3264" t="s">
        <v>3218</v>
      </c>
      <c r="C274" s="3276"/>
      <c r="D274" s="3276"/>
      <c r="E274" s="3276"/>
      <c r="F274" s="3265">
        <v>0.05</v>
      </c>
      <c r="G274" s="3282"/>
    </row>
    <row r="275" spans="1:7">
      <c r="A275" s="3275" t="s">
        <v>305</v>
      </c>
      <c r="B275" s="3264" t="s">
        <v>3219</v>
      </c>
      <c r="C275" s="3276"/>
      <c r="D275" s="3276"/>
      <c r="E275" s="3276"/>
      <c r="F275" s="3265">
        <v>0.05</v>
      </c>
      <c r="G275" s="3282"/>
    </row>
    <row r="276" spans="1:7" ht="14.25" thickBot="1">
      <c r="A276" s="3278" t="s">
        <v>305</v>
      </c>
      <c r="B276" s="3268" t="s">
        <v>3220</v>
      </c>
      <c r="C276" s="3270"/>
      <c r="D276" s="3270"/>
      <c r="E276" s="3270"/>
      <c r="F276" s="3269">
        <v>0.05</v>
      </c>
      <c r="G276" s="3283"/>
    </row>
    <row r="277" spans="1:7">
      <c r="A277" s="3274" t="s">
        <v>306</v>
      </c>
      <c r="B277" s="3260" t="s">
        <v>2864</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2876</v>
      </c>
      <c r="C279" s="3265">
        <v>0.15</v>
      </c>
      <c r="D279" s="3265">
        <v>0.15</v>
      </c>
      <c r="E279" s="3265">
        <v>0.15</v>
      </c>
      <c r="F279" s="3265">
        <v>0.15</v>
      </c>
      <c r="G279" s="3266">
        <v>0.15</v>
      </c>
    </row>
    <row r="280" spans="1:7">
      <c r="A280" s="3275" t="s">
        <v>306</v>
      </c>
      <c r="B280" s="3264" t="s">
        <v>2880</v>
      </c>
      <c r="C280" s="3265">
        <v>0.15</v>
      </c>
      <c r="D280" s="3265">
        <v>0.15</v>
      </c>
      <c r="E280" s="3265">
        <v>0.15</v>
      </c>
      <c r="F280" s="3265">
        <v>0.15</v>
      </c>
      <c r="G280" s="3266">
        <v>0.15</v>
      </c>
    </row>
    <row r="281" spans="1:7">
      <c r="A281" s="3275" t="s">
        <v>306</v>
      </c>
      <c r="B281" s="3264" t="s">
        <v>2884</v>
      </c>
      <c r="C281" s="3265">
        <v>0.15</v>
      </c>
      <c r="D281" s="3265">
        <v>0.15</v>
      </c>
      <c r="E281" s="3265">
        <v>0.15</v>
      </c>
      <c r="F281" s="3265">
        <v>0.15</v>
      </c>
      <c r="G281" s="3266">
        <v>0.15</v>
      </c>
    </row>
    <row r="282" spans="1:7">
      <c r="A282" s="3275" t="s">
        <v>306</v>
      </c>
      <c r="B282" s="3264" t="s">
        <v>2888</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2903</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2908</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2918</v>
      </c>
      <c r="C293" s="3265">
        <v>0.15</v>
      </c>
      <c r="D293" s="3265">
        <v>0.15</v>
      </c>
      <c r="E293" s="3265">
        <v>0.15</v>
      </c>
      <c r="F293" s="3265">
        <v>0.14499999999999999</v>
      </c>
      <c r="G293" s="3266">
        <v>0.15</v>
      </c>
    </row>
    <row r="294" spans="1:7">
      <c r="A294" s="3275" t="s">
        <v>306</v>
      </c>
      <c r="B294" s="3264" t="s">
        <v>2920</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2937</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2950</v>
      </c>
      <c r="C302" s="3265">
        <v>0.15</v>
      </c>
      <c r="D302" s="3265">
        <v>0.15</v>
      </c>
      <c r="E302" s="3265">
        <v>0.15</v>
      </c>
      <c r="F302" s="3265">
        <v>0.14699999999999999</v>
      </c>
      <c r="G302" s="3266">
        <v>0.15</v>
      </c>
    </row>
    <row r="303" spans="1:7">
      <c r="A303" s="3275" t="s">
        <v>306</v>
      </c>
      <c r="B303" s="3264" t="s">
        <v>2957</v>
      </c>
      <c r="C303" s="3265">
        <v>0.15</v>
      </c>
      <c r="D303" s="3265">
        <v>0.15</v>
      </c>
      <c r="E303" s="3265">
        <v>0.15</v>
      </c>
      <c r="F303" s="3265">
        <v>0.14199999999999999</v>
      </c>
      <c r="G303" s="3266">
        <v>0.15</v>
      </c>
    </row>
    <row r="304" spans="1:7">
      <c r="A304" s="3275" t="s">
        <v>306</v>
      </c>
      <c r="B304" s="3264" t="s">
        <v>2964</v>
      </c>
      <c r="C304" s="3265">
        <v>0.15</v>
      </c>
      <c r="D304" s="3265">
        <v>0.15</v>
      </c>
      <c r="E304" s="3265">
        <v>0.15</v>
      </c>
      <c r="F304" s="3265">
        <v>0.14499999999999999</v>
      </c>
      <c r="G304" s="3266">
        <v>0.15</v>
      </c>
    </row>
    <row r="305" spans="1:7">
      <c r="A305" s="3275" t="s">
        <v>306</v>
      </c>
      <c r="B305" s="3264" t="s">
        <v>2970</v>
      </c>
      <c r="C305" s="3265">
        <v>0.15</v>
      </c>
      <c r="D305" s="3265">
        <v>0.15</v>
      </c>
      <c r="E305" s="3265">
        <v>0.15</v>
      </c>
      <c r="F305" s="3265">
        <v>0.111</v>
      </c>
      <c r="G305" s="3266">
        <v>0.15</v>
      </c>
    </row>
    <row r="306" spans="1:7">
      <c r="A306" s="3275" t="s">
        <v>306</v>
      </c>
      <c r="B306" s="3264" t="s">
        <v>2977</v>
      </c>
      <c r="C306" s="3265">
        <v>0.15</v>
      </c>
      <c r="D306" s="3265">
        <v>0.15</v>
      </c>
      <c r="E306" s="3265">
        <v>0.15</v>
      </c>
      <c r="F306" s="3265">
        <v>0.126</v>
      </c>
      <c r="G306" s="3266">
        <v>0.15</v>
      </c>
    </row>
    <row r="307" spans="1:7">
      <c r="A307" s="3275" t="s">
        <v>306</v>
      </c>
      <c r="B307" s="3264" t="s">
        <v>2982</v>
      </c>
      <c r="C307" s="3265">
        <v>0.15</v>
      </c>
      <c r="D307" s="3265">
        <v>0.15</v>
      </c>
      <c r="E307" s="3265">
        <v>0.15</v>
      </c>
      <c r="F307" s="3265">
        <v>0.12</v>
      </c>
      <c r="G307" s="3266">
        <v>0.15</v>
      </c>
    </row>
    <row r="308" spans="1:7">
      <c r="A308" s="3275" t="s">
        <v>306</v>
      </c>
      <c r="B308" s="3264" t="s">
        <v>2988</v>
      </c>
      <c r="C308" s="3265">
        <v>0.15</v>
      </c>
      <c r="D308" s="3265">
        <v>0.15</v>
      </c>
      <c r="E308" s="3265">
        <v>0.15</v>
      </c>
      <c r="F308" s="3265">
        <v>0.13</v>
      </c>
      <c r="G308" s="3266">
        <v>0.15</v>
      </c>
    </row>
    <row r="309" spans="1:7">
      <c r="A309" s="3275" t="s">
        <v>306</v>
      </c>
      <c r="B309" s="3264" t="s">
        <v>2992</v>
      </c>
      <c r="C309" s="3265">
        <v>0.15</v>
      </c>
      <c r="D309" s="3265">
        <v>0.15</v>
      </c>
      <c r="E309" s="3265">
        <v>0.15</v>
      </c>
      <c r="F309" s="3265">
        <v>0.14099999999999999</v>
      </c>
      <c r="G309" s="3266">
        <v>0.15</v>
      </c>
    </row>
    <row r="310" spans="1:7">
      <c r="A310" s="3275" t="s">
        <v>306</v>
      </c>
      <c r="B310" s="3264" t="s">
        <v>2997</v>
      </c>
      <c r="C310" s="3265">
        <v>0.15</v>
      </c>
      <c r="D310" s="3265">
        <v>0.15</v>
      </c>
      <c r="E310" s="3265">
        <v>0.15</v>
      </c>
      <c r="F310" s="3265">
        <v>0.15</v>
      </c>
      <c r="G310" s="3266">
        <v>0.15</v>
      </c>
    </row>
    <row r="311" spans="1:7">
      <c r="A311" s="3275" t="s">
        <v>306</v>
      </c>
      <c r="B311" s="3264" t="s">
        <v>3002</v>
      </c>
      <c r="C311" s="3265">
        <v>0.13200000000000001</v>
      </c>
      <c r="D311" s="3265">
        <v>0.13300000000000001</v>
      </c>
      <c r="E311" s="3265">
        <v>0.14499999999999999</v>
      </c>
      <c r="F311" s="3265">
        <v>0.14199999999999999</v>
      </c>
      <c r="G311" s="3266">
        <v>0.14000000000000001</v>
      </c>
    </row>
    <row r="312" spans="1:7">
      <c r="A312" s="3275" t="s">
        <v>306</v>
      </c>
      <c r="B312" s="3264" t="s">
        <v>3007</v>
      </c>
      <c r="C312" s="3265">
        <v>0.13800000000000001</v>
      </c>
      <c r="D312" s="3265">
        <v>0.14000000000000001</v>
      </c>
      <c r="E312" s="3265">
        <v>0.14599999999999999</v>
      </c>
      <c r="F312" s="3265">
        <v>0.14899999999999999</v>
      </c>
      <c r="G312" s="3266">
        <v>0.14199999999999999</v>
      </c>
    </row>
    <row r="313" spans="1:7">
      <c r="A313" s="3275" t="s">
        <v>306</v>
      </c>
      <c r="B313" s="3264" t="s">
        <v>3012</v>
      </c>
      <c r="C313" s="3265">
        <v>0.125</v>
      </c>
      <c r="D313" s="3265">
        <v>0.127</v>
      </c>
      <c r="E313" s="3265">
        <v>0.14399999999999999</v>
      </c>
      <c r="F313" s="3265">
        <v>0.115</v>
      </c>
      <c r="G313" s="3266">
        <v>0.13600000000000001</v>
      </c>
    </row>
    <row r="314" spans="1:7">
      <c r="A314" s="3275" t="s">
        <v>306</v>
      </c>
      <c r="B314" s="3264" t="s">
        <v>3221</v>
      </c>
      <c r="C314" s="3281"/>
      <c r="D314" s="3281"/>
      <c r="E314" s="3281"/>
      <c r="F314" s="3265">
        <v>0.05</v>
      </c>
      <c r="G314" s="3282"/>
    </row>
    <row r="315" spans="1:7">
      <c r="A315" s="3275" t="s">
        <v>306</v>
      </c>
      <c r="B315" s="3264" t="s">
        <v>3222</v>
      </c>
      <c r="C315" s="3281"/>
      <c r="D315" s="3281"/>
      <c r="E315" s="3281"/>
      <c r="F315" s="3265">
        <v>0.05</v>
      </c>
      <c r="G315" s="3282"/>
    </row>
    <row r="316" spans="1:7">
      <c r="A316" s="3275" t="s">
        <v>306</v>
      </c>
      <c r="B316" s="3264" t="s">
        <v>3223</v>
      </c>
      <c r="C316" s="3276"/>
      <c r="D316" s="3276"/>
      <c r="E316" s="3276"/>
      <c r="F316" s="3265">
        <v>0.05</v>
      </c>
      <c r="G316" s="3282"/>
    </row>
    <row r="317" spans="1:7">
      <c r="A317" s="3275" t="s">
        <v>306</v>
      </c>
      <c r="B317" s="3264" t="s">
        <v>3224</v>
      </c>
      <c r="C317" s="3276"/>
      <c r="D317" s="3276"/>
      <c r="E317" s="3276"/>
      <c r="F317" s="3265">
        <v>0.05</v>
      </c>
      <c r="G317" s="3282"/>
    </row>
    <row r="318" spans="1:7">
      <c r="A318" s="3275" t="s">
        <v>306</v>
      </c>
      <c r="B318" s="3264" t="s">
        <v>3225</v>
      </c>
      <c r="C318" s="3276"/>
      <c r="D318" s="3276"/>
      <c r="E318" s="3276"/>
      <c r="F318" s="3265">
        <v>0.05</v>
      </c>
      <c r="G318" s="3282"/>
    </row>
    <row r="319" spans="1:7">
      <c r="A319" s="3275" t="s">
        <v>306</v>
      </c>
      <c r="B319" s="3264" t="s">
        <v>3226</v>
      </c>
      <c r="C319" s="3276"/>
      <c r="D319" s="3276"/>
      <c r="E319" s="3276"/>
      <c r="F319" s="3265">
        <v>0.05</v>
      </c>
      <c r="G319" s="3282"/>
    </row>
    <row r="320" spans="1:7">
      <c r="A320" s="3275" t="s">
        <v>306</v>
      </c>
      <c r="B320" s="3264" t="s">
        <v>3227</v>
      </c>
      <c r="C320" s="3276"/>
      <c r="D320" s="3276"/>
      <c r="E320" s="3276"/>
      <c r="F320" s="3265">
        <v>0.05</v>
      </c>
      <c r="G320" s="3282"/>
    </row>
    <row r="321" spans="1:7">
      <c r="A321" s="3275" t="s">
        <v>306</v>
      </c>
      <c r="B321" s="3264" t="s">
        <v>3228</v>
      </c>
      <c r="C321" s="3276"/>
      <c r="D321" s="3276"/>
      <c r="E321" s="3276"/>
      <c r="F321" s="3265">
        <v>0.05</v>
      </c>
      <c r="G321" s="3282"/>
    </row>
    <row r="322" spans="1:7">
      <c r="A322" s="3275" t="s">
        <v>306</v>
      </c>
      <c r="B322" s="3264" t="s">
        <v>3229</v>
      </c>
      <c r="C322" s="3276"/>
      <c r="D322" s="3276"/>
      <c r="E322" s="3276"/>
      <c r="F322" s="3265">
        <v>0.05</v>
      </c>
      <c r="G322" s="3282"/>
    </row>
    <row r="323" spans="1:7">
      <c r="A323" s="3275" t="s">
        <v>306</v>
      </c>
      <c r="B323" s="3264" t="s">
        <v>3230</v>
      </c>
      <c r="C323" s="3276"/>
      <c r="D323" s="3276"/>
      <c r="E323" s="3276"/>
      <c r="F323" s="3265">
        <v>0.05</v>
      </c>
      <c r="G323" s="3282"/>
    </row>
    <row r="324" spans="1:7">
      <c r="A324" s="3275" t="s">
        <v>306</v>
      </c>
      <c r="B324" s="3264" t="s">
        <v>3231</v>
      </c>
      <c r="C324" s="3276"/>
      <c r="D324" s="3276"/>
      <c r="E324" s="3276"/>
      <c r="F324" s="3265">
        <v>0.05</v>
      </c>
      <c r="G324" s="3282"/>
    </row>
    <row r="325" spans="1:7">
      <c r="A325" s="3275" t="s">
        <v>306</v>
      </c>
      <c r="B325" s="3264" t="s">
        <v>3232</v>
      </c>
      <c r="C325" s="3276"/>
      <c r="D325" s="3276"/>
      <c r="E325" s="3276"/>
      <c r="F325" s="3265">
        <v>0.05</v>
      </c>
      <c r="G325" s="3282"/>
    </row>
    <row r="326" spans="1:7" ht="14.25" thickBot="1">
      <c r="A326" s="3278" t="s">
        <v>306</v>
      </c>
      <c r="B326" s="3268" t="s">
        <v>3233</v>
      </c>
      <c r="C326" s="3270"/>
      <c r="D326" s="3270"/>
      <c r="E326" s="3270"/>
      <c r="F326" s="3269">
        <v>0.05</v>
      </c>
      <c r="G326" s="3283"/>
    </row>
    <row r="327" spans="1:7">
      <c r="A327" s="3274" t="s">
        <v>307</v>
      </c>
      <c r="B327" s="3260" t="s">
        <v>2865</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2877</v>
      </c>
      <c r="C329" s="3265">
        <v>0.15</v>
      </c>
      <c r="D329" s="3265">
        <v>0.15</v>
      </c>
      <c r="E329" s="3265">
        <v>0.15</v>
      </c>
      <c r="F329" s="3265">
        <v>0.15</v>
      </c>
      <c r="G329" s="3266">
        <v>0.15</v>
      </c>
    </row>
    <row r="330" spans="1:7">
      <c r="A330" s="3275" t="s">
        <v>307</v>
      </c>
      <c r="B330" s="3264" t="s">
        <v>2881</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2889</v>
      </c>
      <c r="C332" s="3265">
        <v>0.15</v>
      </c>
      <c r="D332" s="3265">
        <v>0.15</v>
      </c>
      <c r="E332" s="3265">
        <v>0.15</v>
      </c>
      <c r="F332" s="3265">
        <v>0.15</v>
      </c>
      <c r="G332" s="3266">
        <v>0.15</v>
      </c>
    </row>
    <row r="333" spans="1:7">
      <c r="A333" s="3275" t="s">
        <v>307</v>
      </c>
      <c r="B333" s="3264" t="s">
        <v>2893</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2899</v>
      </c>
      <c r="C336" s="3265">
        <v>0.15</v>
      </c>
      <c r="D336" s="3265">
        <v>0.15</v>
      </c>
      <c r="E336" s="3265">
        <v>0.15</v>
      </c>
      <c r="F336" s="3265">
        <v>0.14199999999999999</v>
      </c>
      <c r="G336" s="3266">
        <v>0.15</v>
      </c>
    </row>
    <row r="337" spans="1:7">
      <c r="A337" s="3275" t="s">
        <v>307</v>
      </c>
      <c r="B337" s="3264" t="s">
        <v>2904</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2911</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2916</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2924</v>
      </c>
      <c r="C345" s="3265">
        <v>0.15</v>
      </c>
      <c r="D345" s="3265">
        <v>0.15</v>
      </c>
      <c r="E345" s="3265">
        <v>0.15</v>
      </c>
      <c r="F345" s="3265">
        <v>0.13800000000000001</v>
      </c>
      <c r="G345" s="3266">
        <v>0.15</v>
      </c>
    </row>
    <row r="346" spans="1:7">
      <c r="A346" s="3275" t="s">
        <v>307</v>
      </c>
      <c r="B346" s="3264" t="s">
        <v>2926</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2933</v>
      </c>
      <c r="C348" s="3265">
        <v>0.15</v>
      </c>
      <c r="D348" s="3265">
        <v>0.15</v>
      </c>
      <c r="E348" s="3265">
        <v>0.15</v>
      </c>
      <c r="F348" s="3265">
        <v>0.14399999999999999</v>
      </c>
      <c r="G348" s="3266">
        <v>0.15</v>
      </c>
    </row>
    <row r="349" spans="1:7">
      <c r="A349" s="3275" t="s">
        <v>307</v>
      </c>
      <c r="B349" s="3264" t="s">
        <v>2938</v>
      </c>
      <c r="C349" s="3265">
        <v>0.15</v>
      </c>
      <c r="D349" s="3265">
        <v>0.15</v>
      </c>
      <c r="E349" s="3265">
        <v>0.15</v>
      </c>
      <c r="F349" s="3265">
        <v>0.15</v>
      </c>
      <c r="G349" s="3266">
        <v>0.15</v>
      </c>
    </row>
    <row r="350" spans="1:7">
      <c r="A350" s="3275" t="s">
        <v>307</v>
      </c>
      <c r="B350" s="3264" t="s">
        <v>2941</v>
      </c>
      <c r="C350" s="3265">
        <v>0.15</v>
      </c>
      <c r="D350" s="3265">
        <v>0.15</v>
      </c>
      <c r="E350" s="3265">
        <v>0.15</v>
      </c>
      <c r="F350" s="3265">
        <v>0.14699999999999999</v>
      </c>
      <c r="G350" s="3266">
        <v>0.15</v>
      </c>
    </row>
    <row r="351" spans="1:7">
      <c r="A351" s="3275" t="s">
        <v>307</v>
      </c>
      <c r="B351" s="3264" t="s">
        <v>2946</v>
      </c>
      <c r="C351" s="3265">
        <v>0.15</v>
      </c>
      <c r="D351" s="3265">
        <v>0.15</v>
      </c>
      <c r="E351" s="3265">
        <v>0.15</v>
      </c>
      <c r="F351" s="3265">
        <v>0.13</v>
      </c>
      <c r="G351" s="3266">
        <v>0.15</v>
      </c>
    </row>
    <row r="352" spans="1:7">
      <c r="A352" s="3275" t="s">
        <v>307</v>
      </c>
      <c r="B352" s="3264" t="s">
        <v>2951</v>
      </c>
      <c r="C352" s="3265">
        <v>0.15</v>
      </c>
      <c r="D352" s="3265">
        <v>0.15</v>
      </c>
      <c r="E352" s="3265">
        <v>0.15</v>
      </c>
      <c r="F352" s="3265">
        <v>0.14599999999999999</v>
      </c>
      <c r="G352" s="3266">
        <v>0.15</v>
      </c>
    </row>
    <row r="353" spans="1:7">
      <c r="A353" s="3275" t="s">
        <v>307</v>
      </c>
      <c r="B353" s="3264" t="s">
        <v>2958</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2971</v>
      </c>
      <c r="C355" s="3265">
        <v>0.15</v>
      </c>
      <c r="D355" s="3265">
        <v>0.15</v>
      </c>
      <c r="E355" s="3265">
        <v>0.15</v>
      </c>
      <c r="F355" s="3265">
        <v>0.15</v>
      </c>
      <c r="G355" s="3266">
        <v>0.15</v>
      </c>
    </row>
    <row r="356" spans="1:7">
      <c r="A356" s="3275" t="s">
        <v>307</v>
      </c>
      <c r="B356" s="3264" t="s">
        <v>2978</v>
      </c>
      <c r="C356" s="3265">
        <v>0.15</v>
      </c>
      <c r="D356" s="3265">
        <v>0.15</v>
      </c>
      <c r="E356" s="3265">
        <v>0.15</v>
      </c>
      <c r="F356" s="3265">
        <v>0.15</v>
      </c>
      <c r="G356" s="3266">
        <v>0.15</v>
      </c>
    </row>
    <row r="357" spans="1:7" ht="14.25" thickBot="1">
      <c r="A357" s="3278" t="s">
        <v>307</v>
      </c>
      <c r="B357" s="3268" t="s">
        <v>2983</v>
      </c>
      <c r="C357" s="3269">
        <v>0.126</v>
      </c>
      <c r="D357" s="3269">
        <v>0.127</v>
      </c>
      <c r="E357" s="3269">
        <v>0.14299999999999999</v>
      </c>
      <c r="F357" s="3269">
        <v>0.125</v>
      </c>
      <c r="G357" s="3271">
        <v>0.129</v>
      </c>
    </row>
    <row r="358" spans="1:7">
      <c r="A358" s="3274" t="s">
        <v>2852</v>
      </c>
      <c r="B358" s="3260" t="s">
        <v>2866</v>
      </c>
      <c r="C358" s="3261">
        <v>0.15</v>
      </c>
      <c r="D358" s="3261">
        <v>0.15</v>
      </c>
      <c r="E358" s="3261">
        <v>0.15</v>
      </c>
      <c r="F358" s="3261">
        <v>0.15</v>
      </c>
      <c r="G358" s="3262">
        <v>0.15</v>
      </c>
    </row>
    <row r="359" spans="1:7">
      <c r="A359" s="3275" t="s">
        <v>2852</v>
      </c>
      <c r="B359" s="3264" t="s">
        <v>2872</v>
      </c>
      <c r="C359" s="3265">
        <v>0.1</v>
      </c>
      <c r="D359" s="3265">
        <v>0.1</v>
      </c>
      <c r="E359" s="3265">
        <v>0.1</v>
      </c>
      <c r="F359" s="3265">
        <v>0.1</v>
      </c>
      <c r="G359" s="3266">
        <v>0.1</v>
      </c>
    </row>
    <row r="360" spans="1:7">
      <c r="A360" s="3275" t="s">
        <v>2852</v>
      </c>
      <c r="B360" s="3264" t="s">
        <v>2878</v>
      </c>
      <c r="C360" s="3265">
        <v>0.15</v>
      </c>
      <c r="D360" s="3265">
        <v>0.15</v>
      </c>
      <c r="E360" s="3265">
        <v>0.15</v>
      </c>
      <c r="F360" s="3265">
        <v>0.14899999999999999</v>
      </c>
      <c r="G360" s="3266">
        <v>0.15</v>
      </c>
    </row>
    <row r="361" spans="1:7">
      <c r="A361" s="3275" t="s">
        <v>2852</v>
      </c>
      <c r="B361" s="3264" t="s">
        <v>153</v>
      </c>
      <c r="C361" s="3265">
        <v>0.15</v>
      </c>
      <c r="D361" s="3265">
        <v>0.15</v>
      </c>
      <c r="E361" s="3265">
        <v>0.15</v>
      </c>
      <c r="F361" s="3265">
        <v>0.115</v>
      </c>
      <c r="G361" s="3266">
        <v>0.15</v>
      </c>
    </row>
    <row r="362" spans="1:7">
      <c r="A362" s="3275" t="s">
        <v>2852</v>
      </c>
      <c r="B362" s="3264" t="s">
        <v>2885</v>
      </c>
      <c r="C362" s="3265">
        <v>0.15</v>
      </c>
      <c r="D362" s="3265">
        <v>0.15</v>
      </c>
      <c r="E362" s="3265">
        <v>0.15</v>
      </c>
      <c r="F362" s="3265">
        <v>0.106</v>
      </c>
      <c r="G362" s="3266">
        <v>0.15</v>
      </c>
    </row>
    <row r="363" spans="1:7">
      <c r="A363" s="3275" t="s">
        <v>2852</v>
      </c>
      <c r="B363" s="3264" t="s">
        <v>2890</v>
      </c>
      <c r="C363" s="3265">
        <v>0.15</v>
      </c>
      <c r="D363" s="3265">
        <v>0.15</v>
      </c>
      <c r="E363" s="3265">
        <v>0.15</v>
      </c>
      <c r="F363" s="3265">
        <v>0.14699999999999999</v>
      </c>
      <c r="G363" s="3266">
        <v>0.15</v>
      </c>
    </row>
    <row r="364" spans="1:7">
      <c r="A364" s="3275" t="s">
        <v>2852</v>
      </c>
      <c r="B364" s="3264" t="s">
        <v>2894</v>
      </c>
      <c r="C364" s="3265">
        <v>0.15</v>
      </c>
      <c r="D364" s="3265">
        <v>0.15</v>
      </c>
      <c r="E364" s="3265">
        <v>0.15</v>
      </c>
      <c r="F364" s="3265">
        <v>0.14799999999999999</v>
      </c>
      <c r="G364" s="3266">
        <v>0.15</v>
      </c>
    </row>
    <row r="365" spans="1:7">
      <c r="A365" s="3275" t="s">
        <v>2852</v>
      </c>
      <c r="B365" s="3264" t="s">
        <v>200</v>
      </c>
      <c r="C365" s="3265">
        <v>0.15</v>
      </c>
      <c r="D365" s="3265">
        <v>0.15</v>
      </c>
      <c r="E365" s="3265">
        <v>0.15</v>
      </c>
      <c r="F365" s="3265">
        <v>0.15</v>
      </c>
      <c r="G365" s="3266">
        <v>0.15</v>
      </c>
    </row>
    <row r="366" spans="1:7">
      <c r="A366" s="3275" t="s">
        <v>2852</v>
      </c>
      <c r="B366" s="3264" t="s">
        <v>2897</v>
      </c>
      <c r="C366" s="3265">
        <v>0.15</v>
      </c>
      <c r="D366" s="3265">
        <v>0.15</v>
      </c>
      <c r="E366" s="3265">
        <v>0.15</v>
      </c>
      <c r="F366" s="3265">
        <v>0.15</v>
      </c>
      <c r="G366" s="3266">
        <v>0.15</v>
      </c>
    </row>
    <row r="367" spans="1:7">
      <c r="A367" s="3275" t="s">
        <v>2852</v>
      </c>
      <c r="B367" s="3264" t="s">
        <v>2900</v>
      </c>
      <c r="C367" s="3265">
        <v>0.15</v>
      </c>
      <c r="D367" s="3265">
        <v>0.15</v>
      </c>
      <c r="E367" s="3265">
        <v>0.15</v>
      </c>
      <c r="F367" s="3265">
        <v>0.14699999999999999</v>
      </c>
      <c r="G367" s="3266">
        <v>0.15</v>
      </c>
    </row>
    <row r="368" spans="1:7">
      <c r="A368" s="3275" t="s">
        <v>2852</v>
      </c>
      <c r="B368" s="3264" t="s">
        <v>2905</v>
      </c>
      <c r="C368" s="3265">
        <v>0.15</v>
      </c>
      <c r="D368" s="3265">
        <v>0.15</v>
      </c>
      <c r="E368" s="3265">
        <v>0.15</v>
      </c>
      <c r="F368" s="3265">
        <v>0.13600000000000001</v>
      </c>
      <c r="G368" s="3266">
        <v>0.15</v>
      </c>
    </row>
    <row r="369" spans="1:7">
      <c r="A369" s="3275" t="s">
        <v>2852</v>
      </c>
      <c r="B369" s="3264" t="s">
        <v>214</v>
      </c>
      <c r="C369" s="3265">
        <v>0.15</v>
      </c>
      <c r="D369" s="3265">
        <v>0.15</v>
      </c>
      <c r="E369" s="3265">
        <v>0.15</v>
      </c>
      <c r="F369" s="3265">
        <v>0.14399999999999999</v>
      </c>
      <c r="G369" s="3266">
        <v>0.15</v>
      </c>
    </row>
    <row r="370" spans="1:7">
      <c r="A370" s="3275" t="s">
        <v>2852</v>
      </c>
      <c r="B370" s="3264" t="s">
        <v>221</v>
      </c>
      <c r="C370" s="3265">
        <v>0.15</v>
      </c>
      <c r="D370" s="3265">
        <v>0.15</v>
      </c>
      <c r="E370" s="3265">
        <v>0.15</v>
      </c>
      <c r="F370" s="3265">
        <v>0.14599999999999999</v>
      </c>
      <c r="G370" s="3266">
        <v>0.15</v>
      </c>
    </row>
    <row r="371" spans="1:7">
      <c r="A371" s="3275" t="s">
        <v>2852</v>
      </c>
      <c r="B371" s="3264" t="s">
        <v>229</v>
      </c>
      <c r="C371" s="3265">
        <v>0.15</v>
      </c>
      <c r="D371" s="3265">
        <v>0.15</v>
      </c>
      <c r="E371" s="3265">
        <v>0.15</v>
      </c>
      <c r="F371" s="3265">
        <v>0.12</v>
      </c>
      <c r="G371" s="3266">
        <v>0.15</v>
      </c>
    </row>
    <row r="372" spans="1:7">
      <c r="A372" s="3275" t="s">
        <v>2852</v>
      </c>
      <c r="B372" s="3264" t="s">
        <v>2913</v>
      </c>
      <c r="C372" s="3265">
        <v>0.15</v>
      </c>
      <c r="D372" s="3265">
        <v>0.15</v>
      </c>
      <c r="E372" s="3265">
        <v>0.15</v>
      </c>
      <c r="F372" s="3265">
        <v>0.14299999999999999</v>
      </c>
      <c r="G372" s="3266">
        <v>0.15</v>
      </c>
    </row>
    <row r="373" spans="1:7">
      <c r="A373" s="3275" t="s">
        <v>2852</v>
      </c>
      <c r="B373" s="3264" t="s">
        <v>258</v>
      </c>
      <c r="C373" s="3265">
        <v>0.15</v>
      </c>
      <c r="D373" s="3265">
        <v>0.15</v>
      </c>
      <c r="E373" s="3265">
        <v>0.15</v>
      </c>
      <c r="F373" s="3265">
        <v>0.14599999999999999</v>
      </c>
      <c r="G373" s="3266">
        <v>0.15</v>
      </c>
    </row>
    <row r="374" spans="1:7">
      <c r="A374" s="3275" t="s">
        <v>2852</v>
      </c>
      <c r="B374" s="3264" t="s">
        <v>266</v>
      </c>
      <c r="C374" s="3265">
        <v>0.15</v>
      </c>
      <c r="D374" s="3265">
        <v>0.15</v>
      </c>
      <c r="E374" s="3265">
        <v>0.15</v>
      </c>
      <c r="F374" s="3265">
        <v>0.14399999999999999</v>
      </c>
      <c r="G374" s="3266">
        <v>0.15</v>
      </c>
    </row>
    <row r="375" spans="1:7">
      <c r="A375" s="3275" t="s">
        <v>2852</v>
      </c>
      <c r="B375" s="3264" t="s">
        <v>2921</v>
      </c>
      <c r="C375" s="3265">
        <v>0.15</v>
      </c>
      <c r="D375" s="3265">
        <v>0.15</v>
      </c>
      <c r="E375" s="3265">
        <v>0.15</v>
      </c>
      <c r="F375" s="3265">
        <v>0.13</v>
      </c>
      <c r="G375" s="3266">
        <v>0.15</v>
      </c>
    </row>
    <row r="376" spans="1:7">
      <c r="A376" s="3275" t="s">
        <v>2852</v>
      </c>
      <c r="B376" s="3264" t="s">
        <v>277</v>
      </c>
      <c r="C376" s="3265">
        <v>0.15</v>
      </c>
      <c r="D376" s="3265">
        <v>0.15</v>
      </c>
      <c r="E376" s="3265">
        <v>0.15</v>
      </c>
      <c r="F376" s="3265">
        <v>0.14199999999999999</v>
      </c>
      <c r="G376" s="3266">
        <v>0.15</v>
      </c>
    </row>
    <row r="377" spans="1:7" ht="14.25" thickBot="1">
      <c r="A377" s="3278" t="s">
        <v>2852</v>
      </c>
      <c r="B377" s="3268" t="s">
        <v>2927</v>
      </c>
      <c r="C377" s="3269">
        <v>0.15</v>
      </c>
      <c r="D377" s="3269">
        <v>0.15</v>
      </c>
      <c r="E377" s="3269">
        <v>0.15</v>
      </c>
      <c r="F377" s="3269">
        <v>0.14000000000000001</v>
      </c>
      <c r="G377" s="3271">
        <v>0.15</v>
      </c>
    </row>
    <row r="378" spans="1:7">
      <c r="A378" s="3274" t="s">
        <v>2853</v>
      </c>
      <c r="B378" s="3260" t="s">
        <v>2867</v>
      </c>
      <c r="C378" s="3261">
        <v>0.15</v>
      </c>
      <c r="D378" s="3261">
        <v>0.15</v>
      </c>
      <c r="E378" s="3261">
        <v>0.15</v>
      </c>
      <c r="F378" s="3261">
        <v>0.107</v>
      </c>
      <c r="G378" s="3262">
        <v>0.15</v>
      </c>
    </row>
    <row r="379" spans="1:7">
      <c r="A379" s="3275" t="s">
        <v>2853</v>
      </c>
      <c r="B379" s="3264" t="s">
        <v>2873</v>
      </c>
      <c r="C379" s="3265">
        <v>0.15</v>
      </c>
      <c r="D379" s="3265">
        <v>0.15</v>
      </c>
      <c r="E379" s="3265">
        <v>0.15</v>
      </c>
      <c r="F379" s="3265">
        <v>0.115</v>
      </c>
      <c r="G379" s="3266">
        <v>0.14899999999999999</v>
      </c>
    </row>
    <row r="380" spans="1:7">
      <c r="A380" s="3275" t="s">
        <v>2853</v>
      </c>
      <c r="B380" s="3264" t="s">
        <v>2879</v>
      </c>
      <c r="C380" s="3265">
        <v>0.15</v>
      </c>
      <c r="D380" s="3265">
        <v>0.15</v>
      </c>
      <c r="E380" s="3265">
        <v>0.15</v>
      </c>
      <c r="F380" s="3265">
        <v>0.1</v>
      </c>
      <c r="G380" s="3266">
        <v>0.14799999999999999</v>
      </c>
    </row>
    <row r="381" spans="1:7">
      <c r="A381" s="3275" t="s">
        <v>2853</v>
      </c>
      <c r="B381" s="3264" t="s">
        <v>2882</v>
      </c>
      <c r="C381" s="3265">
        <v>0.15</v>
      </c>
      <c r="D381" s="3265">
        <v>0.15</v>
      </c>
      <c r="E381" s="3265">
        <v>0.15</v>
      </c>
      <c r="F381" s="3265">
        <v>0.126</v>
      </c>
      <c r="G381" s="3266">
        <v>0.15</v>
      </c>
    </row>
    <row r="382" spans="1:7">
      <c r="A382" s="3275" t="s">
        <v>2853</v>
      </c>
      <c r="B382" s="3264" t="s">
        <v>2886</v>
      </c>
      <c r="C382" s="3265">
        <v>0.15</v>
      </c>
      <c r="D382" s="3265">
        <v>0.15</v>
      </c>
      <c r="E382" s="3265">
        <v>0.15</v>
      </c>
      <c r="F382" s="3265">
        <v>0.15</v>
      </c>
      <c r="G382" s="3266">
        <v>0.15</v>
      </c>
    </row>
    <row r="383" spans="1:7">
      <c r="A383" s="3275" t="s">
        <v>2853</v>
      </c>
      <c r="B383" s="3264" t="s">
        <v>2891</v>
      </c>
      <c r="C383" s="3265">
        <v>0.15</v>
      </c>
      <c r="D383" s="3265">
        <v>0.15</v>
      </c>
      <c r="E383" s="3265">
        <v>0.15</v>
      </c>
      <c r="F383" s="3265">
        <v>0.14699999999999999</v>
      </c>
      <c r="G383" s="3266">
        <v>0.15</v>
      </c>
    </row>
    <row r="384" spans="1:7" ht="14.25" thickBot="1">
      <c r="A384" s="3285" t="s">
        <v>2853</v>
      </c>
      <c r="B384" s="3286" t="s">
        <v>2895</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23" t="s">
        <v>3234</v>
      </c>
      <c r="B1" s="3823"/>
      <c r="C1" s="3823"/>
      <c r="D1" s="3823"/>
      <c r="E1" s="3823"/>
      <c r="F1" s="3824"/>
    </row>
    <row r="2" spans="1:6">
      <c r="A2" s="3291" t="s">
        <v>3235</v>
      </c>
      <c r="B2" s="3292"/>
      <c r="C2" s="3292"/>
      <c r="D2" s="3292"/>
      <c r="E2" s="3292"/>
      <c r="F2" s="3292"/>
    </row>
    <row r="3" spans="1:6">
      <c r="A3" s="3291" t="s">
        <v>3236</v>
      </c>
      <c r="B3" s="3292"/>
      <c r="C3" s="3292"/>
      <c r="D3" s="3292"/>
      <c r="E3" s="3292"/>
      <c r="F3" s="3293" t="s">
        <v>3237</v>
      </c>
    </row>
    <row r="4" spans="1:6">
      <c r="A4" s="3294" t="s">
        <v>672</v>
      </c>
      <c r="B4" s="3294" t="s">
        <v>673</v>
      </c>
      <c r="C4" s="3294" t="s">
        <v>21</v>
      </c>
      <c r="D4" s="3294" t="s">
        <v>674</v>
      </c>
      <c r="E4" s="3294" t="s">
        <v>3</v>
      </c>
      <c r="F4" s="3294" t="s">
        <v>3238</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9" t="str">
        <f>IF(项目基本情况!B9="房地产市场价值","估价结果一览表","结果表-2")</f>
        <v>估价结果一览表</v>
      </c>
      <c r="B1" s="3499"/>
      <c r="C1" s="3499"/>
      <c r="D1" s="3499"/>
      <c r="E1" s="3499"/>
      <c r="F1" s="3499"/>
      <c r="G1" s="3499"/>
      <c r="H1" s="3499"/>
      <c r="I1" s="3499"/>
    </row>
    <row r="2" spans="1:9" ht="30" customHeight="1" thickTop="1">
      <c r="A2" s="3500" t="s">
        <v>928</v>
      </c>
      <c r="B2" s="3500" t="s">
        <v>929</v>
      </c>
      <c r="C2" s="3500" t="s">
        <v>930</v>
      </c>
      <c r="D2" s="3500" t="str">
        <f>结果表!D116</f>
        <v>出让国有建设用地使用权价值</v>
      </c>
      <c r="E2" s="3500"/>
      <c r="F2" s="3500" t="str">
        <f>结果表!F116</f>
        <v>在建建筑物价值</v>
      </c>
      <c r="G2" s="3500"/>
      <c r="H2" s="3500" t="str">
        <f>IF(项目基本情况!B9="房地产市场价值","房地产市场价值","房地产价值")</f>
        <v>房地产市场价值</v>
      </c>
      <c r="I2" s="3500"/>
    </row>
    <row r="3" spans="1:9" ht="15">
      <c r="A3" s="3495"/>
      <c r="B3" s="3495"/>
      <c r="C3" s="3495"/>
      <c r="D3" s="854" t="s">
        <v>925</v>
      </c>
      <c r="E3" s="854" t="s">
        <v>931</v>
      </c>
      <c r="F3" s="854" t="s">
        <v>925</v>
      </c>
      <c r="G3" s="854" t="s">
        <v>926</v>
      </c>
      <c r="H3" s="854" t="s">
        <v>925</v>
      </c>
      <c r="I3" s="854" t="s">
        <v>926</v>
      </c>
    </row>
    <row r="4" spans="1:9" ht="15">
      <c r="A4" s="1505" t="str">
        <f>项目基本情况!S2</f>
        <v>北京市房地产</v>
      </c>
      <c r="B4" s="854">
        <f>项目基本情况!C17</f>
        <v>66.03</v>
      </c>
      <c r="C4" s="854">
        <f>项目基本情况!C18</f>
        <v>33.020000000000003</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5" t="s">
        <v>927</v>
      </c>
      <c r="B5" s="3495"/>
      <c r="C5" s="3495"/>
      <c r="D5" s="3495" t="e">
        <f ca="1">结果表!D119</f>
        <v>#REF!</v>
      </c>
      <c r="E5" s="3495"/>
      <c r="F5" s="3495" t="e">
        <f ca="1">结果表!F119</f>
        <v>#REF!</v>
      </c>
      <c r="G5" s="3495"/>
      <c r="H5" s="3495" t="e">
        <f ca="1">结果表!H119</f>
        <v>#REF!</v>
      </c>
      <c r="I5" s="3495"/>
    </row>
    <row r="6" spans="1:9" ht="15.75">
      <c r="A6" s="3494" t="str">
        <f>结果表!A120</f>
        <v/>
      </c>
      <c r="B6" s="3494"/>
      <c r="C6" s="3494"/>
      <c r="D6" s="3494">
        <f>结果表!D120</f>
        <v>0</v>
      </c>
      <c r="E6" s="3494"/>
      <c r="F6" s="3494"/>
      <c r="G6" s="3494"/>
      <c r="H6" s="3494"/>
      <c r="I6" s="3494"/>
    </row>
    <row r="7" spans="1:9" ht="15">
      <c r="A7" s="3495" t="s">
        <v>927</v>
      </c>
      <c r="B7" s="3495"/>
      <c r="C7" s="3495"/>
      <c r="D7" s="3496" t="str">
        <f>结果表!D121</f>
        <v>零元整</v>
      </c>
      <c r="E7" s="3497"/>
      <c r="F7" s="3497"/>
      <c r="G7" s="3497"/>
      <c r="H7" s="3497"/>
      <c r="I7" s="3498"/>
    </row>
    <row r="8" spans="1:9" ht="15.75">
      <c r="A8" s="3494" t="str">
        <f>结果表!A122</f>
        <v/>
      </c>
      <c r="B8" s="3494"/>
      <c r="C8" s="3494"/>
      <c r="D8" s="3494" t="e">
        <f ca="1">结果表!D122</f>
        <v>#REF!</v>
      </c>
      <c r="E8" s="3494"/>
      <c r="F8" s="3494"/>
      <c r="G8" s="3494"/>
      <c r="H8" s="3494"/>
      <c r="I8" s="3494"/>
    </row>
    <row r="9" spans="1:9" ht="15">
      <c r="A9" s="3495" t="s">
        <v>927</v>
      </c>
      <c r="B9" s="3495"/>
      <c r="C9" s="3495"/>
      <c r="D9" s="3495" t="e">
        <f ca="1">结果表!D123</f>
        <v>#REF!</v>
      </c>
      <c r="E9" s="3495"/>
      <c r="F9" s="3495"/>
      <c r="G9" s="3495"/>
      <c r="H9" s="3495"/>
      <c r="I9" s="3495"/>
    </row>
    <row r="10" spans="1:9" ht="15.75">
      <c r="A10" s="3494" t="str">
        <f>结果表!A124</f>
        <v/>
      </c>
      <c r="B10" s="3494"/>
      <c r="C10" s="3494"/>
      <c r="D10" s="3494" t="str">
        <f>结果表!D124</f>
        <v>——</v>
      </c>
      <c r="E10" s="3494"/>
      <c r="F10" s="3494"/>
      <c r="G10" s="3494"/>
      <c r="H10" s="3494"/>
      <c r="I10" s="3494"/>
    </row>
    <row r="11" spans="1:9" ht="15">
      <c r="A11" s="3495" t="s">
        <v>927</v>
      </c>
      <c r="B11" s="3495"/>
      <c r="C11" s="3495"/>
      <c r="D11" s="3495" t="e">
        <f>结果表!D125</f>
        <v>#VALUE!</v>
      </c>
      <c r="E11" s="3495"/>
      <c r="F11" s="3495"/>
      <c r="G11" s="3495"/>
      <c r="H11" s="3495"/>
      <c r="I11" s="3495"/>
    </row>
    <row r="12" spans="1:9" ht="15.75">
      <c r="A12" s="3494" t="str">
        <f>结果表!A126</f>
        <v/>
      </c>
      <c r="B12" s="3494"/>
      <c r="C12" s="3494"/>
      <c r="D12" s="3494" t="str">
        <f>结果表!D126</f>
        <v>——</v>
      </c>
      <c r="E12" s="3494"/>
      <c r="F12" s="3494"/>
      <c r="G12" s="3494"/>
      <c r="H12" s="3494"/>
      <c r="I12" s="3494"/>
    </row>
    <row r="13" spans="1:9" ht="15.75" thickBot="1">
      <c r="A13" s="3492" t="s">
        <v>927</v>
      </c>
      <c r="B13" s="3492"/>
      <c r="C13" s="3492"/>
      <c r="D13" s="3492" t="e">
        <f>结果表!D127</f>
        <v>#VALUE!</v>
      </c>
      <c r="E13" s="3492"/>
      <c r="F13" s="3492"/>
      <c r="G13" s="3492"/>
      <c r="H13" s="3492"/>
      <c r="I13" s="3492"/>
    </row>
    <row r="14" spans="1:9" ht="15" thickTop="1">
      <c r="A14" s="3493" t="s">
        <v>932</v>
      </c>
      <c r="B14" s="3493"/>
      <c r="C14" s="3493"/>
      <c r="D14" s="3493"/>
      <c r="E14" s="3493"/>
      <c r="F14" s="3493"/>
      <c r="G14" s="3493"/>
      <c r="H14" s="3493"/>
      <c r="I14" s="349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21">
        <f>基准地价修正!G23</f>
        <v>45275</v>
      </c>
      <c r="B1" s="3210" t="s">
        <v>3372</v>
      </c>
      <c r="C1" s="3211"/>
      <c r="D1" s="3211"/>
      <c r="E1" s="3211"/>
      <c r="F1" s="3211"/>
      <c r="G1" s="3211"/>
      <c r="H1" s="3211"/>
      <c r="I1" s="3211"/>
      <c r="J1" s="3165"/>
      <c r="K1" s="3211" t="s">
        <v>454</v>
      </c>
      <c r="L1" s="3211"/>
      <c r="M1" s="3211"/>
      <c r="N1" s="3211"/>
      <c r="O1" s="3211"/>
      <c r="P1" s="3211"/>
      <c r="Q1" s="3165"/>
      <c r="R1" s="3825" t="s">
        <v>456</v>
      </c>
      <c r="S1" s="3826"/>
      <c r="T1" s="3826"/>
      <c r="U1" s="3826"/>
      <c r="V1" s="3826"/>
      <c r="W1" s="3826"/>
      <c r="X1" s="3165"/>
      <c r="Y1" s="3825" t="s">
        <v>457</v>
      </c>
      <c r="Z1" s="3826"/>
      <c r="AA1" s="3826"/>
      <c r="AB1" s="3826"/>
      <c r="AC1" s="3826"/>
      <c r="AD1" s="3826"/>
    </row>
    <row r="2" spans="1:30" s="3143" customFormat="1" ht="14.2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2.75">
      <c r="A3" s="3149" t="s">
        <v>2821</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3376</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3377</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3378</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3370</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3371</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3369</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3368</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3364</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3355</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2822</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2823</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2824</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2825</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2826</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3366</v>
      </c>
    </row>
    <row r="21" spans="1:30" s="3009" customFormat="1">
      <c r="I21" s="3208" t="s">
        <v>2827</v>
      </c>
    </row>
    <row r="22" spans="1:30" s="3009" customFormat="1"/>
    <row r="23" spans="1:30" s="3209" customFormat="1" ht="12.75">
      <c r="B23" s="3210" t="s">
        <v>3373</v>
      </c>
      <c r="C23" s="3211"/>
      <c r="D23" s="3211"/>
      <c r="E23" s="3211"/>
      <c r="F23" s="3211"/>
      <c r="G23" s="3211"/>
      <c r="H23" s="3211"/>
      <c r="I23" s="3211"/>
      <c r="J23" s="3165"/>
      <c r="K23" s="3211" t="s">
        <v>2828</v>
      </c>
      <c r="L23" s="3211"/>
      <c r="M23" s="3211"/>
      <c r="N23" s="3211"/>
      <c r="O23" s="3211"/>
      <c r="P23" s="3211"/>
      <c r="Q23" s="3165"/>
      <c r="R23" s="3825" t="s">
        <v>2829</v>
      </c>
      <c r="S23" s="3826"/>
      <c r="T23" s="3826"/>
      <c r="U23" s="3826"/>
      <c r="V23" s="3826"/>
      <c r="W23" s="3826"/>
      <c r="X23" s="3165"/>
      <c r="Y23" s="3825" t="s">
        <v>2830</v>
      </c>
      <c r="Z23" s="3826"/>
      <c r="AA23" s="3826"/>
      <c r="AB23" s="3826"/>
      <c r="AC23" s="3826"/>
      <c r="AD23" s="3826"/>
    </row>
    <row r="24" spans="1:30" s="3143" customFormat="1" ht="14.25" thickBot="1">
      <c r="B24" s="3144"/>
      <c r="C24" s="3145"/>
      <c r="D24" s="3146" t="s">
        <v>2831</v>
      </c>
      <c r="E24" s="3147" t="s">
        <v>2832</v>
      </c>
      <c r="F24" s="3147" t="s">
        <v>2833</v>
      </c>
      <c r="G24" s="3147" t="s">
        <v>2834</v>
      </c>
      <c r="H24" s="3147"/>
      <c r="I24" s="3147" t="s">
        <v>2835</v>
      </c>
      <c r="J24" s="3148"/>
      <c r="K24" s="3146" t="s">
        <v>2831</v>
      </c>
      <c r="L24" s="3147" t="s">
        <v>2832</v>
      </c>
      <c r="M24" s="3147" t="s">
        <v>2833</v>
      </c>
      <c r="N24" s="3147" t="s">
        <v>2834</v>
      </c>
      <c r="O24" s="3147"/>
      <c r="P24" s="3147" t="s">
        <v>2835</v>
      </c>
      <c r="Q24" s="3148"/>
      <c r="R24" s="3146" t="s">
        <v>2831</v>
      </c>
      <c r="S24" s="3147" t="s">
        <v>2832</v>
      </c>
      <c r="T24" s="3147" t="s">
        <v>2833</v>
      </c>
      <c r="U24" s="3147" t="s">
        <v>2834</v>
      </c>
      <c r="V24" s="3147"/>
      <c r="W24" s="3147" t="s">
        <v>2835</v>
      </c>
      <c r="X24" s="3148"/>
      <c r="Y24" s="3146" t="s">
        <v>2831</v>
      </c>
      <c r="Z24" s="3147" t="s">
        <v>2832</v>
      </c>
      <c r="AA24" s="3147" t="s">
        <v>2833</v>
      </c>
      <c r="AB24" s="3147" t="s">
        <v>2834</v>
      </c>
      <c r="AC24" s="3147"/>
      <c r="AD24" s="3147" t="s">
        <v>2835</v>
      </c>
    </row>
    <row r="25" spans="1:30" s="3161" customFormat="1" ht="12.75">
      <c r="A25" s="3149" t="s">
        <v>2836</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3376</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3377</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3378</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3374</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3375</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3369</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3368</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3365</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3355</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2837</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2838</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2839</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2840</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2826</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32" t="s">
        <v>452</v>
      </c>
      <c r="C1" s="3832"/>
      <c r="D1" s="3832"/>
      <c r="E1" s="3832"/>
      <c r="F1" s="3832"/>
      <c r="G1" s="3831" t="s">
        <v>453</v>
      </c>
      <c r="H1" s="3831"/>
      <c r="I1" s="3831"/>
      <c r="J1" s="3831"/>
      <c r="K1" s="3831"/>
      <c r="L1" s="3831"/>
      <c r="N1" s="3831" t="s">
        <v>454</v>
      </c>
      <c r="O1" s="3831"/>
      <c r="P1" s="3831"/>
      <c r="Q1" s="3831"/>
      <c r="S1" s="3831" t="s">
        <v>455</v>
      </c>
      <c r="T1" s="3831"/>
      <c r="U1" s="3831"/>
      <c r="V1" s="3831"/>
      <c r="X1" s="3830" t="s">
        <v>456</v>
      </c>
      <c r="Y1" s="3831"/>
      <c r="Z1" s="3831"/>
      <c r="AA1" s="3831"/>
      <c r="AB1" s="3831"/>
      <c r="AD1" s="3830" t="s">
        <v>457</v>
      </c>
      <c r="AE1" s="3831"/>
      <c r="AF1" s="3831"/>
      <c r="AG1" s="3831"/>
      <c r="AH1" s="383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2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2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2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3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3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2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2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3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3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2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2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2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2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2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2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2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2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3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3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3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3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2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2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2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2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2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2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2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2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2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2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2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2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2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2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2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2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2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2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2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2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2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2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2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2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2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2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2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2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2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2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2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2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2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2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2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2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45275</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2312</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19" sqref="F19"/>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66.03</v>
      </c>
      <c r="C1" s="2686"/>
      <c r="D1" s="2686"/>
      <c r="E1" s="2686"/>
      <c r="F1" s="2686"/>
      <c r="G1" s="2687"/>
      <c r="H1" s="2688"/>
      <c r="I1" s="2688"/>
      <c r="J1" s="2688"/>
      <c r="K1" s="2688"/>
    </row>
    <row r="2" spans="1:11" ht="16.5">
      <c r="A2" s="2512" t="s">
        <v>653</v>
      </c>
      <c r="B2" s="2512">
        <f>SUM(C14:C23)</f>
        <v>33.020000000000003</v>
      </c>
      <c r="C2" s="2686"/>
      <c r="D2" s="2686"/>
      <c r="E2" s="2686"/>
      <c r="F2" s="2686"/>
      <c r="G2" s="2687"/>
      <c r="H2" s="2688"/>
      <c r="I2" s="2688"/>
      <c r="J2" s="2688"/>
      <c r="K2" s="2688"/>
    </row>
    <row r="3" spans="1:11" ht="16.5">
      <c r="A3" s="2512" t="s">
        <v>662</v>
      </c>
      <c r="B3" s="2514">
        <f>项目基本情况!D3</f>
        <v>45275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139.4554</v>
      </c>
      <c r="C5" s="2512" t="e">
        <f ca="1">IF(B5=D14,结果表!H102,ROUND(B5*10000/$B$1,0))</f>
        <v>#DIV/0!</v>
      </c>
      <c r="D5" s="2512">
        <f ca="1">ROUND(B5*10000/$B$2,0)</f>
        <v>42234</v>
      </c>
      <c r="E5" s="2686"/>
      <c r="F5" s="2687"/>
      <c r="G5" s="2687"/>
      <c r="H5" s="2688"/>
      <c r="I5" s="2688"/>
      <c r="J5" s="2688"/>
      <c r="K5" s="2688"/>
    </row>
    <row r="6" spans="1:11" ht="16.5">
      <c r="A6" s="2512" t="s">
        <v>656</v>
      </c>
      <c r="B6" s="2512">
        <f>SUM(G14:G23)</f>
        <v>0</v>
      </c>
      <c r="C6" s="2512">
        <f ca="1">IF(B6=G14,结果表!H108,ROUND(B6*10000/$B$1,0))</f>
        <v>0</v>
      </c>
      <c r="D6" s="2512">
        <f>ROUND(B6*10000/$B$2,0)</f>
        <v>0</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3356</v>
      </c>
      <c r="D10" s="2512" t="s">
        <v>3357</v>
      </c>
      <c r="E10" s="3441"/>
      <c r="F10" s="3445" t="s">
        <v>3358</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'数据-汇总表'!F19</f>
        <v>66.03</v>
      </c>
      <c r="C14" s="2518">
        <f>'数据-汇总表'!D19</f>
        <v>33.020000000000003</v>
      </c>
      <c r="D14" s="2518">
        <f ca="1">结果表!G22/10000</f>
        <v>139.4554</v>
      </c>
      <c r="E14" s="2518">
        <f ca="1">ROUND(D14*10000/B14,0)</f>
        <v>21120</v>
      </c>
      <c r="F14" s="2518">
        <f ca="1">ROUND(D14*10000/C14,0)</f>
        <v>42234</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7" t="s">
        <v>949</v>
      </c>
      <c r="B1" s="3507"/>
      <c r="C1" s="3507"/>
      <c r="D1" s="3507"/>
    </row>
    <row r="2" spans="1:4" ht="18">
      <c r="A2" s="3508" t="s">
        <v>933</v>
      </c>
      <c r="B2" s="3508"/>
      <c r="C2" s="3508"/>
      <c r="D2" s="3508"/>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8" t="s">
        <v>939</v>
      </c>
      <c r="B6" s="3508"/>
      <c r="C6" s="3508"/>
      <c r="D6" s="350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9" t="s">
        <v>942</v>
      </c>
      <c r="B11" s="3501"/>
      <c r="C11" s="3501"/>
      <c r="D11" s="3501"/>
    </row>
    <row r="12" spans="1:4" ht="15.75">
      <c r="A12" s="35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6"/>
      <c r="C12" s="3506"/>
      <c r="D12" s="3506"/>
    </row>
    <row r="13" spans="1:4" ht="30" customHeight="1">
      <c r="A13" s="3501" t="str">
        <f>IF(项目基本情况!B8="抵押","3.抵押双方在办理抵押登记手续时，应使用本公司出具的正式《房地产评估报告》，特提醒报告使用者注意。","——")</f>
        <v>——</v>
      </c>
      <c r="B13" s="3506"/>
      <c r="C13" s="3506"/>
      <c r="D13" s="3506"/>
    </row>
    <row r="14" spans="1:4" ht="15.75" customHeight="1">
      <c r="A14" s="3501" t="str">
        <f>IF(项目基本情况!B8="抵押","4.本次评估估价师所知悉的法定优先受偿款情况说明如下：","——")</f>
        <v>——</v>
      </c>
      <c r="B14" s="3506"/>
      <c r="C14" s="3506"/>
      <c r="D14" s="3506"/>
    </row>
    <row r="15" spans="1:4" ht="42" customHeight="1">
      <c r="A15" s="3501" t="str">
        <f>IF(项目基本情况!B8="抵押","（1）"&amp;CONCATENATE(项目基本情况!L20,项目基本情况!L21,项目基本情况!L22),"——")</f>
        <v>——</v>
      </c>
      <c r="B15" s="3501"/>
      <c r="C15" s="3501"/>
      <c r="D15" s="3501"/>
    </row>
    <row r="16" spans="1:4" ht="30" customHeight="1">
      <c r="A16" s="3503" t="s">
        <v>943</v>
      </c>
      <c r="B16" s="3503"/>
      <c r="C16" s="3503"/>
      <c r="D16" s="3503"/>
    </row>
    <row r="17" spans="1:4" ht="144" customHeight="1">
      <c r="A17" s="3503" t="s">
        <v>944</v>
      </c>
      <c r="B17" s="3503"/>
      <c r="C17" s="3503"/>
      <c r="D17" s="3503"/>
    </row>
    <row r="18" spans="1:4" ht="15.75" customHeight="1">
      <c r="A18" s="3501" t="str">
        <f>IF(项目基本情况!B8="抵押",结果表!K120,"——")</f>
        <v>——</v>
      </c>
      <c r="B18" s="3501"/>
      <c r="C18" s="3501"/>
      <c r="D18" s="3501"/>
    </row>
    <row r="19" spans="1:4" ht="46.5" customHeight="1">
      <c r="A19" s="35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1"/>
      <c r="C19" s="3501"/>
      <c r="D19" s="3501"/>
    </row>
    <row r="20" spans="1:4" ht="57.75" customHeight="1">
      <c r="A20" s="35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1"/>
      <c r="C20" s="3501"/>
      <c r="D20" s="3501"/>
    </row>
    <row r="21" spans="1:4" ht="57.75" customHeight="1">
      <c r="A21" s="35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4"/>
      <c r="C21" s="3504"/>
      <c r="D21" s="3504"/>
    </row>
    <row r="22" spans="1:4" ht="18.75" customHeight="1">
      <c r="A22" s="3505" t="s">
        <v>945</v>
      </c>
      <c r="B22" s="3505"/>
      <c r="C22" s="3505"/>
      <c r="D22" s="350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2">
        <v>42551</v>
      </c>
      <c r="D31" s="350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5" t="s">
        <v>956</v>
      </c>
      <c r="B15" s="3510" t="s">
        <v>109</v>
      </c>
      <c r="C15" s="3511"/>
    </row>
    <row r="16" spans="1:7" ht="13.5">
      <c r="A16" s="3516"/>
      <c r="B16" s="3510" t="s">
        <v>42</v>
      </c>
      <c r="C16" s="3511"/>
    </row>
    <row r="17" spans="1:3" ht="13.5">
      <c r="A17" s="3516"/>
      <c r="B17" s="3513" t="s">
        <v>957</v>
      </c>
      <c r="C17" s="1532" t="s">
        <v>956</v>
      </c>
    </row>
    <row r="18" spans="1:3" ht="13.5">
      <c r="A18" s="3516"/>
      <c r="B18" s="3513"/>
      <c r="C18" s="1532" t="s">
        <v>958</v>
      </c>
    </row>
    <row r="19" spans="1:3" ht="13.5">
      <c r="A19" s="3516"/>
      <c r="B19" s="3513"/>
      <c r="C19" s="1532" t="s">
        <v>959</v>
      </c>
    </row>
    <row r="20" spans="1:3" ht="13.5">
      <c r="A20" s="3517"/>
      <c r="B20" s="3512" t="s">
        <v>960</v>
      </c>
      <c r="C20" s="3511"/>
    </row>
    <row r="21" spans="1:3" ht="13.5">
      <c r="A21" s="1533" t="s">
        <v>961</v>
      </c>
      <c r="B21" s="1534"/>
      <c r="C21" s="1535"/>
    </row>
    <row r="22" spans="1:3" ht="13.5">
      <c r="A22" s="3514" t="s">
        <v>962</v>
      </c>
      <c r="B22" s="3512" t="s">
        <v>963</v>
      </c>
      <c r="C22" s="3511"/>
    </row>
    <row r="23" spans="1:3" ht="13.5">
      <c r="A23" s="3514"/>
      <c r="B23" s="3512" t="s">
        <v>964</v>
      </c>
      <c r="C23" s="3511"/>
    </row>
    <row r="24" spans="1:3" ht="13.5">
      <c r="A24" s="3514"/>
      <c r="B24" s="3512" t="s">
        <v>965</v>
      </c>
      <c r="C24" s="3511"/>
    </row>
    <row r="25" spans="1:3" ht="13.5">
      <c r="A25" s="3514"/>
      <c r="B25" s="3513" t="s">
        <v>966</v>
      </c>
      <c r="C25" s="1532" t="s">
        <v>967</v>
      </c>
    </row>
    <row r="26" spans="1:3" ht="13.5">
      <c r="A26" s="3514"/>
      <c r="B26" s="3513"/>
      <c r="C26" s="1532" t="s">
        <v>968</v>
      </c>
    </row>
    <row r="27" spans="1:3" ht="13.5">
      <c r="A27" s="3514"/>
      <c r="B27" s="3513"/>
      <c r="C27" s="1532" t="s">
        <v>969</v>
      </c>
    </row>
    <row r="28" spans="1:3" ht="13.5">
      <c r="A28" s="3514"/>
      <c r="B28" s="3513"/>
      <c r="C28" s="1532" t="s">
        <v>970</v>
      </c>
    </row>
    <row r="29" spans="1:3" ht="13.5">
      <c r="A29" s="3514"/>
      <c r="B29" s="3513"/>
      <c r="C29" s="1532" t="s">
        <v>971</v>
      </c>
    </row>
    <row r="30" spans="1:3" ht="13.5">
      <c r="A30" s="3514"/>
      <c r="B30" s="3513"/>
      <c r="C30" s="1532" t="s">
        <v>972</v>
      </c>
    </row>
    <row r="31" spans="1:3" ht="13.5">
      <c r="A31" s="3514"/>
      <c r="B31" s="3513"/>
      <c r="C31" s="1532" t="s">
        <v>973</v>
      </c>
    </row>
    <row r="32" spans="1:3" ht="13.5">
      <c r="A32" s="3514"/>
      <c r="B32" s="3513"/>
      <c r="C32" s="1532" t="s">
        <v>974</v>
      </c>
    </row>
    <row r="33" spans="1:3" ht="13.5">
      <c r="A33" s="3514"/>
      <c r="B33" s="351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45307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8" t="s">
        <v>2160</v>
      </c>
      <c r="B17" s="3518"/>
      <c r="C17" s="3518"/>
      <c r="D17" s="3518"/>
      <c r="E17" s="3518"/>
      <c r="F17" s="3518"/>
      <c r="G17" s="3518"/>
      <c r="H17" s="3518"/>
    </row>
    <row r="18" spans="1:8" ht="24" customHeight="1">
      <c r="A18" s="3519" t="s">
        <v>2161</v>
      </c>
      <c r="B18" s="3519"/>
      <c r="C18" s="3519"/>
      <c r="D18" s="2343"/>
      <c r="E18" s="3520" t="s">
        <v>2162</v>
      </c>
      <c r="F18" s="3519"/>
      <c r="G18" s="351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166</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Sheet1</vt:lpstr>
      <vt:lpstr>项目基本情况</vt:lpstr>
      <vt:lpstr>数据-基础表</vt:lpstr>
      <vt:lpstr>数据-汇总表</vt:lpstr>
      <vt:lpstr>数据-取费表</vt:lpstr>
      <vt:lpstr>估价对象房地状况</vt:lpstr>
      <vt:lpstr>结果表</vt:lpstr>
      <vt:lpstr>成本法</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Sheet3</vt:lpstr>
      <vt:lpstr>中指</vt:lpstr>
      <vt:lpstr>建委</vt:lpstr>
      <vt:lpstr>京东淘宝</vt:lpstr>
      <vt:lpstr>法拍</vt:lpstr>
      <vt:lpstr>收益法 (元)</vt:lpstr>
      <vt:lpstr>比较法-租金</vt:lpstr>
      <vt:lpstr>Sheet4</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系统读取表</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2024-01-16T07:46:02Z</dcterms:modified>
</cp:coreProperties>
</file>